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tkm\Downloads\Accounts Balance Sheet\Practice\"/>
    </mc:Choice>
  </mc:AlternateContent>
  <xr:revisionPtr revIDLastSave="0" documentId="13_ncr:1_{00984B13-D0D4-4EF1-847F-513D3394FCD9}" xr6:coauthVersionLast="47" xr6:coauthVersionMax="47" xr10:uidLastSave="{00000000-0000-0000-0000-000000000000}"/>
  <bookViews>
    <workbookView xWindow="-120" yWindow="-120" windowWidth="20730" windowHeight="11160" xr2:uid="{50337196-6C8B-46BC-BE24-800EB35AC014}"/>
  </bookViews>
  <sheets>
    <sheet name="Assumptions" sheetId="2" r:id="rId1"/>
    <sheet name="Historical FS" sheetId="3" r:id="rId2"/>
    <sheet name="Forecasting" sheetId="8" r:id="rId3"/>
    <sheet name="Ratio Analisis" sheetId="7" r:id="rId4"/>
    <sheet name="Data Shee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2" l="1"/>
  <c r="M85" i="3" s="1"/>
  <c r="Q33" i="2"/>
  <c r="Q85" i="3" s="1"/>
  <c r="P33" i="2"/>
  <c r="P85" i="3" s="1"/>
  <c r="O33" i="2"/>
  <c r="O85" i="3" s="1"/>
  <c r="N33" i="2"/>
  <c r="N85" i="3" s="1"/>
  <c r="N27" i="2"/>
  <c r="N41" i="3" s="1"/>
  <c r="O27" i="2"/>
  <c r="O41" i="3" s="1"/>
  <c r="P27" i="2"/>
  <c r="P41" i="3" s="1"/>
  <c r="Q27" i="2"/>
  <c r="Q41" i="3" s="1"/>
  <c r="M27" i="2"/>
  <c r="M41" i="3" s="1"/>
  <c r="Q39" i="2"/>
  <c r="Q86" i="3" s="1"/>
  <c r="P39" i="2"/>
  <c r="P86" i="3" s="1"/>
  <c r="O39" i="2"/>
  <c r="O86" i="3" s="1"/>
  <c r="N39" i="2"/>
  <c r="N86" i="3" s="1"/>
  <c r="M39" i="2"/>
  <c r="M86" i="3" s="1"/>
  <c r="Q23" i="2"/>
  <c r="Q84" i="3" s="1"/>
  <c r="P23" i="2"/>
  <c r="P84" i="3" s="1"/>
  <c r="O23" i="2"/>
  <c r="O84" i="3" s="1"/>
  <c r="N23" i="2"/>
  <c r="N84" i="3" s="1"/>
  <c r="M23" i="2"/>
  <c r="M84" i="3" s="1"/>
  <c r="N6" i="3"/>
  <c r="N59" i="2" s="1"/>
  <c r="O6" i="3"/>
  <c r="O64" i="2" s="1"/>
  <c r="P6" i="3"/>
  <c r="P52" i="2" s="1"/>
  <c r="Q6" i="3"/>
  <c r="Q69" i="2" s="1"/>
  <c r="Q56" i="3" s="1"/>
  <c r="M6" i="3"/>
  <c r="M15" i="3" s="1"/>
  <c r="N3" i="3"/>
  <c r="N2" i="2" s="1"/>
  <c r="N71" i="2" s="1"/>
  <c r="N76" i="2" s="1"/>
  <c r="N82" i="2" s="1"/>
  <c r="O3" i="3"/>
  <c r="O2" i="2" s="1"/>
  <c r="O71" i="2" s="1"/>
  <c r="O76" i="2" s="1"/>
  <c r="O82" i="2" s="1"/>
  <c r="P3" i="3"/>
  <c r="P2" i="2" s="1"/>
  <c r="P71" i="2" s="1"/>
  <c r="P76" i="2" s="1"/>
  <c r="P82" i="2" s="1"/>
  <c r="Q3" i="3"/>
  <c r="Q2" i="2" s="1"/>
  <c r="M3" i="3"/>
  <c r="M2" i="2" s="1"/>
  <c r="M71" i="2" s="1"/>
  <c r="M76" i="2" s="1"/>
  <c r="M82" i="2" s="1"/>
  <c r="B2" i="8"/>
  <c r="C4" i="8"/>
  <c r="E18" i="8"/>
  <c r="E17" i="8"/>
  <c r="E16" i="8"/>
  <c r="E15" i="8"/>
  <c r="E14" i="8"/>
  <c r="D18" i="8"/>
  <c r="D17" i="8"/>
  <c r="D16" i="8"/>
  <c r="D15" i="8"/>
  <c r="D14" i="8"/>
  <c r="E13" i="8"/>
  <c r="E12" i="8"/>
  <c r="E11" i="8"/>
  <c r="E10" i="8"/>
  <c r="E9" i="8"/>
  <c r="E8" i="8"/>
  <c r="E7" i="8"/>
  <c r="E6" i="8"/>
  <c r="E5" i="8"/>
  <c r="D4" i="8" a="1"/>
  <c r="D4" i="8" s="1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N7" i="3" l="1"/>
  <c r="N3" i="2" s="1"/>
  <c r="Q42" i="2"/>
  <c r="Q48" i="2" s="1"/>
  <c r="Q56" i="2" s="1"/>
  <c r="Q61" i="2" s="1"/>
  <c r="Q71" i="2"/>
  <c r="Q76" i="2" s="1"/>
  <c r="Q82" i="2" s="1"/>
  <c r="Q49" i="2"/>
  <c r="P53" i="3"/>
  <c r="Q52" i="2"/>
  <c r="Q53" i="3" s="1"/>
  <c r="M9" i="3"/>
  <c r="M12" i="3" s="1"/>
  <c r="O45" i="2"/>
  <c r="P43" i="2" s="1"/>
  <c r="N52" i="2"/>
  <c r="O74" i="2"/>
  <c r="P72" i="2" s="1"/>
  <c r="O52" i="2"/>
  <c r="M24" i="3"/>
  <c r="M50" i="2" s="1"/>
  <c r="P79" i="2"/>
  <c r="Q77" i="2" s="1"/>
  <c r="M52" i="2"/>
  <c r="Q21" i="2"/>
  <c r="Q30" i="2" s="1"/>
  <c r="Q37" i="2" s="1"/>
  <c r="P21" i="2"/>
  <c r="P30" i="2" s="1"/>
  <c r="P37" i="2" s="1"/>
  <c r="M42" i="2"/>
  <c r="M48" i="2" s="1"/>
  <c r="M56" i="2" s="1"/>
  <c r="P42" i="2"/>
  <c r="P48" i="2" s="1"/>
  <c r="P56" i="2" s="1"/>
  <c r="O21" i="2"/>
  <c r="O30" i="2" s="1"/>
  <c r="O37" i="2" s="1"/>
  <c r="O42" i="2"/>
  <c r="O48" i="2" s="1"/>
  <c r="O56" i="2" s="1"/>
  <c r="M21" i="2"/>
  <c r="M30" i="2" s="1"/>
  <c r="M37" i="2" s="1"/>
  <c r="N21" i="2"/>
  <c r="N30" i="2" s="1"/>
  <c r="N37" i="2" s="1"/>
  <c r="N42" i="2"/>
  <c r="N48" i="2" s="1"/>
  <c r="N56" i="2" s="1"/>
  <c r="O57" i="2"/>
  <c r="N54" i="3"/>
  <c r="O55" i="3"/>
  <c r="P62" i="2"/>
  <c r="P74" i="2"/>
  <c r="P59" i="2"/>
  <c r="P24" i="3"/>
  <c r="P50" i="2" s="1"/>
  <c r="P15" i="3"/>
  <c r="P9" i="3"/>
  <c r="P12" i="3" s="1"/>
  <c r="P45" i="2"/>
  <c r="Q7" i="3"/>
  <c r="Q3" i="2" s="1"/>
  <c r="P69" i="2"/>
  <c r="O69" i="2"/>
  <c r="O24" i="3"/>
  <c r="O50" i="2" s="1"/>
  <c r="O15" i="3"/>
  <c r="O9" i="3"/>
  <c r="O12" i="3" s="1"/>
  <c r="P7" i="3"/>
  <c r="P3" i="2" s="1"/>
  <c r="Q9" i="3"/>
  <c r="Q12" i="3" s="1"/>
  <c r="Q15" i="3"/>
  <c r="Q24" i="3"/>
  <c r="Q50" i="2" s="1"/>
  <c r="O59" i="2"/>
  <c r="P64" i="2"/>
  <c r="Q74" i="2"/>
  <c r="Q59" i="3" s="1"/>
  <c r="Q59" i="2"/>
  <c r="Q54" i="3" s="1"/>
  <c r="Q45" i="2"/>
  <c r="Q50" i="3" s="1"/>
  <c r="Q79" i="2"/>
  <c r="Q60" i="3" s="1"/>
  <c r="Q64" i="2"/>
  <c r="Q55" i="3" s="1"/>
  <c r="M74" i="2"/>
  <c r="M59" i="2"/>
  <c r="M45" i="2"/>
  <c r="M50" i="3" s="1"/>
  <c r="M79" i="2"/>
  <c r="M64" i="2"/>
  <c r="N79" i="2"/>
  <c r="O77" i="2" s="1"/>
  <c r="N64" i="2"/>
  <c r="O62" i="2" s="1"/>
  <c r="O63" i="2" s="1"/>
  <c r="O79" i="3" s="1"/>
  <c r="N69" i="2"/>
  <c r="O67" i="2" s="1"/>
  <c r="O7" i="3"/>
  <c r="O3" i="2" s="1"/>
  <c r="N45" i="2"/>
  <c r="N50" i="3" s="1"/>
  <c r="M69" i="2"/>
  <c r="N9" i="3"/>
  <c r="N12" i="3" s="1"/>
  <c r="N15" i="3"/>
  <c r="N24" i="3"/>
  <c r="N50" i="2" s="1"/>
  <c r="N74" i="2"/>
  <c r="O72" i="2" s="1"/>
  <c r="O79" i="2"/>
  <c r="M18" i="3"/>
  <c r="D7" i="8"/>
  <c r="D13" i="8"/>
  <c r="D9" i="8"/>
  <c r="D5" i="8"/>
  <c r="D11" i="8"/>
  <c r="D10" i="8"/>
  <c r="D6" i="8"/>
  <c r="D12" i="8"/>
  <c r="D8" i="8"/>
  <c r="O73" i="2" l="1"/>
  <c r="O83" i="2" s="1"/>
  <c r="P73" i="2"/>
  <c r="P83" i="2" s="1"/>
  <c r="O59" i="3"/>
  <c r="Q66" i="2"/>
  <c r="O50" i="3"/>
  <c r="Q51" i="2"/>
  <c r="Q77" i="3" s="1"/>
  <c r="M72" i="3"/>
  <c r="P60" i="3"/>
  <c r="O53" i="3"/>
  <c r="P49" i="2"/>
  <c r="P51" i="2" s="1"/>
  <c r="P77" i="3" s="1"/>
  <c r="O49" i="2"/>
  <c r="O51" i="2" s="1"/>
  <c r="O77" i="3" s="1"/>
  <c r="N53" i="3"/>
  <c r="P44" i="2"/>
  <c r="P85" i="2" s="1"/>
  <c r="N49" i="2"/>
  <c r="N51" i="2" s="1"/>
  <c r="N77" i="3" s="1"/>
  <c r="M53" i="3"/>
  <c r="O66" i="2"/>
  <c r="O61" i="2"/>
  <c r="M66" i="2"/>
  <c r="M61" i="2"/>
  <c r="N66" i="2"/>
  <c r="N61" i="2"/>
  <c r="P66" i="2"/>
  <c r="P61" i="2"/>
  <c r="Q57" i="3"/>
  <c r="O68" i="2"/>
  <c r="O80" i="3" s="1"/>
  <c r="O18" i="3"/>
  <c r="N18" i="3"/>
  <c r="Q78" i="2"/>
  <c r="Q84" i="2" s="1"/>
  <c r="O78" i="2"/>
  <c r="O84" i="2" s="1"/>
  <c r="P18" i="3"/>
  <c r="N43" i="2"/>
  <c r="N44" i="2" s="1"/>
  <c r="N85" i="2" s="1"/>
  <c r="P77" i="2"/>
  <c r="P78" i="2" s="1"/>
  <c r="P84" i="2" s="1"/>
  <c r="O60" i="3"/>
  <c r="N60" i="3"/>
  <c r="M54" i="3"/>
  <c r="N57" i="2"/>
  <c r="N58" i="2" s="1"/>
  <c r="N78" i="3" s="1"/>
  <c r="P57" i="2"/>
  <c r="P58" i="2" s="1"/>
  <c r="P78" i="3" s="1"/>
  <c r="O54" i="3"/>
  <c r="Q72" i="2"/>
  <c r="Q73" i="2" s="1"/>
  <c r="Q83" i="2" s="1"/>
  <c r="P59" i="3"/>
  <c r="Q57" i="2"/>
  <c r="Q58" i="2" s="1"/>
  <c r="Q78" i="3" s="1"/>
  <c r="P54" i="3"/>
  <c r="N59" i="3"/>
  <c r="N56" i="3"/>
  <c r="M55" i="3"/>
  <c r="N62" i="2"/>
  <c r="N63" i="2" s="1"/>
  <c r="N79" i="3" s="1"/>
  <c r="N72" i="2"/>
  <c r="N73" i="2" s="1"/>
  <c r="N83" i="2" s="1"/>
  <c r="M59" i="3"/>
  <c r="O72" i="3"/>
  <c r="P63" i="2"/>
  <c r="P79" i="3" s="1"/>
  <c r="N72" i="3"/>
  <c r="N55" i="3"/>
  <c r="Q62" i="2"/>
  <c r="Q63" i="2" s="1"/>
  <c r="Q79" i="3" s="1"/>
  <c r="P55" i="3"/>
  <c r="Q18" i="3"/>
  <c r="O43" i="2"/>
  <c r="O44" i="2" s="1"/>
  <c r="O85" i="2" s="1"/>
  <c r="M56" i="3"/>
  <c r="N67" i="2"/>
  <c r="N68" i="2" s="1"/>
  <c r="N80" i="3" s="1"/>
  <c r="M60" i="3"/>
  <c r="N77" i="2"/>
  <c r="N78" i="2" s="1"/>
  <c r="N84" i="2" s="1"/>
  <c r="Q72" i="3"/>
  <c r="P67" i="2"/>
  <c r="P68" i="2" s="1"/>
  <c r="P80" i="3" s="1"/>
  <c r="O56" i="3"/>
  <c r="P56" i="3"/>
  <c r="Q67" i="2"/>
  <c r="Q68" i="2" s="1"/>
  <c r="Q80" i="3" s="1"/>
  <c r="Q43" i="2"/>
  <c r="Q44" i="2" s="1"/>
  <c r="Q85" i="2" s="1"/>
  <c r="P50" i="3"/>
  <c r="P72" i="3"/>
  <c r="O58" i="2"/>
  <c r="O78" i="3" s="1"/>
  <c r="P86" i="2" l="1"/>
  <c r="P73" i="3" s="1"/>
  <c r="O81" i="3"/>
  <c r="P81" i="3"/>
  <c r="N81" i="3"/>
  <c r="O86" i="2"/>
  <c r="O73" i="3" s="1"/>
  <c r="Q81" i="3"/>
  <c r="N57" i="3"/>
  <c r="N86" i="2"/>
  <c r="N73" i="3" s="1"/>
  <c r="P57" i="3"/>
  <c r="M57" i="3"/>
  <c r="O57" i="3"/>
  <c r="Q86" i="2"/>
  <c r="Q73" i="3" s="1"/>
  <c r="J6" i="3" l="1"/>
  <c r="B2" i="7"/>
  <c r="L3" i="7"/>
  <c r="K3" i="7"/>
  <c r="J3" i="7"/>
  <c r="I3" i="7"/>
  <c r="H3" i="7"/>
  <c r="G3" i="7"/>
  <c r="F3" i="7"/>
  <c r="E3" i="7"/>
  <c r="D3" i="7"/>
  <c r="C3" i="7"/>
  <c r="L59" i="3"/>
  <c r="L74" i="2" s="1"/>
  <c r="M72" i="2" s="1"/>
  <c r="M73" i="2" s="1"/>
  <c r="M83" i="2" s="1"/>
  <c r="L60" i="3"/>
  <c r="L79" i="2" s="1"/>
  <c r="M77" i="2" s="1"/>
  <c r="M78" i="2" s="1"/>
  <c r="M84" i="2" s="1"/>
  <c r="L61" i="3"/>
  <c r="E59" i="3"/>
  <c r="F59" i="3"/>
  <c r="G59" i="3"/>
  <c r="H59" i="3"/>
  <c r="I59" i="3"/>
  <c r="J59" i="3"/>
  <c r="K59" i="3"/>
  <c r="E60" i="3"/>
  <c r="F60" i="3"/>
  <c r="G60" i="3"/>
  <c r="H60" i="3"/>
  <c r="I60" i="3"/>
  <c r="J60" i="3"/>
  <c r="K60" i="3"/>
  <c r="E61" i="3"/>
  <c r="F90" i="3" s="1"/>
  <c r="F61" i="3"/>
  <c r="G90" i="3" s="1"/>
  <c r="G61" i="3"/>
  <c r="H90" i="3" s="1"/>
  <c r="H61" i="3"/>
  <c r="I90" i="3" s="1"/>
  <c r="I61" i="3"/>
  <c r="J90" i="3" s="1"/>
  <c r="J61" i="3"/>
  <c r="K90" i="3" s="1"/>
  <c r="K61" i="3"/>
  <c r="L90" i="3" s="1"/>
  <c r="D59" i="3"/>
  <c r="D60" i="3"/>
  <c r="D61" i="3"/>
  <c r="E90" i="3" s="1"/>
  <c r="C60" i="3"/>
  <c r="D77" i="2" s="1"/>
  <c r="C61" i="3"/>
  <c r="D90" i="3" s="1"/>
  <c r="L53" i="3"/>
  <c r="L52" i="2" s="1"/>
  <c r="M49" i="2" s="1"/>
  <c r="M51" i="2" s="1"/>
  <c r="M77" i="3" s="1"/>
  <c r="L54" i="3"/>
  <c r="L59" i="2" s="1"/>
  <c r="M57" i="2" s="1"/>
  <c r="M58" i="2" s="1"/>
  <c r="M78" i="3" s="1"/>
  <c r="L55" i="3"/>
  <c r="L64" i="2" s="1"/>
  <c r="M62" i="2" s="1"/>
  <c r="M63" i="2" s="1"/>
  <c r="M79" i="3" s="1"/>
  <c r="I53" i="3"/>
  <c r="J53" i="3"/>
  <c r="K53" i="3"/>
  <c r="I54" i="3"/>
  <c r="J54" i="3"/>
  <c r="K54" i="3"/>
  <c r="I55" i="3"/>
  <c r="J55" i="3"/>
  <c r="K55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C56" i="3"/>
  <c r="D67" i="2" s="1"/>
  <c r="C55" i="3"/>
  <c r="D62" i="2" s="1"/>
  <c r="C54" i="3"/>
  <c r="D57" i="2" s="1"/>
  <c r="D56" i="3"/>
  <c r="E56" i="3"/>
  <c r="F56" i="3"/>
  <c r="G56" i="3"/>
  <c r="H56" i="3"/>
  <c r="I56" i="3"/>
  <c r="J56" i="3"/>
  <c r="K56" i="3"/>
  <c r="L56" i="3"/>
  <c r="L69" i="2" s="1"/>
  <c r="M67" i="2" s="1"/>
  <c r="M68" i="2" s="1"/>
  <c r="M80" i="3" s="1"/>
  <c r="C59" i="3"/>
  <c r="D72" i="2" s="1"/>
  <c r="C53" i="3"/>
  <c r="D49" i="2" s="1"/>
  <c r="C48" i="3"/>
  <c r="D31" i="2" s="1"/>
  <c r="D48" i="3"/>
  <c r="E48" i="3"/>
  <c r="F48" i="3"/>
  <c r="G48" i="3"/>
  <c r="H48" i="3"/>
  <c r="I48" i="3"/>
  <c r="J48" i="3"/>
  <c r="K48" i="3"/>
  <c r="L48" i="3"/>
  <c r="L34" i="2" s="1"/>
  <c r="M31" i="2" s="1"/>
  <c r="C49" i="3"/>
  <c r="D38" i="2" s="1"/>
  <c r="D49" i="3"/>
  <c r="E49" i="3"/>
  <c r="F49" i="3"/>
  <c r="G49" i="3"/>
  <c r="H49" i="3"/>
  <c r="I49" i="3"/>
  <c r="J49" i="3"/>
  <c r="K49" i="3"/>
  <c r="L49" i="3"/>
  <c r="L40" i="2" s="1"/>
  <c r="M38" i="2" s="1"/>
  <c r="M40" i="2" s="1"/>
  <c r="M49" i="3" s="1"/>
  <c r="C50" i="3"/>
  <c r="D43" i="2" s="1"/>
  <c r="D50" i="3"/>
  <c r="E50" i="3"/>
  <c r="F50" i="3"/>
  <c r="G50" i="3"/>
  <c r="H50" i="3"/>
  <c r="I50" i="3"/>
  <c r="J50" i="3"/>
  <c r="K50" i="3"/>
  <c r="L50" i="3"/>
  <c r="L45" i="2" s="1"/>
  <c r="M43" i="2" s="1"/>
  <c r="M44" i="2" s="1"/>
  <c r="M85" i="2" s="1"/>
  <c r="C51" i="3"/>
  <c r="D51" i="3"/>
  <c r="E51" i="3"/>
  <c r="F51" i="3"/>
  <c r="G51" i="3"/>
  <c r="H51" i="3"/>
  <c r="I51" i="3"/>
  <c r="J51" i="3"/>
  <c r="K51" i="3"/>
  <c r="L51" i="3"/>
  <c r="D47" i="3"/>
  <c r="E47" i="3"/>
  <c r="F47" i="3"/>
  <c r="G47" i="3"/>
  <c r="H47" i="3"/>
  <c r="I47" i="3"/>
  <c r="J47" i="3"/>
  <c r="K47" i="3"/>
  <c r="L47" i="3"/>
  <c r="L24" i="2" s="1"/>
  <c r="M22" i="2" s="1"/>
  <c r="M24" i="2" s="1"/>
  <c r="C47" i="3"/>
  <c r="D22" i="2" s="1"/>
  <c r="D36" i="3"/>
  <c r="E36" i="3"/>
  <c r="F36" i="3"/>
  <c r="G36" i="3"/>
  <c r="H36" i="3"/>
  <c r="I36" i="3"/>
  <c r="J36" i="3"/>
  <c r="K36" i="3"/>
  <c r="L36" i="3"/>
  <c r="L26" i="2" s="1"/>
  <c r="M26" i="2" s="1"/>
  <c r="C36" i="3"/>
  <c r="C41" i="3" s="1"/>
  <c r="D30" i="3"/>
  <c r="E30" i="3"/>
  <c r="F30" i="3"/>
  <c r="G30" i="3"/>
  <c r="H30" i="3"/>
  <c r="I30" i="3"/>
  <c r="J30" i="3"/>
  <c r="K30" i="3"/>
  <c r="L30" i="3"/>
  <c r="C30" i="3"/>
  <c r="D24" i="3"/>
  <c r="E24" i="3"/>
  <c r="F24" i="3"/>
  <c r="G24" i="3"/>
  <c r="H24" i="3"/>
  <c r="I24" i="3"/>
  <c r="J24" i="3"/>
  <c r="J50" i="2" s="1"/>
  <c r="K24" i="3"/>
  <c r="L24" i="3"/>
  <c r="C24" i="3"/>
  <c r="D21" i="3"/>
  <c r="E21" i="3"/>
  <c r="F21" i="3"/>
  <c r="G21" i="3"/>
  <c r="H21" i="3"/>
  <c r="I21" i="3"/>
  <c r="J21" i="3"/>
  <c r="K21" i="3"/>
  <c r="L21" i="3"/>
  <c r="C21" i="3"/>
  <c r="C15" i="3"/>
  <c r="D15" i="3"/>
  <c r="E15" i="3"/>
  <c r="F15" i="3"/>
  <c r="G15" i="3"/>
  <c r="H15" i="3"/>
  <c r="I15" i="3"/>
  <c r="J15" i="3"/>
  <c r="K15" i="3"/>
  <c r="L15" i="3"/>
  <c r="D9" i="3"/>
  <c r="E9" i="3"/>
  <c r="F9" i="3"/>
  <c r="G9" i="3"/>
  <c r="H9" i="3"/>
  <c r="I9" i="3"/>
  <c r="J9" i="3"/>
  <c r="K9" i="3"/>
  <c r="L9" i="3"/>
  <c r="C9" i="3"/>
  <c r="D6" i="3"/>
  <c r="E6" i="3"/>
  <c r="F6" i="3"/>
  <c r="G6" i="3"/>
  <c r="H6" i="3"/>
  <c r="I6" i="3"/>
  <c r="K6" i="3"/>
  <c r="L6" i="3"/>
  <c r="C6" i="3"/>
  <c r="K3" i="3"/>
  <c r="L3" i="3"/>
  <c r="D3" i="3"/>
  <c r="E3" i="3"/>
  <c r="F3" i="3"/>
  <c r="G3" i="3"/>
  <c r="H3" i="3"/>
  <c r="I3" i="3"/>
  <c r="J3" i="3"/>
  <c r="C3" i="3"/>
  <c r="B2" i="3"/>
  <c r="G72" i="3" l="1"/>
  <c r="G50" i="2"/>
  <c r="I31" i="2"/>
  <c r="H34" i="2"/>
  <c r="I52" i="2"/>
  <c r="J49" i="2"/>
  <c r="K72" i="3"/>
  <c r="K50" i="2"/>
  <c r="D34" i="2"/>
  <c r="E31" i="2"/>
  <c r="H49" i="2"/>
  <c r="G52" i="2"/>
  <c r="F72" i="3"/>
  <c r="F50" i="2"/>
  <c r="K34" i="2"/>
  <c r="L31" i="2"/>
  <c r="G34" i="2"/>
  <c r="H31" i="2"/>
  <c r="G49" i="2"/>
  <c r="F52" i="2"/>
  <c r="I72" i="3"/>
  <c r="I50" i="2"/>
  <c r="E72" i="3"/>
  <c r="E50" i="2"/>
  <c r="K31" i="2"/>
  <c r="J34" i="2"/>
  <c r="G31" i="2"/>
  <c r="F34" i="2"/>
  <c r="E52" i="2"/>
  <c r="F49" i="2"/>
  <c r="L49" i="2"/>
  <c r="K52" i="2"/>
  <c r="L72" i="3"/>
  <c r="L50" i="2"/>
  <c r="H72" i="3"/>
  <c r="H50" i="2"/>
  <c r="D72" i="3"/>
  <c r="D50" i="2"/>
  <c r="J31" i="2"/>
  <c r="I34" i="2"/>
  <c r="F31" i="2"/>
  <c r="E34" i="2"/>
  <c r="I49" i="2"/>
  <c r="H52" i="2"/>
  <c r="E49" i="2"/>
  <c r="D52" i="2"/>
  <c r="D51" i="2" s="1"/>
  <c r="D77" i="3" s="1"/>
  <c r="K49" i="2"/>
  <c r="J52" i="2"/>
  <c r="K41" i="3"/>
  <c r="K27" i="2" s="1"/>
  <c r="K26" i="2"/>
  <c r="I43" i="2"/>
  <c r="H45" i="2"/>
  <c r="E43" i="2"/>
  <c r="D45" i="2"/>
  <c r="D44" i="2" s="1"/>
  <c r="M86" i="2"/>
  <c r="M73" i="3" s="1"/>
  <c r="F12" i="2"/>
  <c r="F13" i="2"/>
  <c r="F11" i="2"/>
  <c r="J41" i="3"/>
  <c r="J27" i="2" s="1"/>
  <c r="J26" i="2"/>
  <c r="F41" i="3"/>
  <c r="F27" i="2" s="1"/>
  <c r="F26" i="2"/>
  <c r="L43" i="2"/>
  <c r="L44" i="2" s="1"/>
  <c r="K45" i="2"/>
  <c r="G45" i="2"/>
  <c r="H43" i="2"/>
  <c r="J79" i="2"/>
  <c r="K77" i="2"/>
  <c r="F79" i="2"/>
  <c r="G77" i="2"/>
  <c r="I74" i="2"/>
  <c r="J72" i="2"/>
  <c r="E74" i="2"/>
  <c r="F72" i="2"/>
  <c r="K11" i="2"/>
  <c r="K12" i="2"/>
  <c r="K13" i="2"/>
  <c r="I13" i="2"/>
  <c r="I11" i="2"/>
  <c r="I12" i="2"/>
  <c r="E13" i="2"/>
  <c r="E12" i="2"/>
  <c r="E11" i="2"/>
  <c r="I41" i="3"/>
  <c r="I27" i="2" s="1"/>
  <c r="I26" i="2"/>
  <c r="E41" i="3"/>
  <c r="E27" i="2" s="1"/>
  <c r="E26" i="2"/>
  <c r="K43" i="2"/>
  <c r="K44" i="2" s="1"/>
  <c r="J45" i="2"/>
  <c r="G43" i="2"/>
  <c r="F45" i="2"/>
  <c r="I79" i="2"/>
  <c r="J77" i="2"/>
  <c r="E79" i="2"/>
  <c r="F77" i="2"/>
  <c r="I72" i="2"/>
  <c r="H74" i="2"/>
  <c r="L11" i="2"/>
  <c r="M7" i="3"/>
  <c r="M3" i="2" s="1"/>
  <c r="L13" i="2"/>
  <c r="L12" i="2"/>
  <c r="G11" i="2"/>
  <c r="G12" i="2"/>
  <c r="G13" i="2"/>
  <c r="G41" i="3"/>
  <c r="G27" i="2" s="1"/>
  <c r="G26" i="2"/>
  <c r="E72" i="2"/>
  <c r="D74" i="2"/>
  <c r="D73" i="2" s="1"/>
  <c r="K79" i="2"/>
  <c r="L77" i="2"/>
  <c r="L78" i="2" s="1"/>
  <c r="G79" i="2"/>
  <c r="H77" i="2"/>
  <c r="K72" i="2"/>
  <c r="J74" i="2"/>
  <c r="F74" i="2"/>
  <c r="G72" i="2"/>
  <c r="C13" i="2"/>
  <c r="C12" i="2"/>
  <c r="C11" i="2"/>
  <c r="H11" i="2"/>
  <c r="H13" i="2"/>
  <c r="H12" i="2"/>
  <c r="D11" i="2"/>
  <c r="D12" i="2"/>
  <c r="D13" i="2"/>
  <c r="M36" i="3"/>
  <c r="N26" i="2"/>
  <c r="H41" i="3"/>
  <c r="H27" i="2" s="1"/>
  <c r="H26" i="2"/>
  <c r="D41" i="3"/>
  <c r="D27" i="2" s="1"/>
  <c r="D26" i="2"/>
  <c r="I45" i="2"/>
  <c r="J43" i="2"/>
  <c r="E45" i="2"/>
  <c r="F43" i="2"/>
  <c r="D79" i="2"/>
  <c r="D78" i="2" s="1"/>
  <c r="E77" i="2"/>
  <c r="H79" i="2"/>
  <c r="I77" i="2"/>
  <c r="L72" i="2"/>
  <c r="L73" i="2" s="1"/>
  <c r="K74" i="2"/>
  <c r="H72" i="2"/>
  <c r="G74" i="2"/>
  <c r="J12" i="2"/>
  <c r="J13" i="2"/>
  <c r="J11" i="2"/>
  <c r="N22" i="2"/>
  <c r="N24" i="2" s="1"/>
  <c r="M47" i="3"/>
  <c r="M21" i="3"/>
  <c r="M27" i="3" s="1"/>
  <c r="N38" i="2"/>
  <c r="N40" i="2" s="1"/>
  <c r="L41" i="3"/>
  <c r="L27" i="2" s="1"/>
  <c r="J7" i="2"/>
  <c r="J72" i="3"/>
  <c r="J5" i="2"/>
  <c r="G40" i="7"/>
  <c r="J4" i="2"/>
  <c r="L4" i="2"/>
  <c r="I6" i="2"/>
  <c r="E6" i="2"/>
  <c r="F38" i="7"/>
  <c r="K4" i="2"/>
  <c r="G4" i="2"/>
  <c r="F5" i="2"/>
  <c r="L7" i="2"/>
  <c r="E40" i="7"/>
  <c r="I40" i="7"/>
  <c r="J38" i="7"/>
  <c r="L5" i="2"/>
  <c r="E38" i="7"/>
  <c r="H4" i="2"/>
  <c r="D4" i="2"/>
  <c r="K5" i="2"/>
  <c r="G5" i="2"/>
  <c r="C5" i="2"/>
  <c r="J6" i="2"/>
  <c r="F6" i="2"/>
  <c r="C7" i="2"/>
  <c r="C40" i="7"/>
  <c r="D38" i="7"/>
  <c r="H38" i="7"/>
  <c r="L38" i="7"/>
  <c r="E7" i="2"/>
  <c r="K22" i="2"/>
  <c r="J24" i="2"/>
  <c r="E85" i="2"/>
  <c r="E16" i="2"/>
  <c r="E57" i="2"/>
  <c r="D59" i="2"/>
  <c r="D58" i="2" s="1"/>
  <c r="D78" i="3" s="1"/>
  <c r="K83" i="2"/>
  <c r="K14" i="2"/>
  <c r="C38" i="7"/>
  <c r="I82" i="2"/>
  <c r="I61" i="2"/>
  <c r="I37" i="2"/>
  <c r="I56" i="2"/>
  <c r="I21" i="2"/>
  <c r="I2" i="2"/>
  <c r="I66" i="2"/>
  <c r="I48" i="2"/>
  <c r="I30" i="2"/>
  <c r="D28" i="7"/>
  <c r="D34" i="7" s="1"/>
  <c r="D3" i="2"/>
  <c r="D10" i="2"/>
  <c r="D85" i="2"/>
  <c r="D16" i="2"/>
  <c r="G38" i="2"/>
  <c r="F40" i="2"/>
  <c r="D83" i="2"/>
  <c r="D14" i="2"/>
  <c r="J14" i="2"/>
  <c r="J83" i="2"/>
  <c r="F48" i="2"/>
  <c r="F82" i="2"/>
  <c r="F61" i="2"/>
  <c r="F37" i="2"/>
  <c r="F30" i="2"/>
  <c r="F21" i="2"/>
  <c r="F56" i="2"/>
  <c r="F66" i="2"/>
  <c r="F2" i="2"/>
  <c r="I10" i="2"/>
  <c r="I3" i="2"/>
  <c r="I85" i="2"/>
  <c r="I16" i="2"/>
  <c r="K67" i="2"/>
  <c r="J69" i="2"/>
  <c r="I57" i="2"/>
  <c r="H59" i="2"/>
  <c r="D84" i="2"/>
  <c r="D15" i="2"/>
  <c r="H84" i="2"/>
  <c r="H15" i="2"/>
  <c r="C28" i="7"/>
  <c r="C10" i="2"/>
  <c r="C6" i="2"/>
  <c r="H7" i="2"/>
  <c r="E24" i="2"/>
  <c r="F22" i="2"/>
  <c r="H85" i="2"/>
  <c r="H16" i="2"/>
  <c r="K38" i="2"/>
  <c r="J40" i="2"/>
  <c r="C14" i="2"/>
  <c r="I69" i="2"/>
  <c r="J67" i="2"/>
  <c r="F64" i="2"/>
  <c r="G62" i="2"/>
  <c r="H57" i="2"/>
  <c r="G59" i="2"/>
  <c r="L57" i="2"/>
  <c r="L58" i="2" s="1"/>
  <c r="L78" i="3" s="1"/>
  <c r="K59" i="2"/>
  <c r="K84" i="2"/>
  <c r="K15" i="2"/>
  <c r="G84" i="2"/>
  <c r="G15" i="2"/>
  <c r="F14" i="2"/>
  <c r="F83" i="2"/>
  <c r="D40" i="7"/>
  <c r="H40" i="7"/>
  <c r="L40" i="7"/>
  <c r="H56" i="2"/>
  <c r="H30" i="2"/>
  <c r="H21" i="2"/>
  <c r="H66" i="2"/>
  <c r="H48" i="2"/>
  <c r="H61" i="2"/>
  <c r="H37" i="2"/>
  <c r="H2" i="2"/>
  <c r="H82" i="2"/>
  <c r="D56" i="2"/>
  <c r="D30" i="2"/>
  <c r="D21" i="2"/>
  <c r="D66" i="2"/>
  <c r="D48" i="2"/>
  <c r="D82" i="2"/>
  <c r="D2" i="2"/>
  <c r="D61" i="2"/>
  <c r="D37" i="2"/>
  <c r="L3" i="2"/>
  <c r="L10" i="2"/>
  <c r="G10" i="2"/>
  <c r="G3" i="2"/>
  <c r="F4" i="2"/>
  <c r="I5" i="2"/>
  <c r="E5" i="2"/>
  <c r="L6" i="2"/>
  <c r="H6" i="2"/>
  <c r="D6" i="2"/>
  <c r="K7" i="2"/>
  <c r="G7" i="2"/>
  <c r="H24" i="2"/>
  <c r="I22" i="2"/>
  <c r="E22" i="2"/>
  <c r="D24" i="2"/>
  <c r="D23" i="2" s="1"/>
  <c r="D84" i="3" s="1"/>
  <c r="K85" i="2"/>
  <c r="K16" i="2"/>
  <c r="G85" i="2"/>
  <c r="G16" i="2"/>
  <c r="C16" i="2"/>
  <c r="J38" i="2"/>
  <c r="I40" i="2"/>
  <c r="F38" i="2"/>
  <c r="E40" i="2"/>
  <c r="H69" i="2"/>
  <c r="I67" i="2"/>
  <c r="E64" i="2"/>
  <c r="F62" i="2"/>
  <c r="G57" i="2"/>
  <c r="F59" i="2"/>
  <c r="K64" i="2"/>
  <c r="L62" i="2"/>
  <c r="L63" i="2" s="1"/>
  <c r="L79" i="3" s="1"/>
  <c r="K57" i="2"/>
  <c r="J59" i="2"/>
  <c r="C15" i="2"/>
  <c r="J84" i="2"/>
  <c r="J15" i="2"/>
  <c r="F84" i="2"/>
  <c r="F15" i="2"/>
  <c r="I83" i="2"/>
  <c r="I14" i="2"/>
  <c r="E83" i="2"/>
  <c r="E14" i="2"/>
  <c r="L84" i="2"/>
  <c r="L15" i="2"/>
  <c r="G38" i="7"/>
  <c r="K38" i="7"/>
  <c r="J48" i="2"/>
  <c r="J82" i="2"/>
  <c r="J61" i="2"/>
  <c r="J37" i="2"/>
  <c r="J56" i="2"/>
  <c r="J30" i="2"/>
  <c r="J21" i="2"/>
  <c r="J2" i="2"/>
  <c r="J66" i="2"/>
  <c r="K66" i="2"/>
  <c r="K48" i="2"/>
  <c r="K30" i="2"/>
  <c r="K82" i="2"/>
  <c r="K61" i="2"/>
  <c r="K37" i="2"/>
  <c r="K56" i="2"/>
  <c r="K21" i="2"/>
  <c r="K2" i="2"/>
  <c r="E30" i="7"/>
  <c r="E36" i="7" s="1"/>
  <c r="E3" i="2"/>
  <c r="E10" i="2"/>
  <c r="I7" i="2"/>
  <c r="G22" i="2"/>
  <c r="F24" i="2"/>
  <c r="L38" i="2"/>
  <c r="L39" i="2" s="1"/>
  <c r="L86" i="3" s="1"/>
  <c r="K40" i="2"/>
  <c r="H38" i="2"/>
  <c r="G40" i="2"/>
  <c r="F69" i="2"/>
  <c r="G67" i="2"/>
  <c r="G64" i="2"/>
  <c r="H62" i="2"/>
  <c r="I64" i="2"/>
  <c r="J62" i="2"/>
  <c r="G83" i="2"/>
  <c r="G14" i="2"/>
  <c r="L83" i="2"/>
  <c r="L14" i="2"/>
  <c r="I38" i="7"/>
  <c r="K40" i="7"/>
  <c r="E82" i="2"/>
  <c r="E61" i="2"/>
  <c r="E37" i="2"/>
  <c r="E56" i="2"/>
  <c r="E21" i="2"/>
  <c r="E66" i="2"/>
  <c r="E2" i="2"/>
  <c r="E48" i="2"/>
  <c r="E30" i="2"/>
  <c r="H31" i="7"/>
  <c r="H10" i="2"/>
  <c r="H3" i="2"/>
  <c r="D7" i="2"/>
  <c r="I24" i="2"/>
  <c r="J22" i="2"/>
  <c r="L85" i="2"/>
  <c r="L16" i="2"/>
  <c r="E69" i="2"/>
  <c r="F67" i="2"/>
  <c r="C82" i="2"/>
  <c r="C61" i="2"/>
  <c r="C37" i="2"/>
  <c r="C56" i="2"/>
  <c r="C30" i="2"/>
  <c r="C21" i="2"/>
  <c r="C66" i="2"/>
  <c r="C2" i="2"/>
  <c r="C48" i="2"/>
  <c r="G66" i="2"/>
  <c r="G48" i="2"/>
  <c r="G30" i="2"/>
  <c r="G61" i="2"/>
  <c r="G37" i="2"/>
  <c r="G82" i="2"/>
  <c r="G21" i="2"/>
  <c r="G2" i="2"/>
  <c r="G56" i="2"/>
  <c r="L56" i="2"/>
  <c r="L30" i="2"/>
  <c r="L21" i="2"/>
  <c r="L66" i="2"/>
  <c r="L48" i="2"/>
  <c r="L82" i="2"/>
  <c r="L61" i="2"/>
  <c r="L37" i="2"/>
  <c r="L2" i="2"/>
  <c r="K10" i="2"/>
  <c r="K3" i="2"/>
  <c r="F10" i="2"/>
  <c r="F3" i="2"/>
  <c r="C4" i="2"/>
  <c r="I4" i="2"/>
  <c r="E4" i="2"/>
  <c r="H5" i="2"/>
  <c r="D5" i="2"/>
  <c r="K6" i="2"/>
  <c r="G6" i="2"/>
  <c r="F7" i="2"/>
  <c r="K24" i="2"/>
  <c r="L22" i="2"/>
  <c r="L23" i="2" s="1"/>
  <c r="L84" i="3" s="1"/>
  <c r="G24" i="2"/>
  <c r="H22" i="2"/>
  <c r="J85" i="2"/>
  <c r="J16" i="2"/>
  <c r="F16" i="2"/>
  <c r="F85" i="2"/>
  <c r="H40" i="2"/>
  <c r="I38" i="2"/>
  <c r="D40" i="2"/>
  <c r="D39" i="2" s="1"/>
  <c r="D86" i="3" s="1"/>
  <c r="E38" i="2"/>
  <c r="K69" i="2"/>
  <c r="L67" i="2"/>
  <c r="L68" i="2" s="1"/>
  <c r="L80" i="3" s="1"/>
  <c r="G69" i="2"/>
  <c r="H67" i="2"/>
  <c r="E67" i="2"/>
  <c r="D69" i="2"/>
  <c r="D68" i="2" s="1"/>
  <c r="D80" i="3" s="1"/>
  <c r="I62" i="2"/>
  <c r="H64" i="2"/>
  <c r="D64" i="2"/>
  <c r="D63" i="2" s="1"/>
  <c r="D79" i="3" s="1"/>
  <c r="E62" i="2"/>
  <c r="E59" i="2"/>
  <c r="F57" i="2"/>
  <c r="J64" i="2"/>
  <c r="K62" i="2"/>
  <c r="I59" i="2"/>
  <c r="J57" i="2"/>
  <c r="I84" i="2"/>
  <c r="I15" i="2"/>
  <c r="E84" i="2"/>
  <c r="E15" i="2"/>
  <c r="H83" i="2"/>
  <c r="H14" i="2"/>
  <c r="J10" i="2"/>
  <c r="J3" i="2"/>
  <c r="F40" i="7"/>
  <c r="J40" i="7"/>
  <c r="K28" i="7"/>
  <c r="K34" i="7" s="1"/>
  <c r="F29" i="7"/>
  <c r="F35" i="7" s="1"/>
  <c r="J30" i="7"/>
  <c r="J36" i="7" s="1"/>
  <c r="G29" i="7"/>
  <c r="G35" i="7" s="1"/>
  <c r="I31" i="7"/>
  <c r="H57" i="3"/>
  <c r="F30" i="7"/>
  <c r="F36" i="7" s="1"/>
  <c r="H28" i="7"/>
  <c r="H34" i="7" s="1"/>
  <c r="C57" i="3"/>
  <c r="E57" i="3"/>
  <c r="G57" i="3"/>
  <c r="L57" i="3"/>
  <c r="C29" i="7"/>
  <c r="K62" i="3"/>
  <c r="J62" i="3"/>
  <c r="F62" i="3"/>
  <c r="I27" i="7"/>
  <c r="I33" i="7" s="1"/>
  <c r="E27" i="7"/>
  <c r="E33" i="7" s="1"/>
  <c r="L62" i="3"/>
  <c r="E31" i="7"/>
  <c r="D57" i="3"/>
  <c r="D62" i="3"/>
  <c r="H62" i="3"/>
  <c r="K29" i="7"/>
  <c r="K35" i="7" s="1"/>
  <c r="I30" i="7"/>
  <c r="I36" i="7" s="1"/>
  <c r="D31" i="7"/>
  <c r="L31" i="7"/>
  <c r="L27" i="7"/>
  <c r="L33" i="7" s="1"/>
  <c r="L30" i="7"/>
  <c r="L36" i="7" s="1"/>
  <c r="L29" i="7"/>
  <c r="L35" i="7" s="1"/>
  <c r="G28" i="7"/>
  <c r="G34" i="7" s="1"/>
  <c r="G31" i="7"/>
  <c r="G27" i="7"/>
  <c r="G33" i="7" s="1"/>
  <c r="G30" i="7"/>
  <c r="G36" i="7" s="1"/>
  <c r="L28" i="7"/>
  <c r="L34" i="7" s="1"/>
  <c r="K7" i="3"/>
  <c r="K5" i="7" s="1"/>
  <c r="C30" i="7"/>
  <c r="F27" i="7"/>
  <c r="F33" i="7" s="1"/>
  <c r="J27" i="7"/>
  <c r="J33" i="7" s="1"/>
  <c r="E28" i="7"/>
  <c r="E34" i="7" s="1"/>
  <c r="I28" i="7"/>
  <c r="I34" i="7" s="1"/>
  <c r="D29" i="7"/>
  <c r="D35" i="7" s="1"/>
  <c r="H29" i="7"/>
  <c r="H35" i="7" s="1"/>
  <c r="K30" i="7"/>
  <c r="K36" i="7" s="1"/>
  <c r="F31" i="7"/>
  <c r="J31" i="7"/>
  <c r="K57" i="3"/>
  <c r="C27" i="7"/>
  <c r="C31" i="7"/>
  <c r="K27" i="7"/>
  <c r="K33" i="7" s="1"/>
  <c r="F28" i="7"/>
  <c r="F34" i="7" s="1"/>
  <c r="J28" i="7"/>
  <c r="J34" i="7" s="1"/>
  <c r="E29" i="7"/>
  <c r="E35" i="7" s="1"/>
  <c r="I29" i="7"/>
  <c r="I35" i="7" s="1"/>
  <c r="D30" i="7"/>
  <c r="D36" i="7" s="1"/>
  <c r="H30" i="7"/>
  <c r="H36" i="7" s="1"/>
  <c r="K31" i="7"/>
  <c r="G62" i="3"/>
  <c r="C62" i="3"/>
  <c r="D27" i="7"/>
  <c r="D33" i="7" s="1"/>
  <c r="H27" i="7"/>
  <c r="H33" i="7" s="1"/>
  <c r="J29" i="7"/>
  <c r="J35" i="7" s="1"/>
  <c r="J57" i="3"/>
  <c r="I57" i="3"/>
  <c r="I62" i="3"/>
  <c r="E62" i="3"/>
  <c r="F57" i="3"/>
  <c r="J7" i="3"/>
  <c r="J5" i="7" s="1"/>
  <c r="F7" i="3"/>
  <c r="F5" i="7" s="1"/>
  <c r="C10" i="3"/>
  <c r="I16" i="3"/>
  <c r="I17" i="7" s="1"/>
  <c r="E16" i="3"/>
  <c r="E17" i="7" s="1"/>
  <c r="I12" i="3"/>
  <c r="E12" i="3"/>
  <c r="K22" i="3"/>
  <c r="G22" i="3"/>
  <c r="J25" i="3"/>
  <c r="J18" i="7" s="1"/>
  <c r="F25" i="3"/>
  <c r="F18" i="7" s="1"/>
  <c r="K10" i="3"/>
  <c r="G10" i="3"/>
  <c r="J16" i="3"/>
  <c r="J17" i="7" s="1"/>
  <c r="F16" i="3"/>
  <c r="F17" i="7" s="1"/>
  <c r="C22" i="3"/>
  <c r="I7" i="3"/>
  <c r="I5" i="7" s="1"/>
  <c r="L10" i="3"/>
  <c r="H10" i="3"/>
  <c r="D10" i="3"/>
  <c r="K16" i="3"/>
  <c r="K17" i="7" s="1"/>
  <c r="G16" i="3"/>
  <c r="G17" i="7" s="1"/>
  <c r="C16" i="3"/>
  <c r="C17" i="7" s="1"/>
  <c r="K25" i="3"/>
  <c r="K18" i="7" s="1"/>
  <c r="G25" i="3"/>
  <c r="G18" i="7" s="1"/>
  <c r="J12" i="3"/>
  <c r="J22" i="3"/>
  <c r="F22" i="3"/>
  <c r="L12" i="3"/>
  <c r="H12" i="3"/>
  <c r="D12" i="3"/>
  <c r="F12" i="3"/>
  <c r="I22" i="3"/>
  <c r="E22" i="3"/>
  <c r="C25" i="3"/>
  <c r="C18" i="7" s="1"/>
  <c r="I25" i="3"/>
  <c r="I18" i="7" s="1"/>
  <c r="E25" i="3"/>
  <c r="E18" i="7" s="1"/>
  <c r="G12" i="3"/>
  <c r="J10" i="3"/>
  <c r="F10" i="3"/>
  <c r="K12" i="3"/>
  <c r="L16" i="3"/>
  <c r="L17" i="7" s="1"/>
  <c r="H16" i="3"/>
  <c r="H17" i="7" s="1"/>
  <c r="D16" i="3"/>
  <c r="D17" i="7" s="1"/>
  <c r="L25" i="3"/>
  <c r="L18" i="7" s="1"/>
  <c r="H25" i="3"/>
  <c r="H18" i="7" s="1"/>
  <c r="D25" i="3"/>
  <c r="D18" i="7" s="1"/>
  <c r="E7" i="3"/>
  <c r="E5" i="7" s="1"/>
  <c r="H7" i="3"/>
  <c r="H5" i="7" s="1"/>
  <c r="I10" i="3"/>
  <c r="E10" i="3"/>
  <c r="C12" i="3"/>
  <c r="H22" i="3"/>
  <c r="D22" i="3"/>
  <c r="G7" i="3"/>
  <c r="G5" i="7" s="1"/>
  <c r="D7" i="3"/>
  <c r="D5" i="7" s="1"/>
  <c r="L22" i="3"/>
  <c r="L7" i="3"/>
  <c r="L5" i="7" s="1"/>
  <c r="I9" i="7" l="1"/>
  <c r="I51" i="2"/>
  <c r="I77" i="3" s="1"/>
  <c r="L51" i="2"/>
  <c r="L77" i="3" s="1"/>
  <c r="L81" i="3" s="1"/>
  <c r="G51" i="2"/>
  <c r="G77" i="3" s="1"/>
  <c r="E51" i="2"/>
  <c r="E77" i="3" s="1"/>
  <c r="I71" i="2"/>
  <c r="I76" i="2" s="1"/>
  <c r="I42" i="2"/>
  <c r="F71" i="2"/>
  <c r="F76" i="2" s="1"/>
  <c r="F42" i="2"/>
  <c r="J51" i="2"/>
  <c r="J77" i="3" s="1"/>
  <c r="D71" i="2"/>
  <c r="D76" i="2" s="1"/>
  <c r="D42" i="2"/>
  <c r="H71" i="2"/>
  <c r="H76" i="2" s="1"/>
  <c r="H42" i="2"/>
  <c r="L9" i="7"/>
  <c r="K51" i="2"/>
  <c r="K77" i="3" s="1"/>
  <c r="F51" i="2"/>
  <c r="F77" i="3" s="1"/>
  <c r="H51" i="2"/>
  <c r="H77" i="3" s="1"/>
  <c r="C71" i="2"/>
  <c r="C76" i="2" s="1"/>
  <c r="C42" i="2"/>
  <c r="E71" i="2"/>
  <c r="E76" i="2" s="1"/>
  <c r="E42" i="2"/>
  <c r="F9" i="7"/>
  <c r="H9" i="7"/>
  <c r="L71" i="2"/>
  <c r="L76" i="2" s="1"/>
  <c r="L42" i="2"/>
  <c r="K71" i="2"/>
  <c r="K76" i="2" s="1"/>
  <c r="K42" i="2"/>
  <c r="G9" i="7"/>
  <c r="G71" i="2"/>
  <c r="G76" i="2" s="1"/>
  <c r="G42" i="2"/>
  <c r="J71" i="2"/>
  <c r="J76" i="2" s="1"/>
  <c r="J42" i="2"/>
  <c r="H86" i="2"/>
  <c r="H73" i="3" s="1"/>
  <c r="K23" i="2"/>
  <c r="K84" i="3" s="1"/>
  <c r="H73" i="2"/>
  <c r="G44" i="2"/>
  <c r="E78" i="2"/>
  <c r="I73" i="2"/>
  <c r="D81" i="3"/>
  <c r="M81" i="3"/>
  <c r="K78" i="2"/>
  <c r="E73" i="2"/>
  <c r="I78" i="2"/>
  <c r="J44" i="2"/>
  <c r="F78" i="2"/>
  <c r="I44" i="2"/>
  <c r="J73" i="2"/>
  <c r="J9" i="7"/>
  <c r="K9" i="7"/>
  <c r="D9" i="7"/>
  <c r="O22" i="2"/>
  <c r="O24" i="2" s="1"/>
  <c r="N47" i="3"/>
  <c r="G73" i="2"/>
  <c r="H78" i="2"/>
  <c r="F73" i="2"/>
  <c r="G78" i="2"/>
  <c r="H44" i="2"/>
  <c r="K73" i="2"/>
  <c r="E9" i="7"/>
  <c r="O38" i="2"/>
  <c r="O40" i="2" s="1"/>
  <c r="N49" i="3"/>
  <c r="N21" i="3"/>
  <c r="N27" i="3" s="1"/>
  <c r="F44" i="2"/>
  <c r="O26" i="2"/>
  <c r="N36" i="3"/>
  <c r="J78" i="2"/>
  <c r="E44" i="2"/>
  <c r="M30" i="3"/>
  <c r="M33" i="3" s="1"/>
  <c r="M32" i="2" s="1"/>
  <c r="M34" i="2" s="1"/>
  <c r="D64" i="3"/>
  <c r="J58" i="2"/>
  <c r="J78" i="3" s="1"/>
  <c r="F58" i="2"/>
  <c r="F78" i="3" s="1"/>
  <c r="K64" i="3"/>
  <c r="I39" i="2"/>
  <c r="I86" i="3" s="1"/>
  <c r="G86" i="2"/>
  <c r="G73" i="3" s="1"/>
  <c r="E68" i="2"/>
  <c r="E80" i="3" s="1"/>
  <c r="F68" i="2"/>
  <c r="F80" i="3" s="1"/>
  <c r="F23" i="2"/>
  <c r="F84" i="3" s="1"/>
  <c r="K58" i="2"/>
  <c r="K78" i="3" s="1"/>
  <c r="K39" i="2"/>
  <c r="K86" i="3" s="1"/>
  <c r="E23" i="2"/>
  <c r="E84" i="3" s="1"/>
  <c r="G23" i="2"/>
  <c r="G84" i="3" s="1"/>
  <c r="J39" i="2"/>
  <c r="J86" i="3" s="1"/>
  <c r="L86" i="2"/>
  <c r="L73" i="3" s="1"/>
  <c r="H39" i="2"/>
  <c r="H86" i="3" s="1"/>
  <c r="N40" i="7"/>
  <c r="H58" i="2"/>
  <c r="H78" i="3" s="1"/>
  <c r="I68" i="2"/>
  <c r="I80" i="3" s="1"/>
  <c r="G58" i="2"/>
  <c r="G78" i="3" s="1"/>
  <c r="K68" i="2"/>
  <c r="K80" i="3" s="1"/>
  <c r="E63" i="2"/>
  <c r="E79" i="3" s="1"/>
  <c r="H23" i="2"/>
  <c r="H84" i="3" s="1"/>
  <c r="D86" i="2"/>
  <c r="D73" i="3" s="1"/>
  <c r="J63" i="2"/>
  <c r="J79" i="3" s="1"/>
  <c r="I86" i="2"/>
  <c r="I73" i="3" s="1"/>
  <c r="J68" i="2"/>
  <c r="J80" i="3" s="1"/>
  <c r="J86" i="2"/>
  <c r="J73" i="3" s="1"/>
  <c r="K86" i="2"/>
  <c r="K73" i="3" s="1"/>
  <c r="E58" i="2"/>
  <c r="E78" i="3" s="1"/>
  <c r="N5" i="7"/>
  <c r="O5" i="7"/>
  <c r="O17" i="7"/>
  <c r="N17" i="7"/>
  <c r="C35" i="7"/>
  <c r="N29" i="7"/>
  <c r="O29" i="7"/>
  <c r="G68" i="2"/>
  <c r="G80" i="3" s="1"/>
  <c r="N31" i="7"/>
  <c r="O31" i="7"/>
  <c r="I23" i="2"/>
  <c r="I84" i="3" s="1"/>
  <c r="F63" i="2"/>
  <c r="F79" i="3" s="1"/>
  <c r="C33" i="7"/>
  <c r="O27" i="7"/>
  <c r="N27" i="7"/>
  <c r="C36" i="7"/>
  <c r="O30" i="7"/>
  <c r="N30" i="7"/>
  <c r="H63" i="2"/>
  <c r="H79" i="3" s="1"/>
  <c r="F39" i="2"/>
  <c r="F86" i="3" s="1"/>
  <c r="C34" i="7"/>
  <c r="O28" i="7"/>
  <c r="N28" i="7"/>
  <c r="G39" i="2"/>
  <c r="G86" i="3" s="1"/>
  <c r="J23" i="2"/>
  <c r="J84" i="3" s="1"/>
  <c r="O40" i="7"/>
  <c r="I63" i="2"/>
  <c r="I79" i="3" s="1"/>
  <c r="O18" i="7"/>
  <c r="N18" i="7"/>
  <c r="K63" i="2"/>
  <c r="K79" i="3" s="1"/>
  <c r="H68" i="2"/>
  <c r="H80" i="3" s="1"/>
  <c r="E39" i="2"/>
  <c r="E86" i="3" s="1"/>
  <c r="E86" i="2"/>
  <c r="E73" i="3" s="1"/>
  <c r="F86" i="2"/>
  <c r="F73" i="3" s="1"/>
  <c r="G63" i="2"/>
  <c r="G79" i="3" s="1"/>
  <c r="I58" i="2"/>
  <c r="I78" i="3" s="1"/>
  <c r="O38" i="7"/>
  <c r="N38" i="7"/>
  <c r="H64" i="3"/>
  <c r="H67" i="3" s="1"/>
  <c r="E64" i="3"/>
  <c r="E67" i="3" s="1"/>
  <c r="J64" i="3"/>
  <c r="J67" i="3" s="1"/>
  <c r="C64" i="3"/>
  <c r="C67" i="3" s="1"/>
  <c r="F64" i="3"/>
  <c r="F67" i="3" s="1"/>
  <c r="G64" i="3"/>
  <c r="G67" i="3" s="1"/>
  <c r="L64" i="3"/>
  <c r="L67" i="3" s="1"/>
  <c r="I64" i="3"/>
  <c r="I67" i="3" s="1"/>
  <c r="C18" i="3"/>
  <c r="C13" i="3"/>
  <c r="C11" i="7" s="1"/>
  <c r="G18" i="3"/>
  <c r="G13" i="3"/>
  <c r="G11" i="7" s="1"/>
  <c r="E18" i="3"/>
  <c r="E19" i="3" s="1"/>
  <c r="E12" i="7" s="1"/>
  <c r="E13" i="3"/>
  <c r="E11" i="7" s="1"/>
  <c r="K18" i="3"/>
  <c r="K13" i="3"/>
  <c r="K11" i="7" s="1"/>
  <c r="D18" i="3"/>
  <c r="D27" i="3" s="1"/>
  <c r="D8" i="2" s="1"/>
  <c r="D13" i="3"/>
  <c r="D11" i="7" s="1"/>
  <c r="H18" i="3"/>
  <c r="H13" i="3"/>
  <c r="H11" i="7" s="1"/>
  <c r="J18" i="3"/>
  <c r="J13" i="3"/>
  <c r="J11" i="7" s="1"/>
  <c r="I18" i="3"/>
  <c r="I13" i="3"/>
  <c r="I11" i="7" s="1"/>
  <c r="F18" i="3"/>
  <c r="F19" i="3" s="1"/>
  <c r="F12" i="7" s="1"/>
  <c r="F13" i="3"/>
  <c r="F11" i="7" s="1"/>
  <c r="L18" i="3"/>
  <c r="L19" i="3" s="1"/>
  <c r="L12" i="7" s="1"/>
  <c r="L13" i="3"/>
  <c r="L11" i="7" s="1"/>
  <c r="E27" i="3"/>
  <c r="E8" i="2" s="1"/>
  <c r="O9" i="7" l="1"/>
  <c r="D66" i="3"/>
  <c r="D67" i="3"/>
  <c r="K66" i="3"/>
  <c r="K67" i="3"/>
  <c r="N9" i="7"/>
  <c r="N31" i="2"/>
  <c r="M48" i="3"/>
  <c r="M51" i="3" s="1"/>
  <c r="N30" i="3"/>
  <c r="N33" i="3" s="1"/>
  <c r="N32" i="2" s="1"/>
  <c r="P22" i="2"/>
  <c r="P24" i="2" s="1"/>
  <c r="O47" i="3"/>
  <c r="M71" i="3"/>
  <c r="M74" i="3" s="1"/>
  <c r="M87" i="3"/>
  <c r="P26" i="2"/>
  <c r="O36" i="3"/>
  <c r="P38" i="2"/>
  <c r="P40" i="2" s="1"/>
  <c r="O21" i="3"/>
  <c r="O27" i="3" s="1"/>
  <c r="O49" i="3"/>
  <c r="M38" i="3"/>
  <c r="M34" i="3"/>
  <c r="J81" i="3"/>
  <c r="F81" i="3"/>
  <c r="E81" i="3"/>
  <c r="I81" i="3"/>
  <c r="H81" i="3"/>
  <c r="G81" i="3"/>
  <c r="K81" i="3"/>
  <c r="D39" i="7"/>
  <c r="K39" i="7"/>
  <c r="J66" i="3"/>
  <c r="J39" i="7"/>
  <c r="E66" i="3"/>
  <c r="E39" i="7"/>
  <c r="O33" i="7"/>
  <c r="N33" i="7"/>
  <c r="O35" i="7"/>
  <c r="N35" i="7"/>
  <c r="O34" i="7"/>
  <c r="N34" i="7"/>
  <c r="I66" i="3"/>
  <c r="I39" i="7"/>
  <c r="G66" i="3"/>
  <c r="G39" i="7"/>
  <c r="N11" i="7"/>
  <c r="O11" i="7"/>
  <c r="F66" i="3"/>
  <c r="F39" i="7"/>
  <c r="H66" i="3"/>
  <c r="H39" i="7"/>
  <c r="O36" i="7"/>
  <c r="N36" i="7"/>
  <c r="C27" i="3"/>
  <c r="C28" i="3" s="1"/>
  <c r="C14" i="7" s="1"/>
  <c r="L66" i="3"/>
  <c r="L39" i="7"/>
  <c r="C66" i="3"/>
  <c r="C39" i="7"/>
  <c r="C19" i="3"/>
  <c r="C12" i="7" s="1"/>
  <c r="L27" i="3"/>
  <c r="L21" i="7"/>
  <c r="L25" i="7"/>
  <c r="L13" i="7"/>
  <c r="L19" i="7" s="1"/>
  <c r="L6" i="7"/>
  <c r="I27" i="3"/>
  <c r="I8" i="2" s="1"/>
  <c r="I21" i="7"/>
  <c r="I25" i="7"/>
  <c r="I13" i="7"/>
  <c r="I19" i="7" s="1"/>
  <c r="I6" i="7"/>
  <c r="H27" i="3"/>
  <c r="H8" i="2" s="1"/>
  <c r="H21" i="7"/>
  <c r="H25" i="7"/>
  <c r="H13" i="7"/>
  <c r="H19" i="7" s="1"/>
  <c r="H6" i="7"/>
  <c r="K19" i="3"/>
  <c r="K12" i="7" s="1"/>
  <c r="K13" i="7"/>
  <c r="K19" i="7" s="1"/>
  <c r="K6" i="7"/>
  <c r="K21" i="7"/>
  <c r="K25" i="7"/>
  <c r="G19" i="3"/>
  <c r="G12" i="7" s="1"/>
  <c r="G13" i="7"/>
  <c r="G19" i="7" s="1"/>
  <c r="G6" i="7"/>
  <c r="G21" i="7"/>
  <c r="G25" i="7"/>
  <c r="E7" i="7"/>
  <c r="F27" i="3"/>
  <c r="F8" i="2" s="1"/>
  <c r="F25" i="7"/>
  <c r="F13" i="7"/>
  <c r="F19" i="7" s="1"/>
  <c r="F6" i="7"/>
  <c r="F21" i="7"/>
  <c r="J25" i="7"/>
  <c r="J13" i="7"/>
  <c r="J19" i="7" s="1"/>
  <c r="J6" i="7"/>
  <c r="J21" i="7"/>
  <c r="D19" i="3"/>
  <c r="D12" i="7" s="1"/>
  <c r="D6" i="7"/>
  <c r="D21" i="7"/>
  <c r="D25" i="7"/>
  <c r="D13" i="7"/>
  <c r="D19" i="7" s="1"/>
  <c r="E21" i="7"/>
  <c r="E25" i="7"/>
  <c r="E13" i="7"/>
  <c r="E19" i="7" s="1"/>
  <c r="E6" i="7"/>
  <c r="C25" i="7"/>
  <c r="C21" i="7"/>
  <c r="C13" i="7"/>
  <c r="K27" i="3"/>
  <c r="I19" i="3"/>
  <c r="I12" i="7" s="1"/>
  <c r="H19" i="3"/>
  <c r="H12" i="7" s="1"/>
  <c r="G27" i="3"/>
  <c r="G8" i="2" s="1"/>
  <c r="J19" i="3"/>
  <c r="J12" i="7" s="1"/>
  <c r="J27" i="3"/>
  <c r="J8" i="2" s="1"/>
  <c r="E28" i="3"/>
  <c r="E14" i="7" s="1"/>
  <c r="E31" i="3"/>
  <c r="E33" i="3"/>
  <c r="E32" i="2" s="1"/>
  <c r="E33" i="2" s="1"/>
  <c r="E85" i="3" s="1"/>
  <c r="D28" i="3"/>
  <c r="D14" i="7" s="1"/>
  <c r="D31" i="3"/>
  <c r="D33" i="3"/>
  <c r="D32" i="2" l="1"/>
  <c r="D33" i="2" s="1"/>
  <c r="D85" i="3" s="1"/>
  <c r="D87" i="3" s="1"/>
  <c r="N34" i="2"/>
  <c r="O30" i="3"/>
  <c r="O33" i="3" s="1"/>
  <c r="O32" i="2" s="1"/>
  <c r="Q38" i="2"/>
  <c r="Q40" i="2" s="1"/>
  <c r="P21" i="3"/>
  <c r="P27" i="3" s="1"/>
  <c r="P49" i="3"/>
  <c r="M89" i="3"/>
  <c r="Q22" i="2"/>
  <c r="Q24" i="2" s="1"/>
  <c r="Q47" i="3" s="1"/>
  <c r="P47" i="3"/>
  <c r="N71" i="3"/>
  <c r="N74" i="3" s="1"/>
  <c r="N87" i="3"/>
  <c r="N38" i="3"/>
  <c r="N34" i="3"/>
  <c r="Q26" i="2"/>
  <c r="Q36" i="3" s="1"/>
  <c r="P36" i="3"/>
  <c r="M44" i="3"/>
  <c r="M42" i="3"/>
  <c r="E87" i="3"/>
  <c r="E71" i="3"/>
  <c r="E74" i="3" s="1"/>
  <c r="D71" i="3"/>
  <c r="C31" i="3"/>
  <c r="N21" i="7"/>
  <c r="O21" i="7"/>
  <c r="O39" i="7"/>
  <c r="N39" i="7"/>
  <c r="O6" i="7"/>
  <c r="N6" i="7"/>
  <c r="L28" i="3"/>
  <c r="L14" i="7" s="1"/>
  <c r="L8" i="2"/>
  <c r="C33" i="3"/>
  <c r="C34" i="3" s="1"/>
  <c r="C15" i="7" s="1"/>
  <c r="C8" i="2"/>
  <c r="K33" i="3"/>
  <c r="K32" i="2" s="1"/>
  <c r="K33" i="2" s="1"/>
  <c r="K85" i="3" s="1"/>
  <c r="K8" i="2"/>
  <c r="D7" i="7"/>
  <c r="O25" i="7"/>
  <c r="N25" i="7"/>
  <c r="C19" i="7"/>
  <c r="O13" i="7"/>
  <c r="N13" i="7"/>
  <c r="N12" i="7"/>
  <c r="O12" i="7"/>
  <c r="L33" i="3"/>
  <c r="L32" i="2" s="1"/>
  <c r="L33" i="2" s="1"/>
  <c r="L85" i="3" s="1"/>
  <c r="J7" i="7"/>
  <c r="F7" i="7"/>
  <c r="F28" i="3"/>
  <c r="F14" i="7" s="1"/>
  <c r="F31" i="3"/>
  <c r="F33" i="3"/>
  <c r="F32" i="2" s="1"/>
  <c r="F33" i="2" s="1"/>
  <c r="F85" i="3" s="1"/>
  <c r="H31" i="3"/>
  <c r="H7" i="7"/>
  <c r="E23" i="7"/>
  <c r="E8" i="7"/>
  <c r="I28" i="3"/>
  <c r="I14" i="7" s="1"/>
  <c r="I7" i="7"/>
  <c r="I31" i="3"/>
  <c r="K31" i="3"/>
  <c r="K7" i="7"/>
  <c r="H33" i="3"/>
  <c r="H32" i="2" s="1"/>
  <c r="H33" i="2" s="1"/>
  <c r="H85" i="3" s="1"/>
  <c r="L31" i="3"/>
  <c r="L7" i="7"/>
  <c r="D8" i="7"/>
  <c r="D34" i="3"/>
  <c r="D15" i="7" s="1"/>
  <c r="D23" i="7"/>
  <c r="G7" i="7"/>
  <c r="I33" i="3"/>
  <c r="I32" i="2" s="1"/>
  <c r="I33" i="2" s="1"/>
  <c r="I85" i="3" s="1"/>
  <c r="H28" i="3"/>
  <c r="H14" i="7" s="1"/>
  <c r="G28" i="3"/>
  <c r="G14" i="7" s="1"/>
  <c r="G33" i="3"/>
  <c r="G32" i="2" s="1"/>
  <c r="G33" i="2" s="1"/>
  <c r="G85" i="3" s="1"/>
  <c r="G31" i="3"/>
  <c r="J28" i="3"/>
  <c r="J14" i="7" s="1"/>
  <c r="J31" i="3"/>
  <c r="J33" i="3"/>
  <c r="J32" i="2" s="1"/>
  <c r="J33" i="2" s="1"/>
  <c r="J85" i="3" s="1"/>
  <c r="K28" i="3"/>
  <c r="K14" i="7" s="1"/>
  <c r="D38" i="3"/>
  <c r="E38" i="3"/>
  <c r="E34" i="3"/>
  <c r="E15" i="7" s="1"/>
  <c r="C38" i="3" l="1"/>
  <c r="O31" i="2"/>
  <c r="O34" i="2" s="1"/>
  <c r="N48" i="3"/>
  <c r="N51" i="3" s="1"/>
  <c r="N89" i="3"/>
  <c r="O34" i="3"/>
  <c r="O38" i="3"/>
  <c r="O71" i="3"/>
  <c r="O74" i="3" s="1"/>
  <c r="O87" i="3"/>
  <c r="N39" i="3"/>
  <c r="N44" i="3"/>
  <c r="N42" i="3"/>
  <c r="Q49" i="3"/>
  <c r="Q21" i="3"/>
  <c r="Q27" i="3" s="1"/>
  <c r="P30" i="3"/>
  <c r="P33" i="3" s="1"/>
  <c r="P32" i="2" s="1"/>
  <c r="G71" i="3"/>
  <c r="G74" i="3" s="1"/>
  <c r="G87" i="3"/>
  <c r="L38" i="3"/>
  <c r="M39" i="3" s="1"/>
  <c r="L71" i="3"/>
  <c r="L74" i="3" s="1"/>
  <c r="L87" i="3"/>
  <c r="K87" i="3"/>
  <c r="K71" i="3"/>
  <c r="K74" i="3" s="1"/>
  <c r="D74" i="3"/>
  <c r="D89" i="3" s="1"/>
  <c r="D91" i="3" s="1"/>
  <c r="J87" i="3"/>
  <c r="J71" i="3"/>
  <c r="J74" i="3" s="1"/>
  <c r="H71" i="3"/>
  <c r="H74" i="3" s="1"/>
  <c r="H87" i="3"/>
  <c r="E89" i="3"/>
  <c r="E91" i="3" s="1"/>
  <c r="F71" i="3"/>
  <c r="F74" i="3" s="1"/>
  <c r="F87" i="3"/>
  <c r="I87" i="3"/>
  <c r="I71" i="3"/>
  <c r="I74" i="3" s="1"/>
  <c r="L23" i="7"/>
  <c r="N14" i="7"/>
  <c r="O14" i="7"/>
  <c r="K23" i="7"/>
  <c r="O19" i="7"/>
  <c r="N19" i="7"/>
  <c r="I34" i="3"/>
  <c r="I15" i="7" s="1"/>
  <c r="K34" i="3"/>
  <c r="K15" i="7" s="1"/>
  <c r="K38" i="3"/>
  <c r="K42" i="3" s="1"/>
  <c r="L8" i="7"/>
  <c r="O7" i="7"/>
  <c r="N7" i="7"/>
  <c r="C23" i="7"/>
  <c r="L34" i="3"/>
  <c r="L15" i="7" s="1"/>
  <c r="H23" i="7"/>
  <c r="H8" i="7"/>
  <c r="H34" i="3"/>
  <c r="H15" i="7" s="1"/>
  <c r="H38" i="3"/>
  <c r="J23" i="7"/>
  <c r="J8" i="7"/>
  <c r="G23" i="7"/>
  <c r="G8" i="7"/>
  <c r="I38" i="3"/>
  <c r="I23" i="7"/>
  <c r="I8" i="7"/>
  <c r="K8" i="7"/>
  <c r="F23" i="7"/>
  <c r="F8" i="7"/>
  <c r="F34" i="3"/>
  <c r="F15" i="7" s="1"/>
  <c r="F38" i="3"/>
  <c r="F42" i="3" s="1"/>
  <c r="F44" i="3" s="1"/>
  <c r="F22" i="7" s="1"/>
  <c r="J38" i="3"/>
  <c r="J34" i="3"/>
  <c r="J15" i="7" s="1"/>
  <c r="G34" i="3"/>
  <c r="G15" i="7" s="1"/>
  <c r="G38" i="3"/>
  <c r="E39" i="3"/>
  <c r="E42" i="3"/>
  <c r="E44" i="3" s="1"/>
  <c r="E22" i="7" s="1"/>
  <c r="E24" i="7" s="1"/>
  <c r="C42" i="3"/>
  <c r="C44" i="3" s="1"/>
  <c r="C22" i="7" s="1"/>
  <c r="D42" i="3"/>
  <c r="D44" i="3" s="1"/>
  <c r="D22" i="7" s="1"/>
  <c r="D24" i="7" s="1"/>
  <c r="D39" i="3"/>
  <c r="P31" i="2" l="1"/>
  <c r="P34" i="2" s="1"/>
  <c r="O48" i="3"/>
  <c r="O51" i="3" s="1"/>
  <c r="O89" i="3"/>
  <c r="P34" i="3"/>
  <c r="P71" i="3"/>
  <c r="P74" i="3" s="1"/>
  <c r="P87" i="3"/>
  <c r="P38" i="3"/>
  <c r="Q30" i="3"/>
  <c r="Q33" i="3" s="1"/>
  <c r="Q32" i="2" s="1"/>
  <c r="O39" i="3"/>
  <c r="O44" i="3"/>
  <c r="O42" i="3"/>
  <c r="K89" i="3"/>
  <c r="K91" i="3" s="1"/>
  <c r="J89" i="3"/>
  <c r="J91" i="3" s="1"/>
  <c r="L89" i="3"/>
  <c r="L91" i="3" s="1"/>
  <c r="M90" i="3" s="1"/>
  <c r="M91" i="3" s="1"/>
  <c r="L42" i="3"/>
  <c r="K39" i="3"/>
  <c r="I89" i="3"/>
  <c r="I91" i="3" s="1"/>
  <c r="F89" i="3"/>
  <c r="F91" i="3" s="1"/>
  <c r="L44" i="3"/>
  <c r="L22" i="7" s="1"/>
  <c r="L24" i="7" s="1"/>
  <c r="H89" i="3"/>
  <c r="H91" i="3" s="1"/>
  <c r="G89" i="3"/>
  <c r="G91" i="3" s="1"/>
  <c r="L39" i="3"/>
  <c r="K44" i="3"/>
  <c r="K22" i="7" s="1"/>
  <c r="K24" i="7" s="1"/>
  <c r="O8" i="7"/>
  <c r="O15" i="7"/>
  <c r="C24" i="7"/>
  <c r="N15" i="7"/>
  <c r="O23" i="7"/>
  <c r="N23" i="7"/>
  <c r="N8" i="7"/>
  <c r="F39" i="3"/>
  <c r="F24" i="7"/>
  <c r="H42" i="3"/>
  <c r="H44" i="3"/>
  <c r="H22" i="7" s="1"/>
  <c r="H24" i="7" s="1"/>
  <c r="I44" i="3"/>
  <c r="I22" i="7" s="1"/>
  <c r="I24" i="7" s="1"/>
  <c r="I39" i="3"/>
  <c r="I42" i="3"/>
  <c r="G39" i="3"/>
  <c r="H39" i="3"/>
  <c r="G42" i="3"/>
  <c r="G44" i="3" s="1"/>
  <c r="G22" i="7" s="1"/>
  <c r="G24" i="7" s="1"/>
  <c r="J44" i="3"/>
  <c r="J22" i="7" s="1"/>
  <c r="J24" i="7" s="1"/>
  <c r="J42" i="3"/>
  <c r="J39" i="3"/>
  <c r="Q31" i="2" l="1"/>
  <c r="Q34" i="2" s="1"/>
  <c r="Q48" i="3" s="1"/>
  <c r="Q51" i="3" s="1"/>
  <c r="P48" i="3"/>
  <c r="P51" i="3" s="1"/>
  <c r="P44" i="3"/>
  <c r="P39" i="3"/>
  <c r="P42" i="3"/>
  <c r="M61" i="3"/>
  <c r="M62" i="3" s="1"/>
  <c r="M64" i="3" s="1"/>
  <c r="N90" i="3"/>
  <c r="N91" i="3" s="1"/>
  <c r="Q71" i="3"/>
  <c r="Q74" i="3" s="1"/>
  <c r="Q87" i="3"/>
  <c r="Q38" i="3"/>
  <c r="Q34" i="3"/>
  <c r="P89" i="3"/>
  <c r="O22" i="7"/>
  <c r="N22" i="7"/>
  <c r="O24" i="7"/>
  <c r="N24" i="7"/>
  <c r="M67" i="3" l="1"/>
  <c r="M66" i="3"/>
  <c r="Q39" i="3"/>
  <c r="Q44" i="3"/>
  <c r="Q42" i="3"/>
  <c r="Q89" i="3"/>
  <c r="O90" i="3"/>
  <c r="O91" i="3" s="1"/>
  <c r="N61" i="3"/>
  <c r="N62" i="3" s="1"/>
  <c r="N64" i="3" s="1"/>
  <c r="N67" i="3" l="1"/>
  <c r="N66" i="3"/>
  <c r="P90" i="3"/>
  <c r="P91" i="3" s="1"/>
  <c r="O61" i="3"/>
  <c r="O62" i="3" s="1"/>
  <c r="O64" i="3" s="1"/>
  <c r="O67" i="3" l="1"/>
  <c r="O66" i="3"/>
  <c r="Q90" i="3"/>
  <c r="Q91" i="3" s="1"/>
  <c r="Q61" i="3" s="1"/>
  <c r="Q62" i="3" s="1"/>
  <c r="Q64" i="3" s="1"/>
  <c r="P61" i="3"/>
  <c r="P62" i="3" s="1"/>
  <c r="P64" i="3" s="1"/>
  <c r="Q67" i="3" l="1"/>
  <c r="Q66" i="3"/>
  <c r="P67" i="3"/>
  <c r="P66" i="3"/>
</calcChain>
</file>

<file path=xl/sharedStrings.xml><?xml version="1.0" encoding="utf-8"?>
<sst xmlns="http://schemas.openxmlformats.org/spreadsheetml/2006/main" count="258" uniqueCount="185">
  <si>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</si>
  <si>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</si>
  <si>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</si>
  <si>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</si>
  <si>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</si>
  <si>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</si>
  <si>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</si>
  <si>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</si>
  <si>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</si>
  <si>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</si>
  <si>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</si>
  <si>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</si>
  <si>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</si>
  <si>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</si>
  <si>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</si>
  <si>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</si>
  <si>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</si>
  <si>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</si>
  <si>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</si>
  <si>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</si>
  <si>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</si>
  <si>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</si>
  <si>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</si>
  <si>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</si>
  <si>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</si>
  <si>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</si>
  <si>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</si>
  <si>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</si>
  <si>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</si>
  <si>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</si>
  <si>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</si>
  <si>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</si>
  <si>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</si>
  <si>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</si>
  <si>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</si>
  <si>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</si>
  <si>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</si>
  <si>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</si>
  <si>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</si>
  <si>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</si>
  <si>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</si>
  <si>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COMPANY NAME</t>
  </si>
  <si>
    <t>TATA MOTORS LTD</t>
  </si>
  <si>
    <t/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</si>
  <si>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</si>
  <si>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</si>
  <si>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</si>
  <si>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</si>
  <si>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</si>
  <si>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</si>
  <si>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</si>
  <si>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</si>
  <si>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Quarters</t>
  </si>
  <si>
    <t>Expenses</t>
  </si>
  <si>
    <t>Operating Profit</t>
  </si>
  <si>
    <t>Year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</si>
  <si>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</si>
  <si>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</si>
  <si>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</si>
  <si>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</si>
  <si>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</si>
  <si>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</si>
  <si>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</si>
  <si>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</si>
  <si>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</si>
  <si>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</t>
  </si>
  <si>
    <t>EBITDA % Sales</t>
  </si>
  <si>
    <t>Interest % Sales</t>
  </si>
  <si>
    <t>Depreciation % Sales</t>
  </si>
  <si>
    <t>Earning Before Tax</t>
  </si>
  <si>
    <t>EBT % Sales</t>
  </si>
  <si>
    <t>Effective Tax Rate</t>
  </si>
  <si>
    <t>Net Profit</t>
  </si>
  <si>
    <t>Net Margins</t>
  </si>
  <si>
    <t>No of Equity Shares</t>
  </si>
  <si>
    <t>EPS</t>
  </si>
  <si>
    <t>Dividend Per Share</t>
  </si>
  <si>
    <t>EPS Growth %</t>
  </si>
  <si>
    <t>Dividend payout ratio</t>
  </si>
  <si>
    <t>Retained Earning</t>
  </si>
  <si>
    <t>Gross Margins</t>
  </si>
  <si>
    <t>Balance Sheet</t>
  </si>
  <si>
    <t>Fixed Assets Net Block</t>
  </si>
  <si>
    <t>Total Current Assets</t>
  </si>
  <si>
    <t>Total Assets</t>
  </si>
  <si>
    <t>Total Non Current Assets</t>
  </si>
  <si>
    <t>Total Liabilities</t>
  </si>
  <si>
    <t>Check</t>
  </si>
  <si>
    <t>Cash Flow Statement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</si>
  <si>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</si>
  <si>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</si>
  <si>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</si>
  <si>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</si>
  <si>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</si>
  <si>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</si>
  <si>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</si>
  <si>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</si>
  <si>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</si>
  <si>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</si>
  <si>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</si>
  <si>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</si>
  <si>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</si>
  <si>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</si>
  <si>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</si>
  <si>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</si>
  <si>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</si>
  <si>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</si>
  <si>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</si>
  <si>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</si>
  <si>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</si>
  <si>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</si>
  <si>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</si>
  <si>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</si>
  <si>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</si>
  <si>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</si>
  <si>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CFO/Sales</t>
  </si>
  <si>
    <t>CFO/Total Assets</t>
  </si>
  <si>
    <t>CFO/Total Debts</t>
  </si>
  <si>
    <t>Cash Conversion Cycle(in days)</t>
  </si>
  <si>
    <t>Mean</t>
  </si>
  <si>
    <t>Median</t>
  </si>
  <si>
    <t>Trend</t>
  </si>
  <si>
    <t>Year Weight</t>
  </si>
  <si>
    <t>Sales Geowth</t>
  </si>
  <si>
    <t>Assumptions</t>
  </si>
  <si>
    <t>S&amp;G E% Sales</t>
  </si>
  <si>
    <t>Interest % Borrowings</t>
  </si>
  <si>
    <t>Tax % Net Income</t>
  </si>
  <si>
    <t>Fixed Asset Turnover Ratio</t>
  </si>
  <si>
    <t>Equity Share Capital Schedule</t>
  </si>
  <si>
    <t>Opening Balance</t>
  </si>
  <si>
    <t>Closing Balance</t>
  </si>
  <si>
    <t>New Issue/(Buy Back)</t>
  </si>
  <si>
    <t>Reserves - not to CFS</t>
  </si>
  <si>
    <t>Debt Schedule</t>
  </si>
  <si>
    <t>New Borrowing/(Repayment)</t>
  </si>
  <si>
    <t>Fixed Asset Schedule</t>
  </si>
  <si>
    <t>Addition/(Disposal)</t>
  </si>
  <si>
    <t>Capital WIP Schedule</t>
  </si>
  <si>
    <t>Investment Schedule</t>
  </si>
  <si>
    <t>Buy/(Sell)</t>
  </si>
  <si>
    <t>Other Assets Schedule</t>
  </si>
  <si>
    <t>Working Capital</t>
  </si>
  <si>
    <t>Change in Recievables</t>
  </si>
  <si>
    <t>(Change in Payables)</t>
  </si>
  <si>
    <t>Net Change in WC</t>
  </si>
  <si>
    <t>Cash From Operating Activities</t>
  </si>
  <si>
    <t>Add: Depreciation</t>
  </si>
  <si>
    <t>Add: Net Change in WC</t>
  </si>
  <si>
    <t>CFO</t>
  </si>
  <si>
    <t>Cash From Investing Activities</t>
  </si>
  <si>
    <t>Addition/(Disposal) of Fixed Asset</t>
  </si>
  <si>
    <t>Buy/(Sell) of Investment</t>
  </si>
  <si>
    <t>Buy/(Sell) of Other Assets</t>
  </si>
  <si>
    <t>CFI</t>
  </si>
  <si>
    <t>Cash From Financing Activities</t>
  </si>
  <si>
    <t>Issue/(Buy Back) of Shares</t>
  </si>
  <si>
    <t>Change in Reserves</t>
  </si>
  <si>
    <t>New Borrow/(Repayment)</t>
  </si>
  <si>
    <t>CFF</t>
  </si>
  <si>
    <t>Net Change in Cash</t>
  </si>
  <si>
    <t>Opening Cash</t>
  </si>
  <si>
    <t>Closing Cash</t>
  </si>
  <si>
    <t>Buy/(Sell) Capital WIP</t>
  </si>
  <si>
    <t>2024E</t>
  </si>
  <si>
    <t>2025E</t>
  </si>
  <si>
    <t>2026E</t>
  </si>
  <si>
    <t>2027E</t>
  </si>
  <si>
    <t>2028E</t>
  </si>
  <si>
    <t>No of ES</t>
  </si>
  <si>
    <t>Increase/(Decrease)</t>
  </si>
  <si>
    <t>Capital WIP Turnover Ratio</t>
  </si>
  <si>
    <t>Investment Turnover Ratio</t>
  </si>
  <si>
    <t>Other Asset Turnover Ratio</t>
  </si>
  <si>
    <t>Recievables Schedule</t>
  </si>
  <si>
    <t>Change</t>
  </si>
  <si>
    <t>Inventory Schedule</t>
  </si>
  <si>
    <t>Difference</t>
  </si>
  <si>
    <t>Add: Profit after Tax</t>
  </si>
  <si>
    <t>Other Income/(loss)</t>
  </si>
  <si>
    <t>Less: Depriciation</t>
  </si>
  <si>
    <t>Estimate Financial Statement</t>
  </si>
  <si>
    <t>Estimate Balance Sheet</t>
  </si>
  <si>
    <t>Estimate Income Statement</t>
  </si>
  <si>
    <t>Estimate 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</si>
</sst>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[$-409]mmm\-yy;@"/>
    <numFmt numFmtId="165" formatCode="&quot;₹&quot;\ #,##0.0;\(&quot;₹&quot;\ #,##0.0\);\-"/>
    <numFmt numFmtId="166" formatCode="&quot;₹&quot;\ #,##0.00"/>
    <numFmt numFmtId="167" formatCode="0.0%"/>
    <numFmt numFmtId="168" formatCode="0.00&quot;x&quot;"/>
    <numFmt numFmtId="169" formatCode="yyyy"/>
    <numFmt numFmtId="170" formatCode="yyyy&quot;A&quot;"/>
    <numFmt numFmtId="171" formatCode="yyyy&quot;E&quot;"/>
    <numFmt numFmtId="172" formatCode="#,##0.0"/>
    <numFmt numFmtId="173" formatCode="&quot;₹&quot;\ 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275D8"/>
        <bgColor indexed="64"/>
      </patternFill>
    </fill>
    <fill>
      <patternFill patternType="solid">
        <fgColor theme="9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theme="8" tint="-0.499984740745262"/>
      </top>
      <bottom style="hair">
        <color theme="8" tint="-0.499984740745262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9" fontId="1" fillId="0" borderId="0" applyFont="0" applyFill="0" applyBorder="0" applyAlignment="0" applyProtection="0"/>
    <xf numFmtId="0" fontId="4" fillId="5" borderId="0" applyNumberFormat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2">
    <xf numFmtId="0" fontId="0" fillId="0" borderId="0" xfId="0"/>
    <xf numFmtId="43" fontId="3" fillId="0" borderId="0" xfId="6" applyFont="1" applyBorder="1"/>
    <xf numFmtId="43" fontId="0" fillId="0" borderId="0" xfId="6" applyFont="1" applyBorder="1"/>
    <xf numFmtId="43" fontId="1" fillId="0" borderId="0" xfId="6" applyFont="1" applyBorder="1"/>
    <xf numFmtId="164" fontId="2" fillId="4" borderId="0" xfId="0" applyNumberFormat="1" applyFont="1" applyFill="1" applyAlignment="1">
      <alignment horizontal="center"/>
    </xf>
    <xf numFmtId="164" fontId="2" fillId="4" borderId="0" xfId="6" applyNumberFormat="1" applyFont="1" applyFill="1" applyBorder="1"/>
    <xf numFmtId="0" fontId="2" fillId="6" borderId="0" xfId="0" applyFont="1" applyFill="1"/>
    <xf numFmtId="17" fontId="2" fillId="6" borderId="0" xfId="0" applyNumberFormat="1" applyFont="1" applyFill="1"/>
    <xf numFmtId="165" fontId="0" fillId="0" borderId="0" xfId="0" applyNumberFormat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8" applyNumberFormat="1" applyFont="1"/>
    <xf numFmtId="166" fontId="0" fillId="0" borderId="0" xfId="0" applyNumberFormat="1"/>
    <xf numFmtId="165" fontId="3" fillId="0" borderId="0" xfId="0" applyNumberFormat="1" applyFont="1"/>
    <xf numFmtId="0" fontId="7" fillId="0" borderId="0" xfId="0" applyFont="1"/>
    <xf numFmtId="0" fontId="3" fillId="0" borderId="1" xfId="0" applyFont="1" applyBorder="1"/>
    <xf numFmtId="166" fontId="3" fillId="0" borderId="1" xfId="0" applyNumberFormat="1" applyFont="1" applyBorder="1"/>
    <xf numFmtId="165" fontId="3" fillId="0" borderId="1" xfId="0" applyNumberFormat="1" applyFont="1" applyBorder="1"/>
    <xf numFmtId="43" fontId="3" fillId="0" borderId="1" xfId="6" applyFont="1" applyFill="1" applyBorder="1"/>
    <xf numFmtId="43" fontId="1" fillId="0" borderId="1" xfId="6" applyFont="1" applyFill="1" applyBorder="1"/>
    <xf numFmtId="165" fontId="0" fillId="0" borderId="1" xfId="0" applyNumberFormat="1" applyBorder="1"/>
    <xf numFmtId="43" fontId="1" fillId="0" borderId="1" xfId="6" applyFont="1" applyBorder="1"/>
    <xf numFmtId="0" fontId="0" fillId="0" borderId="2" xfId="0" applyBorder="1"/>
    <xf numFmtId="10" fontId="0" fillId="0" borderId="2" xfId="8" applyNumberFormat="1" applyFont="1" applyBorder="1"/>
    <xf numFmtId="10" fontId="0" fillId="0" borderId="0" xfId="8" applyNumberFormat="1" applyFont="1" applyBorder="1"/>
    <xf numFmtId="0" fontId="0" fillId="0" borderId="3" xfId="0" applyBorder="1"/>
    <xf numFmtId="10" fontId="0" fillId="0" borderId="3" xfId="8" applyNumberFormat="1" applyFont="1" applyBorder="1"/>
    <xf numFmtId="167" fontId="0" fillId="0" borderId="0" xfId="8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17" fontId="2" fillId="6" borderId="0" xfId="0" quotePrefix="1" applyNumberFormat="1" applyFont="1" applyFill="1"/>
    <xf numFmtId="10" fontId="0" fillId="0" borderId="0" xfId="8" applyNumberFormat="1" applyFont="1"/>
    <xf numFmtId="0" fontId="0" fillId="0" borderId="0" xfId="0" applyAlignment="1">
      <alignment horizontal="left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right"/>
    </xf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0" fontId="0" fillId="7" borderId="0" xfId="0" applyFill="1" applyAlignment="1">
      <alignment horizontal="left"/>
    </xf>
    <xf numFmtId="171" fontId="0" fillId="7" borderId="0" xfId="0" applyNumberFormat="1" applyFill="1"/>
    <xf numFmtId="172" fontId="0" fillId="7" borderId="0" xfId="0" applyNumberFormat="1" applyFill="1"/>
    <xf numFmtId="10" fontId="0" fillId="7" borderId="0" xfId="8" applyNumberFormat="1" applyFont="1" applyFill="1"/>
    <xf numFmtId="2" fontId="0" fillId="0" borderId="0" xfId="0" applyNumberFormat="1"/>
    <xf numFmtId="165" fontId="7" fillId="0" borderId="0" xfId="0" applyNumberFormat="1" applyFont="1"/>
    <xf numFmtId="173" fontId="7" fillId="0" borderId="0" xfId="0" applyNumberFormat="1" applyFont="1"/>
    <xf numFmtId="0" fontId="8" fillId="0" borderId="0" xfId="0" applyFont="1"/>
    <xf numFmtId="0" fontId="8" fillId="0" borderId="4" xfId="0" applyFont="1" applyBorder="1"/>
    <xf numFmtId="0" fontId="7" fillId="0" borderId="4" xfId="0" applyFont="1" applyBorder="1"/>
    <xf numFmtId="165" fontId="7" fillId="0" borderId="4" xfId="0" applyNumberFormat="1" applyFont="1" applyBorder="1"/>
    <xf numFmtId="10" fontId="0" fillId="0" borderId="0" xfId="0" applyNumberFormat="1"/>
    <xf numFmtId="9" fontId="0" fillId="0" borderId="0" xfId="0" applyNumberFormat="1"/>
    <xf numFmtId="166" fontId="3" fillId="0" borderId="0" xfId="0" applyNumberFormat="1" applyFont="1"/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5" fillId="0" borderId="0" xfId="7" applyNumberFormat="1" applyBorder="1" applyAlignment="1" applyProtection="1">
      <alignment horizontal="center"/>
    </xf>
    <xf numFmtId="43" fontId="2" fillId="5" borderId="0" xfId="5" applyNumberFormat="1" applyFont="1" applyBorder="1" applyAlignment="1">
      <alignment horizontal="center"/>
    </xf>
    <xf numFmtId="17" fontId="0" fillId="8" borderId="0" xfId="0" applyNumberFormat="1" applyFill="1" applyAlignment="1">
      <alignment horizontal="right"/>
    </xf>
    <xf numFmtId="17" fontId="2" fillId="8" borderId="0" xfId="0" applyNumberFormat="1" applyFont="1" applyFill="1" applyAlignment="1">
      <alignment horizontal="right"/>
    </xf>
    <xf numFmtId="0" fontId="2" fillId="9" borderId="0" xfId="0" applyFont="1" applyFill="1"/>
    <xf numFmtId="17" fontId="2" fillId="9" borderId="0" xfId="0" applyNumberFormat="1" applyFont="1" applyFill="1"/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left"/>
    </xf>
    <xf numFmtId="0" fontId="4" fillId="9" borderId="0" xfId="0" applyFont="1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left"/>
    </xf>
    <xf numFmtId="171" fontId="0" fillId="9" borderId="0" xfId="0" applyNumberFormat="1" applyFill="1"/>
    <xf numFmtId="172" fontId="0" fillId="9" borderId="0" xfId="0" applyNumberFormat="1" applyFill="1"/>
    <xf numFmtId="10" fontId="0" fillId="9" borderId="0" xfId="8" applyNumberFormat="1" applyFont="1" applyFill="1"/>
  </cellXfs>
  <cellStyles count="9">
    <cellStyle name="60% - Accent1 2" xfId="2" xr:uid="{7F587952-3664-4ECB-99DD-8BFD282C0674}"/>
    <cellStyle name="60% - Accent3 2" xfId="3" xr:uid="{2637ED58-D053-4C8E-9156-585AE0360F7F}"/>
    <cellStyle name="Accent6" xfId="5" builtinId="49"/>
    <cellStyle name="Comma 2" xfId="1" xr:uid="{167048C0-D314-4CFB-8608-0CCE802EE54A}"/>
    <cellStyle name="Comma 3" xfId="6" xr:uid="{6F33DA25-9BE0-4054-9C64-26106A528EF6}"/>
    <cellStyle name="Hyperlink" xfId="7" builtinId="8"/>
    <cellStyle name="Normal" xfId="0" builtinId="0"/>
    <cellStyle name="Percent" xfId="8" builtinId="5"/>
    <cellStyle name="Percent 2" xfId="4" xr:uid="{3C27A6C3-B088-4479-8C89-9A959C3D8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C690-079E-42DF-8F02-C3272BE99845}">
  <sheetPr>
    <tabColor theme="8" tint="-0.499984740745262"/>
  </sheetPr>
  <dimension ref="A2:Q86"/>
  <sheetViews>
    <sheetView showGridLines="0" tabSelected="1" zoomScale="91" zoomScaleNormal="91" workbookViewId="0">
      <selection activeCell="A61" sqref="A61"/>
    </sheetView>
  </sheetViews>
  <sheetFormatPr defaultRowHeight="15" x14ac:dyDescent="0.25"/>
  <cols>
    <col min="1" max="1" width="1.85546875" customWidth="1"/>
    <col min="2" max="2" width="28" bestFit="1" customWidth="1"/>
    <col min="3" max="3" width="7.42578125" bestFit="1" customWidth="1"/>
    <col min="4" max="11" width="11.7109375" bestFit="1" customWidth="1"/>
    <col min="12" max="12" width="12.5703125" bestFit="1" customWidth="1"/>
    <col min="13" max="17" width="11.7109375" bestFit="1" customWidth="1"/>
  </cols>
  <sheetData>
    <row r="2" spans="1:17" x14ac:dyDescent="0.25">
      <c r="A2" t="s">
        <v>57</v>
      </c>
      <c r="B2" s="7" t="s">
        <v>124</v>
      </c>
      <c r="C2" s="7">
        <f>'Historical FS'!C3</f>
        <v>41729</v>
      </c>
      <c r="D2" s="7">
        <f>'Historical FS'!D3</f>
        <v>42094</v>
      </c>
      <c r="E2" s="7">
        <f>'Historical FS'!E3</f>
        <v>42460</v>
      </c>
      <c r="F2" s="7">
        <f>'Historical FS'!F3</f>
        <v>42825</v>
      </c>
      <c r="G2" s="7">
        <f>'Historical FS'!G3</f>
        <v>43190</v>
      </c>
      <c r="H2" s="7">
        <f>'Historical FS'!H3</f>
        <v>43555</v>
      </c>
      <c r="I2" s="7">
        <f>'Historical FS'!I3</f>
        <v>43921</v>
      </c>
      <c r="J2" s="7">
        <f>'Historical FS'!J3</f>
        <v>44286</v>
      </c>
      <c r="K2" s="7">
        <f>'Historical FS'!K3</f>
        <v>44651</v>
      </c>
      <c r="L2" s="7">
        <f>'Historical FS'!L3</f>
        <v>45016</v>
      </c>
      <c r="M2" s="60" t="str">
        <f>'Historical FS'!M3</f>
        <v>2024E</v>
      </c>
      <c r="N2" s="60" t="str">
        <f>'Historical FS'!N3</f>
        <v>2025E</v>
      </c>
      <c r="O2" s="60" t="str">
        <f>'Historical FS'!O3</f>
        <v>2026E</v>
      </c>
      <c r="P2" s="60" t="str">
        <f>'Historical FS'!P3</f>
        <v>2027E</v>
      </c>
      <c r="Q2" s="60" t="str">
        <f>'Historical FS'!Q3</f>
        <v>2028E</v>
      </c>
    </row>
    <row r="3" spans="1:17" x14ac:dyDescent="0.25">
      <c r="B3" t="s">
        <v>58</v>
      </c>
      <c r="D3" s="23">
        <f>'Historical FS'!D6/'Historical FS'!C6-1</f>
        <v>0.13024457030826198</v>
      </c>
      <c r="E3" s="23">
        <f>'Historical FS'!E6/'Historical FS'!D6-1</f>
        <v>3.75690010654397E-2</v>
      </c>
      <c r="F3" s="23">
        <f>'Historical FS'!F6/'Historical FS'!E6-1</f>
        <v>-1.2280329732469508E-2</v>
      </c>
      <c r="G3" s="23">
        <f>'Historical FS'!G6/'Historical FS'!F6-1</f>
        <v>8.104774581985974E-2</v>
      </c>
      <c r="H3" s="23">
        <f>'Historical FS'!H6/'Historical FS'!G6-1</f>
        <v>3.5629919045237157E-2</v>
      </c>
      <c r="I3" s="23">
        <f>'Historical FS'!I6/'Historical FS'!H6-1</f>
        <v>-0.135360159555724</v>
      </c>
      <c r="J3" s="23">
        <f>'Historical FS'!J6/'Historical FS'!I6-1</f>
        <v>-4.3181168490336042E-2</v>
      </c>
      <c r="K3" s="23">
        <f>'Historical FS'!K6/'Historical FS'!J6-1</f>
        <v>0.11472967306158344</v>
      </c>
      <c r="L3" s="23">
        <f>'Historical FS'!L6/'Historical FS'!K6-1</f>
        <v>0.24245815155859707</v>
      </c>
      <c r="M3" s="53">
        <f>'Historical FS'!M7</f>
        <v>-0.10434309764696148</v>
      </c>
      <c r="N3" s="53">
        <f>'Historical FS'!N7</f>
        <v>1.9431994051838153E-2</v>
      </c>
      <c r="O3" s="53">
        <f>'Historical FS'!O7</f>
        <v>1.90615893607613E-2</v>
      </c>
      <c r="P3" s="53">
        <f>'Historical FS'!P7</f>
        <v>1.8705041539950784E-2</v>
      </c>
      <c r="Q3" s="53">
        <f>'Historical FS'!Q7</f>
        <v>1.8361587287007985E-2</v>
      </c>
    </row>
    <row r="4" spans="1:17" x14ac:dyDescent="0.25">
      <c r="B4" t="s">
        <v>61</v>
      </c>
      <c r="C4" s="23">
        <f>'Historical FS'!C9/'Historical FS'!C6</f>
        <v>0.77364698901353024</v>
      </c>
      <c r="D4" s="23">
        <f>'Historical FS'!D9/'Historical FS'!D6</f>
        <v>0.77085296500237244</v>
      </c>
      <c r="E4" s="23">
        <f>'Historical FS'!E9/'Historical FS'!E6</f>
        <v>0.75265475803309057</v>
      </c>
      <c r="F4" s="23">
        <f>'Historical FS'!F9/'Historical FS'!F6</f>
        <v>0.76180921746770036</v>
      </c>
      <c r="G4" s="23">
        <f>'Historical FS'!G9/'Historical FS'!G6</f>
        <v>0.78350009919380004</v>
      </c>
      <c r="H4" s="23">
        <f>'Historical FS'!H9/'Historical FS'!H6</f>
        <v>0.80428832503583503</v>
      </c>
      <c r="I4" s="23">
        <f>'Historical FS'!I9/'Historical FS'!I6</f>
        <v>0.80582872728508226</v>
      </c>
      <c r="J4" s="23">
        <f>'Historical FS'!J9/'Historical FS'!J6</f>
        <v>0.7819461377791167</v>
      </c>
      <c r="K4" s="23">
        <f>'Historical FS'!K9/'Historical FS'!K6</f>
        <v>0.80192891728252624</v>
      </c>
      <c r="L4" s="23">
        <f>'Historical FS'!L9/'Historical FS'!L6</f>
        <v>0.79314982005363122</v>
      </c>
      <c r="M4" s="54">
        <v>0.8</v>
      </c>
      <c r="N4" s="54">
        <v>0.8</v>
      </c>
      <c r="O4" s="54">
        <v>0.8</v>
      </c>
      <c r="P4" s="54">
        <v>0.8</v>
      </c>
      <c r="Q4" s="54">
        <v>0.8</v>
      </c>
    </row>
    <row r="5" spans="1:17" x14ac:dyDescent="0.25">
      <c r="B5" t="s">
        <v>125</v>
      </c>
      <c r="C5" s="23">
        <f>'Historical FS'!C15/'Historical FS'!C6</f>
        <v>7.6660908908102038E-2</v>
      </c>
      <c r="D5" s="23">
        <f>'Historical FS'!D15/'Historical FS'!D6</f>
        <v>8.0040779911823637E-2</v>
      </c>
      <c r="E5" s="23">
        <f>'Historical FS'!E15/'Historical FS'!E6</f>
        <v>0.10672678849247161</v>
      </c>
      <c r="F5" s="23">
        <f>'Historical FS'!F15/'Historical FS'!F6</f>
        <v>0.12847809529452636</v>
      </c>
      <c r="G5" s="23">
        <f>'Historical FS'!G15/'Historical FS'!G6</f>
        <v>0.10860201636437025</v>
      </c>
      <c r="H5" s="23">
        <f>'Historical FS'!H15/'Historical FS'!H6</f>
        <v>0.11402504616835751</v>
      </c>
      <c r="I5" s="23">
        <f>'Historical FS'!I15/'Historical FS'!I6</f>
        <v>0.12527323822987554</v>
      </c>
      <c r="J5" s="23">
        <f>'Historical FS'!J15/'Historical FS'!J6</f>
        <v>8.8798023177028354E-2</v>
      </c>
      <c r="K5" s="23">
        <f>'Historical FS'!K15/'Historical FS'!K6</f>
        <v>0.10929475436519734</v>
      </c>
      <c r="L5" s="23">
        <f>'Historical FS'!L15/'Historical FS'!L6</f>
        <v>0.11488822184383672</v>
      </c>
      <c r="M5" s="54">
        <v>0.11</v>
      </c>
      <c r="N5" s="54">
        <v>0.11</v>
      </c>
      <c r="O5" s="54">
        <v>0.11</v>
      </c>
      <c r="P5" s="54">
        <v>0.11</v>
      </c>
      <c r="Q5" s="54">
        <v>0.11</v>
      </c>
    </row>
    <row r="6" spans="1:17" x14ac:dyDescent="0.25">
      <c r="B6" t="s">
        <v>126</v>
      </c>
      <c r="C6" s="23">
        <f>'Historical FS'!C21/'Historical FS'!C49</f>
        <v>7.8318955026097301E-2</v>
      </c>
      <c r="D6" s="23">
        <f>'Historical FS'!D21/'Historical FS'!D49</f>
        <v>6.6043529996241024E-2</v>
      </c>
      <c r="E6" s="23">
        <f>'Historical FS'!E21/'Historical FS'!E49</f>
        <v>7.0488506625436334E-2</v>
      </c>
      <c r="F6" s="23">
        <f>'Historical FS'!F21/'Historical FS'!F49</f>
        <v>5.391597219377442E-2</v>
      </c>
      <c r="G6" s="23">
        <f>'Historical FS'!G21/'Historical FS'!G49</f>
        <v>5.2633673548886248E-2</v>
      </c>
      <c r="H6" s="23">
        <f>'Historical FS'!H21/'Historical FS'!H49</f>
        <v>5.4236699406849088E-2</v>
      </c>
      <c r="I6" s="23">
        <f>'Historical FS'!I21/'Historical FS'!I49</f>
        <v>5.8045251917577735E-2</v>
      </c>
      <c r="J6" s="23">
        <f>'Historical FS'!J21/'Historical FS'!J49</f>
        <v>5.6969939682926761E-2</v>
      </c>
      <c r="K6" s="23">
        <f>'Historical FS'!K21/'Historical FS'!K49</f>
        <v>6.3584306430708351E-2</v>
      </c>
      <c r="L6" s="23">
        <f>'Historical FS'!L21/'Historical FS'!L49</f>
        <v>7.6245005720530321E-2</v>
      </c>
      <c r="M6" s="54">
        <v>0.06</v>
      </c>
      <c r="N6" s="54">
        <v>0.06</v>
      </c>
      <c r="O6" s="54">
        <v>0.06</v>
      </c>
      <c r="P6" s="54">
        <v>0.06</v>
      </c>
      <c r="Q6" s="54">
        <v>0.06</v>
      </c>
    </row>
    <row r="7" spans="1:17" x14ac:dyDescent="0.25">
      <c r="B7" t="s">
        <v>68</v>
      </c>
      <c r="C7" s="23">
        <f>'Historical FS'!C24/'Historical FS'!C6</f>
        <v>4.757971849946438E-2</v>
      </c>
      <c r="D7" s="23">
        <f>'Historical FS'!D24/'Historical FS'!D6</f>
        <v>5.0876584184966822E-2</v>
      </c>
      <c r="E7" s="23">
        <f>'Historical FS'!E24/'Historical FS'!E6</f>
        <v>6.1201425695927715E-2</v>
      </c>
      <c r="F7" s="23">
        <f>'Historical FS'!F24/'Historical FS'!F6</f>
        <v>6.63903865924938E-2</v>
      </c>
      <c r="G7" s="23">
        <f>'Historical FS'!G24/'Historical FS'!G6</f>
        <v>7.3927472182518786E-2</v>
      </c>
      <c r="H7" s="23">
        <f>'Historical FS'!H24/'Historical FS'!H6</f>
        <v>7.8130605447998658E-2</v>
      </c>
      <c r="I7" s="23">
        <f>'Historical FS'!I24/'Historical FS'!I6</f>
        <v>8.206839774331566E-2</v>
      </c>
      <c r="J7" s="23">
        <f>'Historical FS'!J24/'Historical FS'!J6</f>
        <v>9.4264230933596482E-2</v>
      </c>
      <c r="K7" s="23">
        <f>'Historical FS'!K24/'Historical FS'!K6</f>
        <v>8.9191478279219347E-2</v>
      </c>
      <c r="L7" s="23">
        <f>'Historical FS'!L24/'Historical FS'!L6</f>
        <v>7.1857611147098821E-2</v>
      </c>
      <c r="M7" s="54">
        <v>0.08</v>
      </c>
      <c r="N7" s="54">
        <v>0.08</v>
      </c>
      <c r="O7" s="54">
        <v>0.08</v>
      </c>
      <c r="P7" s="54">
        <v>0.08</v>
      </c>
      <c r="Q7" s="54">
        <v>0.08</v>
      </c>
    </row>
    <row r="8" spans="1:17" x14ac:dyDescent="0.25">
      <c r="B8" t="s">
        <v>127</v>
      </c>
      <c r="C8" s="23">
        <f>'Historical FS'!C30/'Historical FS'!C27</f>
        <v>0.25043887865714731</v>
      </c>
      <c r="D8" s="23">
        <f>'Historical FS'!D30/'Historical FS'!D27</f>
        <v>0.3641469888553418</v>
      </c>
      <c r="E8" s="23">
        <f>'Historical FS'!E30/'Historical FS'!E27</f>
        <v>0.18011192356950362</v>
      </c>
      <c r="F8" s="23">
        <f>'Historical FS'!F30/'Historical FS'!F27</f>
        <v>0.43665932908836924</v>
      </c>
      <c r="G8" s="23">
        <f>'Historical FS'!G30/'Historical FS'!G27</f>
        <v>0.8314210213890445</v>
      </c>
      <c r="H8" s="23">
        <f>'Historical FS'!H30/'Historical FS'!H27</f>
        <v>0.52027791414971725</v>
      </c>
      <c r="I8" s="23">
        <f>'Historical FS'!I30/'Historical FS'!I27</f>
        <v>-3.7002571690434617E-2</v>
      </c>
      <c r="J8" s="23">
        <f>'Historical FS'!J30/'Historical FS'!J27</f>
        <v>3.9497474943672315</v>
      </c>
      <c r="K8" s="23">
        <f>'Historical FS'!K30/'Historical FS'!K27</f>
        <v>-0.4488260888935095</v>
      </c>
      <c r="L8" s="23">
        <f>'Historical FS'!L30/'Historical FS'!L27</f>
        <v>-0.21530623478611635</v>
      </c>
      <c r="M8" s="54">
        <v>0.3</v>
      </c>
      <c r="N8" s="54">
        <v>0.3</v>
      </c>
      <c r="O8" s="54">
        <v>0.3</v>
      </c>
      <c r="P8" s="54">
        <v>0.3</v>
      </c>
      <c r="Q8" s="54">
        <v>0.3</v>
      </c>
    </row>
    <row r="10" spans="1:17" x14ac:dyDescent="0.25">
      <c r="B10" t="s">
        <v>128</v>
      </c>
      <c r="C10" s="46">
        <f>'Historical FS'!C6/'Historical FS'!C53</f>
        <v>3.3699237549186467</v>
      </c>
      <c r="D10" s="46">
        <f>'Historical FS'!D6/'Historical FS'!D53</f>
        <v>2.9742370802544178</v>
      </c>
      <c r="E10" s="46">
        <f>'Historical FS'!E6/'Historical FS'!E53</f>
        <v>2.546312771514708</v>
      </c>
      <c r="F10" s="46">
        <f>'Historical FS'!F6/'Historical FS'!F53</f>
        <v>2.8109343484246239</v>
      </c>
      <c r="G10" s="46">
        <f>'Historical FS'!G6/'Historical FS'!G53</f>
        <v>2.4012948768781421</v>
      </c>
      <c r="H10" s="46">
        <f>'Historical FS'!H6/'Historical FS'!H53</f>
        <v>2.7144319562092578</v>
      </c>
      <c r="I10" s="46">
        <f>'Historical FS'!I6/'Historical FS'!I53</f>
        <v>2.0539205744067566</v>
      </c>
      <c r="J10" s="46">
        <f>'Historical FS'!J6/'Historical FS'!J53</f>
        <v>1.8008727134726064</v>
      </c>
      <c r="K10" s="46">
        <f>'Historical FS'!K6/'Historical FS'!K53</f>
        <v>2.0053488717943728</v>
      </c>
      <c r="L10" s="46">
        <f>'Historical FS'!L6/'Historical FS'!L53</f>
        <v>2.6193791539294131</v>
      </c>
      <c r="M10" s="46">
        <v>2.5</v>
      </c>
      <c r="N10" s="46">
        <v>2.5</v>
      </c>
      <c r="O10" s="46">
        <v>2.5</v>
      </c>
      <c r="P10" s="46">
        <v>2.5</v>
      </c>
      <c r="Q10" s="46">
        <v>2.5</v>
      </c>
    </row>
    <row r="11" spans="1:17" x14ac:dyDescent="0.25">
      <c r="B11" t="s">
        <v>171</v>
      </c>
      <c r="C11" s="46">
        <f>'Historical FS'!C6/'Historical FS'!C54</f>
        <v>6.9998719280776953</v>
      </c>
      <c r="D11" s="46">
        <f>'Historical FS'!D6/'Historical FS'!D54</f>
        <v>9.1884829970855524</v>
      </c>
      <c r="E11" s="46">
        <f>'Historical FS'!E6/'Historical FS'!E54</f>
        <v>10.534597479680881</v>
      </c>
      <c r="F11" s="46">
        <f>'Historical FS'!F6/'Historical FS'!F54</f>
        <v>8.0030205787498936</v>
      </c>
      <c r="G11" s="46">
        <f>'Historical FS'!G6/'Historical FS'!G54</f>
        <v>7.2826627699301829</v>
      </c>
      <c r="H11" s="46">
        <f>'Historical FS'!H6/'Historical FS'!H54</f>
        <v>9.4699509218463032</v>
      </c>
      <c r="I11" s="46">
        <f>'Historical FS'!I6/'Historical FS'!I54</f>
        <v>7.328781220971476</v>
      </c>
      <c r="J11" s="46">
        <f>'Historical FS'!J6/'Historical FS'!J54</f>
        <v>11.915454306516001</v>
      </c>
      <c r="K11" s="46">
        <f>'Historical FS'!K6/'Historical FS'!K54</f>
        <v>27.163318242255212</v>
      </c>
      <c r="L11" s="46">
        <f>'Historical FS'!L6/'Historical FS'!L54</f>
        <v>24.236713720270409</v>
      </c>
      <c r="M11" s="46">
        <v>10</v>
      </c>
      <c r="N11" s="46">
        <v>10</v>
      </c>
      <c r="O11" s="46">
        <v>10</v>
      </c>
      <c r="P11" s="46">
        <v>10</v>
      </c>
      <c r="Q11" s="46">
        <v>10</v>
      </c>
    </row>
    <row r="12" spans="1:17" x14ac:dyDescent="0.25">
      <c r="B12" t="s">
        <v>172</v>
      </c>
      <c r="C12" s="46">
        <f>'Historical FS'!C6/'Historical FS'!C55</f>
        <v>21.787297633406851</v>
      </c>
      <c r="D12" s="46">
        <f>'Historical FS'!D6/'Historical FS'!D55</f>
        <v>17.158729951736809</v>
      </c>
      <c r="E12" s="46">
        <f>'Historical FS'!E6/'Historical FS'!E55</f>
        <v>11.488423874764273</v>
      </c>
      <c r="F12" s="46">
        <f>'Historical FS'!F6/'Historical FS'!F55</f>
        <v>13.260574827710997</v>
      </c>
      <c r="G12" s="46">
        <f>'Historical FS'!G6/'Historical FS'!G55</f>
        <v>14.008263204045596</v>
      </c>
      <c r="H12" s="46">
        <f>'Historical FS'!H6/'Historical FS'!H55</f>
        <v>19.145505087909751</v>
      </c>
      <c r="I12" s="46">
        <f>'Historical FS'!I6/'Historical FS'!I55</f>
        <v>16.008111730829604</v>
      </c>
      <c r="J12" s="46">
        <f>'Historical FS'!J6/'Historical FS'!J55</f>
        <v>10.14589395408988</v>
      </c>
      <c r="K12" s="46">
        <f>'Historical FS'!K6/'Historical FS'!K55</f>
        <v>9.4778105708294174</v>
      </c>
      <c r="L12" s="46">
        <f>'Historical FS'!L6/'Historical FS'!L55</f>
        <v>13.115162499488232</v>
      </c>
      <c r="M12" s="46">
        <v>12</v>
      </c>
      <c r="N12" s="46">
        <v>12</v>
      </c>
      <c r="O12" s="46">
        <v>12</v>
      </c>
      <c r="P12" s="46">
        <v>12</v>
      </c>
      <c r="Q12" s="46">
        <v>12</v>
      </c>
    </row>
    <row r="13" spans="1:17" x14ac:dyDescent="0.25">
      <c r="B13" t="s">
        <v>173</v>
      </c>
      <c r="C13" s="46">
        <f>'Historical FS'!C6/'Historical FS'!C56</f>
        <v>6.1550320422499851</v>
      </c>
      <c r="D13" s="46">
        <f>'Historical FS'!D6/'Historical FS'!D56</f>
        <v>8.5189062117103358</v>
      </c>
      <c r="E13" s="46">
        <f>'Historical FS'!E6/'Historical FS'!E56</f>
        <v>9.2309502301604933</v>
      </c>
      <c r="F13" s="46">
        <f>'Historical FS'!F6/'Historical FS'!F56</f>
        <v>7.2185995581462672</v>
      </c>
      <c r="G13" s="46">
        <f>'Historical FS'!G6/'Historical FS'!G56</f>
        <v>6.0378844265292857</v>
      </c>
      <c r="H13" s="46">
        <f>'Historical FS'!H6/'Historical FS'!H56</f>
        <v>5.3768038672449165</v>
      </c>
      <c r="I13" s="46">
        <f>'Historical FS'!I6/'Historical FS'!I56</f>
        <v>4.4410689200329196</v>
      </c>
      <c r="J13" s="46">
        <f>'Historical FS'!J6/'Historical FS'!J56</f>
        <v>4.0473591479692468</v>
      </c>
      <c r="K13" s="46">
        <f>'Historical FS'!K6/'Historical FS'!K56</f>
        <v>4.4750361477615375</v>
      </c>
      <c r="L13" s="46">
        <f>'Historical FS'!L6/'Historical FS'!L56</f>
        <v>5.0556247807132575</v>
      </c>
      <c r="M13" s="46">
        <v>6</v>
      </c>
      <c r="N13" s="46">
        <v>6</v>
      </c>
      <c r="O13" s="46">
        <v>6</v>
      </c>
      <c r="P13" s="46">
        <v>6</v>
      </c>
      <c r="Q13" s="46">
        <v>6</v>
      </c>
    </row>
    <row r="14" spans="1:17" x14ac:dyDescent="0.25">
      <c r="B14" t="s">
        <v>112</v>
      </c>
      <c r="C14" s="31">
        <f>365*'Historical FS'!C59/'Historical FS'!C6</f>
        <v>16.576615039251624</v>
      </c>
      <c r="D14" s="31">
        <f>365*'Historical FS'!D59/'Historical FS'!D6</f>
        <v>17.447278447423685</v>
      </c>
      <c r="E14" s="31">
        <f>365*'Historical FS'!E59/'Historical FS'!E6</f>
        <v>18.141226776772822</v>
      </c>
      <c r="F14" s="31">
        <f>365*'Historical FS'!F59/'Historical FS'!F6</f>
        <v>19.049753180019717</v>
      </c>
      <c r="G14" s="31">
        <f>365*'Historical FS'!G59/'Historical FS'!G6</f>
        <v>24.904964999543132</v>
      </c>
      <c r="H14" s="31">
        <f>365*'Historical FS'!H59/'Historical FS'!H6</f>
        <v>22.963631157878559</v>
      </c>
      <c r="I14" s="31">
        <f>365*'Historical FS'!I59/'Historical FS'!I6</f>
        <v>15.62057517051977</v>
      </c>
      <c r="J14" s="31">
        <f>365*'Historical FS'!J59/'Historical FS'!J6</f>
        <v>18.526667193766084</v>
      </c>
      <c r="K14" s="31">
        <f>365*'Historical FS'!K59/'Historical FS'!K6</f>
        <v>16.309264717046958</v>
      </c>
      <c r="L14" s="31">
        <f>365*'Historical FS'!L59/'Historical FS'!L6</f>
        <v>16.603778823163381</v>
      </c>
      <c r="M14" s="31">
        <v>18</v>
      </c>
      <c r="N14" s="31">
        <v>18</v>
      </c>
      <c r="O14" s="31">
        <v>18</v>
      </c>
      <c r="P14" s="31">
        <v>18</v>
      </c>
      <c r="Q14" s="31">
        <v>18</v>
      </c>
    </row>
    <row r="15" spans="1:17" x14ac:dyDescent="0.25">
      <c r="B15" t="s">
        <v>114</v>
      </c>
      <c r="C15" s="31">
        <f>365*'Historical FS'!C60/'Historical FS'!C6</f>
        <v>42.751013105235728</v>
      </c>
      <c r="D15" s="31">
        <f>365*'Historical FS'!D60/'Historical FS'!D6</f>
        <v>40.600568143256979</v>
      </c>
      <c r="E15" s="31">
        <f>365*'Historical FS'!E60/'Historical FS'!E6</f>
        <v>43.653299851746375</v>
      </c>
      <c r="F15" s="31">
        <f>365*'Historical FS'!F60/'Historical FS'!F6</f>
        <v>47.484218786795367</v>
      </c>
      <c r="G15" s="31">
        <f>365*'Historical FS'!G60/'Historical FS'!G6</f>
        <v>52.753248596949661</v>
      </c>
      <c r="H15" s="31">
        <f>365*'Historical FS'!H60/'Historical FS'!H6</f>
        <v>47.161975588398164</v>
      </c>
      <c r="I15" s="31">
        <f>365*'Historical FS'!I60/'Historical FS'!I6</f>
        <v>52.368588915752476</v>
      </c>
      <c r="J15" s="31">
        <f>365*'Historical FS'!J60/'Historical FS'!J6</f>
        <v>52.732634893247358</v>
      </c>
      <c r="K15" s="31">
        <f>365*'Historical FS'!K60/'Historical FS'!K6</f>
        <v>46.193416698982041</v>
      </c>
      <c r="L15" s="31">
        <f>365*'Historical FS'!L60/'Historical FS'!L6</f>
        <v>42.997507392107408</v>
      </c>
      <c r="M15" s="31">
        <v>45</v>
      </c>
      <c r="N15" s="31">
        <v>45</v>
      </c>
      <c r="O15" s="31">
        <v>45</v>
      </c>
      <c r="P15" s="31">
        <v>45</v>
      </c>
      <c r="Q15" s="31">
        <v>45</v>
      </c>
    </row>
    <row r="16" spans="1:17" x14ac:dyDescent="0.25">
      <c r="B16" t="s">
        <v>113</v>
      </c>
      <c r="C16" s="31">
        <f>365*'Historical FS'!C50/'Historical FS'!C6</f>
        <v>144.50571665626009</v>
      </c>
      <c r="D16" s="31">
        <f>365*'Historical FS'!D50/'Historical FS'!D6</f>
        <v>149.02210519283818</v>
      </c>
      <c r="E16" s="31">
        <f>365*'Historical FS'!E50/'Historical FS'!E6</f>
        <v>153.55745981623585</v>
      </c>
      <c r="F16" s="31">
        <f>365*'Historical FS'!F50/'Historical FS'!F6</f>
        <v>183.94574194885868</v>
      </c>
      <c r="G16" s="31">
        <f>365*'Historical FS'!G50/'Historical FS'!G6</f>
        <v>178.79202925682029</v>
      </c>
      <c r="H16" s="31">
        <f>365*'Historical FS'!H50/'Historical FS'!H6</f>
        <v>168.45235766633192</v>
      </c>
      <c r="I16" s="31">
        <f>365*'Historical FS'!I50/'Historical FS'!I6</f>
        <v>186.20040903524088</v>
      </c>
      <c r="J16" s="31">
        <f>365*'Historical FS'!J50/'Historical FS'!J6</f>
        <v>210.69420514242191</v>
      </c>
      <c r="K16" s="31">
        <f>365*'Historical FS'!K50/'Historical FS'!K6</f>
        <v>180.95902398395825</v>
      </c>
      <c r="L16" s="31">
        <f>365*'Historical FS'!L50/'Historical FS'!L6</f>
        <v>163.77953074537726</v>
      </c>
      <c r="M16" s="31">
        <v>180</v>
      </c>
      <c r="N16" s="31">
        <v>180</v>
      </c>
      <c r="O16" s="31">
        <v>180</v>
      </c>
      <c r="P16" s="31">
        <v>180</v>
      </c>
      <c r="Q16" s="31">
        <v>180</v>
      </c>
    </row>
    <row r="21" spans="1:17" x14ac:dyDescent="0.25">
      <c r="A21" t="s">
        <v>57</v>
      </c>
      <c r="B21" s="7" t="s">
        <v>129</v>
      </c>
      <c r="C21" s="7">
        <f>'Historical FS'!C3</f>
        <v>41729</v>
      </c>
      <c r="D21" s="7">
        <f>'Historical FS'!D3</f>
        <v>42094</v>
      </c>
      <c r="E21" s="7">
        <f>'Historical FS'!E3</f>
        <v>42460</v>
      </c>
      <c r="F21" s="7">
        <f>'Historical FS'!F3</f>
        <v>42825</v>
      </c>
      <c r="G21" s="7">
        <f>'Historical FS'!G3</f>
        <v>43190</v>
      </c>
      <c r="H21" s="7">
        <f>'Historical FS'!H3</f>
        <v>43555</v>
      </c>
      <c r="I21" s="7">
        <f>'Historical FS'!I3</f>
        <v>43921</v>
      </c>
      <c r="J21" s="7">
        <f>'Historical FS'!J3</f>
        <v>44286</v>
      </c>
      <c r="K21" s="7">
        <f>'Historical FS'!K3</f>
        <v>44651</v>
      </c>
      <c r="L21" s="7">
        <f>'Historical FS'!L3</f>
        <v>45016</v>
      </c>
      <c r="M21" s="60" t="str">
        <f>M2</f>
        <v>2024E</v>
      </c>
      <c r="N21" s="60" t="str">
        <f t="shared" ref="N21:Q21" si="0">N2</f>
        <v>2025E</v>
      </c>
      <c r="O21" s="60" t="str">
        <f t="shared" si="0"/>
        <v>2026E</v>
      </c>
      <c r="P21" s="60" t="str">
        <f t="shared" si="0"/>
        <v>2027E</v>
      </c>
      <c r="Q21" s="60" t="str">
        <f t="shared" si="0"/>
        <v>2028E</v>
      </c>
    </row>
    <row r="22" spans="1:17" x14ac:dyDescent="0.25">
      <c r="B22" t="s">
        <v>130</v>
      </c>
      <c r="D22" s="8">
        <f>'Historical FS'!C47</f>
        <v>643.78</v>
      </c>
      <c r="E22" s="8">
        <f>'Historical FS'!D47</f>
        <v>643.78</v>
      </c>
      <c r="F22" s="8">
        <f>'Historical FS'!E47</f>
        <v>679.18</v>
      </c>
      <c r="G22" s="8">
        <f>'Historical FS'!F47</f>
        <v>679.22</v>
      </c>
      <c r="H22" s="8">
        <f>'Historical FS'!G47</f>
        <v>679.22</v>
      </c>
      <c r="I22" s="8">
        <f>'Historical FS'!H47</f>
        <v>679.22</v>
      </c>
      <c r="J22" s="8">
        <f>'Historical FS'!I47</f>
        <v>719.54</v>
      </c>
      <c r="K22" s="8">
        <f>'Historical FS'!J47</f>
        <v>765.81</v>
      </c>
      <c r="L22" s="8">
        <f>'Historical FS'!K47</f>
        <v>765.88</v>
      </c>
      <c r="M22" s="8">
        <f>L24</f>
        <v>766.02</v>
      </c>
      <c r="N22" s="8">
        <f t="shared" ref="N22:Q22" si="1">M24</f>
        <v>766.02</v>
      </c>
      <c r="O22" s="8">
        <f t="shared" si="1"/>
        <v>766.02</v>
      </c>
      <c r="P22" s="8">
        <f t="shared" si="1"/>
        <v>766.02</v>
      </c>
      <c r="Q22" s="8">
        <f t="shared" si="1"/>
        <v>766.02</v>
      </c>
    </row>
    <row r="23" spans="1:17" x14ac:dyDescent="0.25">
      <c r="B23" t="s">
        <v>132</v>
      </c>
      <c r="D23" s="8">
        <f t="shared" ref="D23:L23" si="2">D24-D22</f>
        <v>0</v>
      </c>
      <c r="E23" s="8">
        <f t="shared" si="2"/>
        <v>35.399999999999977</v>
      </c>
      <c r="F23" s="8">
        <f t="shared" si="2"/>
        <v>4.0000000000077307E-2</v>
      </c>
      <c r="G23" s="8">
        <f t="shared" si="2"/>
        <v>0</v>
      </c>
      <c r="H23" s="8">
        <f t="shared" si="2"/>
        <v>0</v>
      </c>
      <c r="I23" s="8">
        <f t="shared" si="2"/>
        <v>40.319999999999936</v>
      </c>
      <c r="J23" s="8">
        <f t="shared" si="2"/>
        <v>46.269999999999982</v>
      </c>
      <c r="K23" s="8">
        <f t="shared" si="2"/>
        <v>7.0000000000050022E-2</v>
      </c>
      <c r="L23" s="8">
        <f t="shared" si="2"/>
        <v>0.13999999999998636</v>
      </c>
      <c r="M23" s="8">
        <f>0</f>
        <v>0</v>
      </c>
      <c r="N23" s="8">
        <f>0</f>
        <v>0</v>
      </c>
      <c r="O23" s="8">
        <f>0</f>
        <v>0</v>
      </c>
      <c r="P23" s="8">
        <f>0</f>
        <v>0</v>
      </c>
      <c r="Q23" s="8">
        <f>0</f>
        <v>0</v>
      </c>
    </row>
    <row r="24" spans="1:17" x14ac:dyDescent="0.25">
      <c r="B24" t="s">
        <v>131</v>
      </c>
      <c r="D24" s="8">
        <f>'Historical FS'!D47</f>
        <v>643.78</v>
      </c>
      <c r="E24" s="8">
        <f>'Historical FS'!E47</f>
        <v>679.18</v>
      </c>
      <c r="F24" s="8">
        <f>'Historical FS'!F47</f>
        <v>679.22</v>
      </c>
      <c r="G24" s="8">
        <f>'Historical FS'!G47</f>
        <v>679.22</v>
      </c>
      <c r="H24" s="8">
        <f>'Historical FS'!H47</f>
        <v>679.22</v>
      </c>
      <c r="I24" s="8">
        <f>'Historical FS'!I47</f>
        <v>719.54</v>
      </c>
      <c r="J24" s="8">
        <f>'Historical FS'!J47</f>
        <v>765.81</v>
      </c>
      <c r="K24" s="8">
        <f>'Historical FS'!K47</f>
        <v>765.88</v>
      </c>
      <c r="L24" s="8">
        <f>'Historical FS'!L47</f>
        <v>766.02</v>
      </c>
      <c r="M24" s="8">
        <f>M22+M23</f>
        <v>766.02</v>
      </c>
      <c r="N24" s="8">
        <f t="shared" ref="N24:Q24" si="3">N22+N23</f>
        <v>766.02</v>
      </c>
      <c r="O24" s="8">
        <f t="shared" si="3"/>
        <v>766.02</v>
      </c>
      <c r="P24" s="8">
        <f t="shared" si="3"/>
        <v>766.02</v>
      </c>
      <c r="Q24" s="8">
        <f t="shared" si="3"/>
        <v>766.02</v>
      </c>
    </row>
    <row r="26" spans="1:17" x14ac:dyDescent="0.25">
      <c r="B26" t="s">
        <v>169</v>
      </c>
      <c r="D26">
        <f>'Historical FS'!D36</f>
        <v>288.74</v>
      </c>
      <c r="E26">
        <f>'Historical FS'!E36</f>
        <v>288.72000000000003</v>
      </c>
      <c r="F26">
        <f>'Historical FS'!F36</f>
        <v>288.73</v>
      </c>
      <c r="G26">
        <f>'Historical FS'!G36</f>
        <v>288.73</v>
      </c>
      <c r="H26">
        <f>'Historical FS'!H36</f>
        <v>288.73</v>
      </c>
      <c r="I26">
        <f>'Historical FS'!I36</f>
        <v>308.89999999999998</v>
      </c>
      <c r="J26">
        <f>'Historical FS'!J36</f>
        <v>332.03</v>
      </c>
      <c r="K26">
        <f>'Historical FS'!K36</f>
        <v>332.07</v>
      </c>
      <c r="L26">
        <f>'Historical FS'!L36</f>
        <v>332.13</v>
      </c>
      <c r="M26">
        <f>L26</f>
        <v>332.13</v>
      </c>
      <c r="N26">
        <f t="shared" ref="N26:Q26" si="4">M26</f>
        <v>332.13</v>
      </c>
      <c r="O26">
        <f t="shared" si="4"/>
        <v>332.13</v>
      </c>
      <c r="P26">
        <f t="shared" si="4"/>
        <v>332.13</v>
      </c>
      <c r="Q26">
        <f t="shared" si="4"/>
        <v>332.13</v>
      </c>
    </row>
    <row r="27" spans="1:17" x14ac:dyDescent="0.25">
      <c r="B27" t="s">
        <v>76</v>
      </c>
      <c r="D27">
        <f>'Historical FS'!D41</f>
        <v>0</v>
      </c>
      <c r="E27">
        <f>'Historical FS'!E41</f>
        <v>0.23524522028262676</v>
      </c>
      <c r="F27">
        <f>'Historical FS'!F41</f>
        <v>0</v>
      </c>
      <c r="G27">
        <f>'Historical FS'!G41</f>
        <v>0</v>
      </c>
      <c r="H27">
        <f>'Historical FS'!H41</f>
        <v>0</v>
      </c>
      <c r="I27">
        <f>'Historical FS'!I41</f>
        <v>0</v>
      </c>
      <c r="J27">
        <f>'Historical FS'!J41</f>
        <v>0</v>
      </c>
      <c r="K27">
        <f>'Historical FS'!K41</f>
        <v>0</v>
      </c>
      <c r="L27">
        <f>'Historical FS'!L41</f>
        <v>2.3063860536536898</v>
      </c>
      <c r="M27">
        <f>0</f>
        <v>0</v>
      </c>
      <c r="N27">
        <f>0</f>
        <v>0</v>
      </c>
      <c r="O27">
        <f>0</f>
        <v>0</v>
      </c>
      <c r="P27">
        <f>0</f>
        <v>0</v>
      </c>
      <c r="Q27">
        <f>0</f>
        <v>0</v>
      </c>
    </row>
    <row r="30" spans="1:17" x14ac:dyDescent="0.25">
      <c r="A30" t="s">
        <v>57</v>
      </c>
      <c r="B30" s="7" t="s">
        <v>133</v>
      </c>
      <c r="C30" s="7">
        <f>'Historical FS'!C3</f>
        <v>41729</v>
      </c>
      <c r="D30" s="7">
        <f>'Historical FS'!D3</f>
        <v>42094</v>
      </c>
      <c r="E30" s="7">
        <f>'Historical FS'!E3</f>
        <v>42460</v>
      </c>
      <c r="F30" s="7">
        <f>'Historical FS'!F3</f>
        <v>42825</v>
      </c>
      <c r="G30" s="7">
        <f>'Historical FS'!G3</f>
        <v>43190</v>
      </c>
      <c r="H30" s="7">
        <f>'Historical FS'!H3</f>
        <v>43555</v>
      </c>
      <c r="I30" s="7">
        <f>'Historical FS'!I3</f>
        <v>43921</v>
      </c>
      <c r="J30" s="7">
        <f>'Historical FS'!J3</f>
        <v>44286</v>
      </c>
      <c r="K30" s="7">
        <f>'Historical FS'!K3</f>
        <v>44651</v>
      </c>
      <c r="L30" s="7">
        <f>'Historical FS'!L3</f>
        <v>45016</v>
      </c>
      <c r="M30" s="60" t="str">
        <f>M21</f>
        <v>2024E</v>
      </c>
      <c r="N30" s="60" t="str">
        <f t="shared" ref="N30:Q30" si="5">N21</f>
        <v>2025E</v>
      </c>
      <c r="O30" s="60" t="str">
        <f t="shared" si="5"/>
        <v>2026E</v>
      </c>
      <c r="P30" s="60" t="str">
        <f t="shared" si="5"/>
        <v>2027E</v>
      </c>
      <c r="Q30" s="60" t="str">
        <f t="shared" si="5"/>
        <v>2028E</v>
      </c>
    </row>
    <row r="31" spans="1:17" x14ac:dyDescent="0.25">
      <c r="B31" t="s">
        <v>130</v>
      </c>
      <c r="D31" s="8">
        <f>'Historical FS'!C48</f>
        <v>64959.67</v>
      </c>
      <c r="E31" s="8">
        <f>'Historical FS'!D48</f>
        <v>55618.14</v>
      </c>
      <c r="F31" s="8">
        <f>'Historical FS'!E48</f>
        <v>78273.23</v>
      </c>
      <c r="G31" s="8">
        <f>'Historical FS'!F48</f>
        <v>57382.67</v>
      </c>
      <c r="H31" s="8">
        <f>'Historical FS'!G48</f>
        <v>94748.69</v>
      </c>
      <c r="I31" s="8">
        <f>'Historical FS'!H48</f>
        <v>59500.34</v>
      </c>
      <c r="J31" s="8">
        <f>'Historical FS'!I48</f>
        <v>61491.49</v>
      </c>
      <c r="K31" s="8">
        <f>'Historical FS'!J48</f>
        <v>54480.91</v>
      </c>
      <c r="L31" s="8">
        <f>'Historical FS'!K48</f>
        <v>43795.360000000001</v>
      </c>
      <c r="M31" s="8">
        <f>L34</f>
        <v>44555.77</v>
      </c>
      <c r="N31" s="8">
        <f t="shared" ref="N31:Q31" si="6">M34</f>
        <v>41092.079452666658</v>
      </c>
      <c r="O31" s="8">
        <f t="shared" si="6"/>
        <v>37670.538337090889</v>
      </c>
      <c r="P31" s="8">
        <f t="shared" si="6"/>
        <v>34291.146653272692</v>
      </c>
      <c r="Q31" s="8">
        <f t="shared" si="6"/>
        <v>30953.904401212068</v>
      </c>
    </row>
    <row r="32" spans="1:17" x14ac:dyDescent="0.25">
      <c r="B32" t="s">
        <v>178</v>
      </c>
      <c r="D32" s="8">
        <f>'Historical FS'!D33</f>
        <v>13345.619999999981</v>
      </c>
      <c r="E32" s="8">
        <f>'Historical FS'!E33</f>
        <v>13770.339999999971</v>
      </c>
      <c r="F32" s="8">
        <f>'Historical FS'!F33</f>
        <v>4194.4600000000464</v>
      </c>
      <c r="G32" s="8">
        <f>'Historical FS'!G33</f>
        <v>880.36999999999171</v>
      </c>
      <c r="H32" s="8">
        <f>'Historical FS'!H33</f>
        <v>-2247.4499999999798</v>
      </c>
      <c r="I32" s="8">
        <f>'Historical FS'!I33</f>
        <v>-11076.940000000039</v>
      </c>
      <c r="J32" s="8">
        <f>'Historical FS'!J33</f>
        <v>-1898.3100000000081</v>
      </c>
      <c r="K32" s="8">
        <f>'Historical FS'!K33</f>
        <v>-13658.749999999989</v>
      </c>
      <c r="L32" s="8">
        <f>'Historical FS'!L33</f>
        <v>-3974.1000000000372</v>
      </c>
      <c r="M32" s="8">
        <f>'Historical FS'!M33</f>
        <v>-3463.6905473333413</v>
      </c>
      <c r="N32" s="8">
        <f>'Historical FS'!N33</f>
        <v>-3421.5411155757674</v>
      </c>
      <c r="O32" s="8">
        <f>'Historical FS'!O33</f>
        <v>-3379.3916838181958</v>
      </c>
      <c r="P32" s="8">
        <f>'Historical FS'!P33</f>
        <v>-3337.2422520606219</v>
      </c>
      <c r="Q32" s="8">
        <f>'Historical FS'!Q33</f>
        <v>-3295.0928203030426</v>
      </c>
    </row>
    <row r="33" spans="1:17" x14ac:dyDescent="0.25">
      <c r="B33" t="s">
        <v>179</v>
      </c>
      <c r="D33" s="8">
        <f>D34-D31-D32</f>
        <v>-22687.14999999998</v>
      </c>
      <c r="E33" s="8">
        <f t="shared" ref="E33:L33" si="7">E34-E31-E32</f>
        <v>8884.7500000000255</v>
      </c>
      <c r="F33" s="8">
        <f t="shared" si="7"/>
        <v>-25085.020000000044</v>
      </c>
      <c r="G33" s="8">
        <f t="shared" si="7"/>
        <v>36485.650000000009</v>
      </c>
      <c r="H33" s="8">
        <f t="shared" si="7"/>
        <v>-33000.900000000023</v>
      </c>
      <c r="I33" s="8">
        <f t="shared" si="7"/>
        <v>13068.09000000004</v>
      </c>
      <c r="J33" s="8">
        <f t="shared" si="7"/>
        <v>-5112.2699999999859</v>
      </c>
      <c r="K33" s="8">
        <f t="shared" si="7"/>
        <v>2973.1999999999862</v>
      </c>
      <c r="L33" s="8">
        <f t="shared" si="7"/>
        <v>4734.510000000033</v>
      </c>
      <c r="M33" s="8">
        <f>0</f>
        <v>0</v>
      </c>
      <c r="N33" s="8">
        <f>0</f>
        <v>0</v>
      </c>
      <c r="O33" s="8">
        <f>0</f>
        <v>0</v>
      </c>
      <c r="P33" s="8">
        <f>0</f>
        <v>0</v>
      </c>
      <c r="Q33" s="8">
        <f>0</f>
        <v>0</v>
      </c>
    </row>
    <row r="34" spans="1:17" x14ac:dyDescent="0.25">
      <c r="B34" t="s">
        <v>131</v>
      </c>
      <c r="D34" s="8">
        <f>'Historical FS'!D48</f>
        <v>55618.14</v>
      </c>
      <c r="E34" s="8">
        <f>'Historical FS'!E48</f>
        <v>78273.23</v>
      </c>
      <c r="F34" s="8">
        <f>'Historical FS'!F48</f>
        <v>57382.67</v>
      </c>
      <c r="G34" s="8">
        <f>'Historical FS'!G48</f>
        <v>94748.69</v>
      </c>
      <c r="H34" s="8">
        <f>'Historical FS'!H48</f>
        <v>59500.34</v>
      </c>
      <c r="I34" s="8">
        <f>'Historical FS'!I48</f>
        <v>61491.49</v>
      </c>
      <c r="J34" s="8">
        <f>'Historical FS'!J48</f>
        <v>54480.91</v>
      </c>
      <c r="K34" s="8">
        <f>'Historical FS'!K48</f>
        <v>43795.360000000001</v>
      </c>
      <c r="L34" s="8">
        <f>'Historical FS'!L48</f>
        <v>44555.77</v>
      </c>
      <c r="M34" s="8">
        <f>M31+M32+M33</f>
        <v>41092.079452666658</v>
      </c>
      <c r="N34" s="8">
        <f t="shared" ref="N34:Q34" si="8">N31+N32+N33</f>
        <v>37670.538337090889</v>
      </c>
      <c r="O34" s="8">
        <f t="shared" si="8"/>
        <v>34291.146653272692</v>
      </c>
      <c r="P34" s="8">
        <f t="shared" si="8"/>
        <v>30953.904401212068</v>
      </c>
      <c r="Q34" s="8">
        <f t="shared" si="8"/>
        <v>27658.811580909027</v>
      </c>
    </row>
    <row r="37" spans="1:17" x14ac:dyDescent="0.25">
      <c r="A37" t="s">
        <v>57</v>
      </c>
      <c r="B37" s="7" t="s">
        <v>134</v>
      </c>
      <c r="C37" s="7">
        <f>'Historical FS'!C3</f>
        <v>41729</v>
      </c>
      <c r="D37" s="7">
        <f>'Historical FS'!D3</f>
        <v>42094</v>
      </c>
      <c r="E37" s="7">
        <f>'Historical FS'!E3</f>
        <v>42460</v>
      </c>
      <c r="F37" s="7">
        <f>'Historical FS'!F3</f>
        <v>42825</v>
      </c>
      <c r="G37" s="7">
        <f>'Historical FS'!G3</f>
        <v>43190</v>
      </c>
      <c r="H37" s="7">
        <f>'Historical FS'!H3</f>
        <v>43555</v>
      </c>
      <c r="I37" s="7">
        <f>'Historical FS'!I3</f>
        <v>43921</v>
      </c>
      <c r="J37" s="7">
        <f>'Historical FS'!J3</f>
        <v>44286</v>
      </c>
      <c r="K37" s="7">
        <f>'Historical FS'!K3</f>
        <v>44651</v>
      </c>
      <c r="L37" s="7">
        <f>'Historical FS'!L3</f>
        <v>45016</v>
      </c>
      <c r="M37" s="60" t="str">
        <f>M30</f>
        <v>2024E</v>
      </c>
      <c r="N37" s="60" t="str">
        <f t="shared" ref="N37:Q37" si="9">N30</f>
        <v>2025E</v>
      </c>
      <c r="O37" s="60" t="str">
        <f t="shared" si="9"/>
        <v>2026E</v>
      </c>
      <c r="P37" s="60" t="str">
        <f t="shared" si="9"/>
        <v>2027E</v>
      </c>
      <c r="Q37" s="60" t="str">
        <f t="shared" si="9"/>
        <v>2028E</v>
      </c>
    </row>
    <row r="38" spans="1:17" x14ac:dyDescent="0.25">
      <c r="B38" t="s">
        <v>130</v>
      </c>
      <c r="D38" s="8">
        <f>'Historical FS'!C49</f>
        <v>60642.28</v>
      </c>
      <c r="E38" s="8">
        <f>'Historical FS'!D49</f>
        <v>73610.39</v>
      </c>
      <c r="F38" s="8">
        <f>'Historical FS'!E49</f>
        <v>69359.960000000006</v>
      </c>
      <c r="G38" s="8">
        <f>'Historical FS'!F49</f>
        <v>78603.98</v>
      </c>
      <c r="H38" s="8">
        <f>'Historical FS'!G49</f>
        <v>88950.47</v>
      </c>
      <c r="I38" s="8">
        <f>'Historical FS'!H49</f>
        <v>106175.34</v>
      </c>
      <c r="J38" s="8">
        <f>'Historical FS'!I49</f>
        <v>124787.64</v>
      </c>
      <c r="K38" s="8">
        <f>'Historical FS'!J49</f>
        <v>142130.57</v>
      </c>
      <c r="L38" s="8">
        <f>'Historical FS'!K49</f>
        <v>146449.03</v>
      </c>
      <c r="M38" s="8">
        <f>L40</f>
        <v>134113.44</v>
      </c>
      <c r="N38" s="8">
        <f t="shared" ref="N38:Q38" si="10">M40</f>
        <v>134113.44</v>
      </c>
      <c r="O38" s="8">
        <f t="shared" si="10"/>
        <v>134113.44</v>
      </c>
      <c r="P38" s="8">
        <f t="shared" si="10"/>
        <v>134113.44</v>
      </c>
      <c r="Q38" s="8">
        <f t="shared" si="10"/>
        <v>134113.44</v>
      </c>
    </row>
    <row r="39" spans="1:17" x14ac:dyDescent="0.25">
      <c r="B39" t="s">
        <v>135</v>
      </c>
      <c r="D39" s="8">
        <f>D40-D38</f>
        <v>12968.11</v>
      </c>
      <c r="E39" s="8">
        <f t="shared" ref="E39:L39" si="11">E40-E38</f>
        <v>-4250.429999999993</v>
      </c>
      <c r="F39" s="8">
        <f t="shared" si="11"/>
        <v>9244.0199999999895</v>
      </c>
      <c r="G39" s="8">
        <f t="shared" si="11"/>
        <v>10346.490000000005</v>
      </c>
      <c r="H39" s="8">
        <f t="shared" si="11"/>
        <v>17224.869999999995</v>
      </c>
      <c r="I39" s="8">
        <f t="shared" si="11"/>
        <v>18612.300000000003</v>
      </c>
      <c r="J39" s="8">
        <f t="shared" si="11"/>
        <v>17342.930000000008</v>
      </c>
      <c r="K39" s="8">
        <f t="shared" si="11"/>
        <v>4318.4599999999919</v>
      </c>
      <c r="L39" s="8">
        <f t="shared" si="11"/>
        <v>-12335.589999999997</v>
      </c>
      <c r="M39" s="8">
        <f>0</f>
        <v>0</v>
      </c>
      <c r="N39" s="8">
        <f>0</f>
        <v>0</v>
      </c>
      <c r="O39" s="8">
        <f>0</f>
        <v>0</v>
      </c>
      <c r="P39" s="8">
        <f>0</f>
        <v>0</v>
      </c>
      <c r="Q39" s="8">
        <f>0</f>
        <v>0</v>
      </c>
    </row>
    <row r="40" spans="1:17" x14ac:dyDescent="0.25">
      <c r="B40" t="s">
        <v>131</v>
      </c>
      <c r="D40" s="8">
        <f>'Historical FS'!D49</f>
        <v>73610.39</v>
      </c>
      <c r="E40" s="8">
        <f>'Historical FS'!E49</f>
        <v>69359.960000000006</v>
      </c>
      <c r="F40" s="8">
        <f>'Historical FS'!F49</f>
        <v>78603.98</v>
      </c>
      <c r="G40" s="8">
        <f>'Historical FS'!G49</f>
        <v>88950.47</v>
      </c>
      <c r="H40" s="8">
        <f>'Historical FS'!H49</f>
        <v>106175.34</v>
      </c>
      <c r="I40" s="8">
        <f>'Historical FS'!I49</f>
        <v>124787.64</v>
      </c>
      <c r="J40" s="8">
        <f>'Historical FS'!J49</f>
        <v>142130.57</v>
      </c>
      <c r="K40" s="8">
        <f>'Historical FS'!K49</f>
        <v>146449.03</v>
      </c>
      <c r="L40" s="8">
        <f>'Historical FS'!L49</f>
        <v>134113.44</v>
      </c>
      <c r="M40" s="8">
        <f>M38+M39</f>
        <v>134113.44</v>
      </c>
      <c r="N40" s="8">
        <f t="shared" ref="N40:Q40" si="12">N38+N39</f>
        <v>134113.44</v>
      </c>
      <c r="O40" s="8">
        <f t="shared" si="12"/>
        <v>134113.44</v>
      </c>
      <c r="P40" s="8">
        <f t="shared" si="12"/>
        <v>134113.44</v>
      </c>
      <c r="Q40" s="8">
        <f t="shared" si="12"/>
        <v>134113.44</v>
      </c>
    </row>
    <row r="42" spans="1:17" x14ac:dyDescent="0.25">
      <c r="A42" t="s">
        <v>57</v>
      </c>
      <c r="B42" s="7" t="s">
        <v>21</v>
      </c>
      <c r="C42" s="7">
        <f>C2</f>
        <v>41729</v>
      </c>
      <c r="D42" s="7">
        <f>D2</f>
        <v>42094</v>
      </c>
      <c r="E42" s="7">
        <f t="shared" ref="E42:L42" si="13">E2</f>
        <v>42460</v>
      </c>
      <c r="F42" s="7">
        <f t="shared" si="13"/>
        <v>42825</v>
      </c>
      <c r="G42" s="7">
        <f t="shared" si="13"/>
        <v>43190</v>
      </c>
      <c r="H42" s="7">
        <f t="shared" si="13"/>
        <v>43555</v>
      </c>
      <c r="I42" s="7">
        <f t="shared" si="13"/>
        <v>43921</v>
      </c>
      <c r="J42" s="7">
        <f t="shared" si="13"/>
        <v>44286</v>
      </c>
      <c r="K42" s="7">
        <f t="shared" si="13"/>
        <v>44651</v>
      </c>
      <c r="L42" s="7">
        <f t="shared" si="13"/>
        <v>45016</v>
      </c>
      <c r="M42" s="60" t="str">
        <f t="shared" ref="D42:Q42" si="14">M2</f>
        <v>2024E</v>
      </c>
      <c r="N42" s="60" t="str">
        <f t="shared" si="14"/>
        <v>2025E</v>
      </c>
      <c r="O42" s="60" t="str">
        <f t="shared" si="14"/>
        <v>2026E</v>
      </c>
      <c r="P42" s="60" t="str">
        <f t="shared" si="14"/>
        <v>2027E</v>
      </c>
      <c r="Q42" s="60" t="str">
        <f t="shared" si="14"/>
        <v>2028E</v>
      </c>
    </row>
    <row r="43" spans="1:17" x14ac:dyDescent="0.25">
      <c r="B43" t="s">
        <v>130</v>
      </c>
      <c r="D43" s="8">
        <f>'Historical FS'!C50</f>
        <v>92180.26</v>
      </c>
      <c r="E43" s="8">
        <f>'Historical FS'!D50</f>
        <v>107442.48</v>
      </c>
      <c r="F43" s="8">
        <f>'Historical FS'!E50</f>
        <v>114871.75</v>
      </c>
      <c r="G43" s="8">
        <f>'Historical FS'!F50</f>
        <v>135914.49</v>
      </c>
      <c r="H43" s="8">
        <f>'Historical FS'!G50</f>
        <v>142813.43</v>
      </c>
      <c r="I43" s="8">
        <f>'Historical FS'!H50</f>
        <v>139348.59</v>
      </c>
      <c r="J43" s="8">
        <f>'Historical FS'!I50</f>
        <v>133180.72</v>
      </c>
      <c r="K43" s="8">
        <f>'Historical FS'!J50</f>
        <v>144192.62</v>
      </c>
      <c r="L43" s="8">
        <f>'Historical FS'!K50</f>
        <v>138051.22</v>
      </c>
      <c r="M43" s="8">
        <f>L45</f>
        <v>155239.20000000001</v>
      </c>
      <c r="N43" s="8">
        <f t="shared" ref="N43:Q43" si="15">M45</f>
        <v>152811.47079452049</v>
      </c>
      <c r="O43" s="8">
        <f t="shared" si="15"/>
        <v>155780.90238605224</v>
      </c>
      <c r="P43" s="8">
        <f t="shared" si="15"/>
        <v>158750.333977584</v>
      </c>
      <c r="Q43" s="8">
        <f t="shared" si="15"/>
        <v>161719.76556911576</v>
      </c>
    </row>
    <row r="44" spans="1:17" x14ac:dyDescent="0.25">
      <c r="B44" t="s">
        <v>170</v>
      </c>
      <c r="D44" s="8">
        <f>D45-D43</f>
        <v>15262.220000000001</v>
      </c>
      <c r="E44" s="8">
        <f t="shared" ref="E44:L44" si="16">E45-E43</f>
        <v>7429.2700000000041</v>
      </c>
      <c r="F44" s="8">
        <f t="shared" si="16"/>
        <v>21042.739999999991</v>
      </c>
      <c r="G44" s="8">
        <f t="shared" si="16"/>
        <v>6898.9400000000023</v>
      </c>
      <c r="H44" s="8">
        <f t="shared" si="16"/>
        <v>-3464.8399999999965</v>
      </c>
      <c r="I44" s="8">
        <f t="shared" si="16"/>
        <v>-6167.8699999999953</v>
      </c>
      <c r="J44" s="8">
        <f t="shared" si="16"/>
        <v>11011.899999999994</v>
      </c>
      <c r="K44" s="8">
        <f t="shared" si="16"/>
        <v>-6141.3999999999942</v>
      </c>
      <c r="L44" s="8">
        <f t="shared" si="16"/>
        <v>17187.98000000001</v>
      </c>
      <c r="M44" s="8">
        <f>M45-M43</f>
        <v>-2427.7292054795253</v>
      </c>
      <c r="N44" s="8">
        <f t="shared" ref="N44:Q44" si="17">N45-N43</f>
        <v>2969.4315915317566</v>
      </c>
      <c r="O44" s="8">
        <f t="shared" si="17"/>
        <v>2969.4315915317566</v>
      </c>
      <c r="P44" s="8">
        <f t="shared" si="17"/>
        <v>2969.4315915317566</v>
      </c>
      <c r="Q44" s="8">
        <f t="shared" si="17"/>
        <v>2969.4315915317857</v>
      </c>
    </row>
    <row r="45" spans="1:17" x14ac:dyDescent="0.25">
      <c r="B45" t="s">
        <v>131</v>
      </c>
      <c r="D45" s="8">
        <f>'Historical FS'!D50</f>
        <v>107442.48</v>
      </c>
      <c r="E45" s="8">
        <f>'Historical FS'!E50</f>
        <v>114871.75</v>
      </c>
      <c r="F45" s="8">
        <f>'Historical FS'!F50</f>
        <v>135914.49</v>
      </c>
      <c r="G45" s="8">
        <f>'Historical FS'!G50</f>
        <v>142813.43</v>
      </c>
      <c r="H45" s="8">
        <f>'Historical FS'!H50</f>
        <v>139348.59</v>
      </c>
      <c r="I45" s="8">
        <f>'Historical FS'!I50</f>
        <v>133180.72</v>
      </c>
      <c r="J45" s="8">
        <f>'Historical FS'!J50</f>
        <v>144192.62</v>
      </c>
      <c r="K45" s="8">
        <f>'Historical FS'!K50</f>
        <v>138051.22</v>
      </c>
      <c r="L45" s="8">
        <f>'Historical FS'!L50</f>
        <v>155239.20000000001</v>
      </c>
      <c r="M45" s="8">
        <f>M16*'Historical FS'!M6/365</f>
        <v>152811.47079452049</v>
      </c>
      <c r="N45" s="8">
        <f>N16*'Historical FS'!N6/365</f>
        <v>155780.90238605224</v>
      </c>
      <c r="O45" s="8">
        <f>O16*'Historical FS'!O6/365</f>
        <v>158750.333977584</v>
      </c>
      <c r="P45" s="8">
        <f>P16*'Historical FS'!P6/365</f>
        <v>161719.76556911576</v>
      </c>
      <c r="Q45" s="8">
        <f>Q16*'Historical FS'!Q6/365</f>
        <v>164689.19716064754</v>
      </c>
    </row>
    <row r="48" spans="1:17" x14ac:dyDescent="0.25">
      <c r="A48" t="s">
        <v>57</v>
      </c>
      <c r="B48" s="7" t="s">
        <v>136</v>
      </c>
      <c r="C48" s="7">
        <f>'Historical FS'!C3</f>
        <v>41729</v>
      </c>
      <c r="D48" s="7">
        <f>'Historical FS'!D3</f>
        <v>42094</v>
      </c>
      <c r="E48" s="7">
        <f>'Historical FS'!E3</f>
        <v>42460</v>
      </c>
      <c r="F48" s="7">
        <f>'Historical FS'!F3</f>
        <v>42825</v>
      </c>
      <c r="G48" s="7">
        <f>'Historical FS'!G3</f>
        <v>43190</v>
      </c>
      <c r="H48" s="7">
        <f>'Historical FS'!H3</f>
        <v>43555</v>
      </c>
      <c r="I48" s="7">
        <f>'Historical FS'!I3</f>
        <v>43921</v>
      </c>
      <c r="J48" s="7">
        <f>'Historical FS'!J3</f>
        <v>44286</v>
      </c>
      <c r="K48" s="7">
        <f>'Historical FS'!K3</f>
        <v>44651</v>
      </c>
      <c r="L48" s="7">
        <f>'Historical FS'!L3</f>
        <v>45016</v>
      </c>
      <c r="M48" s="60" t="str">
        <f>M42</f>
        <v>2024E</v>
      </c>
      <c r="N48" s="60" t="str">
        <f t="shared" ref="N48:Q48" si="18">N42</f>
        <v>2025E</v>
      </c>
      <c r="O48" s="60" t="str">
        <f t="shared" si="18"/>
        <v>2026E</v>
      </c>
      <c r="P48" s="60" t="str">
        <f t="shared" si="18"/>
        <v>2027E</v>
      </c>
      <c r="Q48" s="60" t="str">
        <f t="shared" si="18"/>
        <v>2028E</v>
      </c>
    </row>
    <row r="49" spans="1:17" x14ac:dyDescent="0.25">
      <c r="B49" t="s">
        <v>130</v>
      </c>
      <c r="D49" s="8">
        <f>'Historical FS'!C53</f>
        <v>69091.67</v>
      </c>
      <c r="E49" s="8">
        <f>'Historical FS'!D53</f>
        <v>88479.49</v>
      </c>
      <c r="F49" s="8">
        <f>'Historical FS'!E53</f>
        <v>107231.76</v>
      </c>
      <c r="G49" s="8">
        <f>'Historical FS'!F53</f>
        <v>95944.08</v>
      </c>
      <c r="H49" s="8">
        <f>'Historical FS'!G53</f>
        <v>121413.86</v>
      </c>
      <c r="I49" s="8">
        <f>'Historical FS'!H53</f>
        <v>111234.47</v>
      </c>
      <c r="J49" s="8">
        <f>'Historical FS'!I53</f>
        <v>127107.14</v>
      </c>
      <c r="K49" s="8">
        <f>'Historical FS'!J53</f>
        <v>138707.60999999999</v>
      </c>
      <c r="L49" s="8">
        <f>'Historical FS'!K53</f>
        <v>138855.45000000001</v>
      </c>
      <c r="M49" s="8">
        <f>L52</f>
        <v>132079.76</v>
      </c>
      <c r="N49" s="8">
        <f t="shared" ref="N49:Q49" si="19">M52</f>
        <v>123947.08186666663</v>
      </c>
      <c r="O49" s="8">
        <f t="shared" si="19"/>
        <v>126355.62082424239</v>
      </c>
      <c r="P49" s="8">
        <f t="shared" si="19"/>
        <v>128764.15978181813</v>
      </c>
      <c r="Q49" s="8">
        <f t="shared" si="19"/>
        <v>131172.69873939391</v>
      </c>
    </row>
    <row r="50" spans="1:17" x14ac:dyDescent="0.25">
      <c r="B50" t="s">
        <v>180</v>
      </c>
      <c r="D50" s="8">
        <f>'Historical FS'!D24*-1</f>
        <v>-13388.63</v>
      </c>
      <c r="E50" s="8">
        <f>'Historical FS'!E24*-1</f>
        <v>-16710.78</v>
      </c>
      <c r="F50" s="8">
        <f>'Historical FS'!F24*-1</f>
        <v>-17904.990000000002</v>
      </c>
      <c r="G50" s="8">
        <f>'Historical FS'!G24*-1</f>
        <v>-21553.59</v>
      </c>
      <c r="H50" s="8">
        <f>'Historical FS'!H24*-1</f>
        <v>-23590.63</v>
      </c>
      <c r="I50" s="8">
        <f>'Historical FS'!I24*-1</f>
        <v>-21425.43</v>
      </c>
      <c r="J50" s="8">
        <f>'Historical FS'!J24*-1</f>
        <v>-23546.71</v>
      </c>
      <c r="K50" s="8">
        <f>'Historical FS'!K24*-1</f>
        <v>-24835.69</v>
      </c>
      <c r="L50" s="8">
        <f>'Historical FS'!L24*-1</f>
        <v>-24860.36</v>
      </c>
      <c r="M50" s="8">
        <f>'Historical FS'!M24*-1</f>
        <v>-24789.416373333326</v>
      </c>
      <c r="N50" s="8">
        <f>'Historical FS'!N24*-1</f>
        <v>-25271.124164848476</v>
      </c>
      <c r="O50" s="8">
        <f>'Historical FS'!O24*-1</f>
        <v>-25752.831956363629</v>
      </c>
      <c r="P50" s="8">
        <f>'Historical FS'!P24*-1</f>
        <v>-26234.539747878778</v>
      </c>
      <c r="Q50" s="8">
        <f>'Historical FS'!Q24*-1</f>
        <v>-26716.247539393935</v>
      </c>
    </row>
    <row r="51" spans="1:17" x14ac:dyDescent="0.25">
      <c r="B51" t="s">
        <v>175</v>
      </c>
      <c r="D51" s="8">
        <f>D52-D49-D50</f>
        <v>32776.450000000004</v>
      </c>
      <c r="E51" s="8">
        <f t="shared" ref="E51:L51" si="20">E52-E49-E50</f>
        <v>35463.049999999988</v>
      </c>
      <c r="F51" s="8">
        <f t="shared" si="20"/>
        <v>6617.3100000000086</v>
      </c>
      <c r="G51" s="8">
        <f t="shared" si="20"/>
        <v>47023.369999999995</v>
      </c>
      <c r="H51" s="8">
        <f t="shared" si="20"/>
        <v>13411.240000000002</v>
      </c>
      <c r="I51" s="8">
        <f t="shared" si="20"/>
        <v>37298.1</v>
      </c>
      <c r="J51" s="8">
        <f t="shared" si="20"/>
        <v>35147.179999999986</v>
      </c>
      <c r="K51" s="8">
        <f t="shared" si="20"/>
        <v>24983.530000000024</v>
      </c>
      <c r="L51" s="8">
        <f t="shared" si="20"/>
        <v>18084.669999999998</v>
      </c>
      <c r="M51" s="8">
        <f>M52-M49-M50</f>
        <v>16656.738239999948</v>
      </c>
      <c r="N51" s="8">
        <f t="shared" ref="N51:Q51" si="21">N52-N49-N50</f>
        <v>27679.663122424234</v>
      </c>
      <c r="O51" s="8">
        <f t="shared" si="21"/>
        <v>28161.370913939372</v>
      </c>
      <c r="P51" s="8">
        <f t="shared" si="21"/>
        <v>28643.078705454551</v>
      </c>
      <c r="Q51" s="8">
        <f t="shared" si="21"/>
        <v>29124.786496969708</v>
      </c>
    </row>
    <row r="52" spans="1:17" x14ac:dyDescent="0.25">
      <c r="B52" t="s">
        <v>131</v>
      </c>
      <c r="D52" s="8">
        <f>'Historical FS'!D53</f>
        <v>88479.49</v>
      </c>
      <c r="E52" s="8">
        <f>'Historical FS'!E53</f>
        <v>107231.76</v>
      </c>
      <c r="F52" s="8">
        <f>'Historical FS'!F53</f>
        <v>95944.08</v>
      </c>
      <c r="G52" s="8">
        <f>'Historical FS'!G53</f>
        <v>121413.86</v>
      </c>
      <c r="H52" s="8">
        <f>'Historical FS'!H53</f>
        <v>111234.47</v>
      </c>
      <c r="I52" s="8">
        <f>'Historical FS'!I53</f>
        <v>127107.14</v>
      </c>
      <c r="J52" s="8">
        <f>'Historical FS'!J53</f>
        <v>138707.60999999999</v>
      </c>
      <c r="K52" s="8">
        <f>'Historical FS'!K53</f>
        <v>138855.45000000001</v>
      </c>
      <c r="L52" s="8">
        <f>'Historical FS'!L53</f>
        <v>132079.76</v>
      </c>
      <c r="M52" s="8">
        <f>'Historical FS'!M6/Assumptions!M10</f>
        <v>123947.08186666663</v>
      </c>
      <c r="N52" s="8">
        <f>'Historical FS'!N6/Assumptions!N10</f>
        <v>126355.62082424239</v>
      </c>
      <c r="O52" s="8">
        <f>'Historical FS'!O6/Assumptions!O10</f>
        <v>128764.15978181813</v>
      </c>
      <c r="P52" s="8">
        <f>'Historical FS'!P6/Assumptions!P10</f>
        <v>131172.69873939391</v>
      </c>
      <c r="Q52" s="8">
        <f>'Historical FS'!Q6/Assumptions!Q10</f>
        <v>133581.23769696968</v>
      </c>
    </row>
    <row r="56" spans="1:17" x14ac:dyDescent="0.25">
      <c r="A56" t="s">
        <v>57</v>
      </c>
      <c r="B56" s="7" t="s">
        <v>138</v>
      </c>
      <c r="C56" s="7">
        <f>'Historical FS'!C3</f>
        <v>41729</v>
      </c>
      <c r="D56" s="7">
        <f>'Historical FS'!D3</f>
        <v>42094</v>
      </c>
      <c r="E56" s="7">
        <f>'Historical FS'!E3</f>
        <v>42460</v>
      </c>
      <c r="F56" s="7">
        <f>'Historical FS'!F3</f>
        <v>42825</v>
      </c>
      <c r="G56" s="7">
        <f>'Historical FS'!G3</f>
        <v>43190</v>
      </c>
      <c r="H56" s="7">
        <f>'Historical FS'!H3</f>
        <v>43555</v>
      </c>
      <c r="I56" s="7">
        <f>'Historical FS'!I3</f>
        <v>43921</v>
      </c>
      <c r="J56" s="7">
        <f>'Historical FS'!J3</f>
        <v>44286</v>
      </c>
      <c r="K56" s="7">
        <f>'Historical FS'!K3</f>
        <v>44651</v>
      </c>
      <c r="L56" s="7">
        <f>'Historical FS'!L3</f>
        <v>45016</v>
      </c>
      <c r="M56" s="60" t="str">
        <f>M48</f>
        <v>2024E</v>
      </c>
      <c r="N56" s="60" t="str">
        <f t="shared" ref="N56:Q56" si="22">N48</f>
        <v>2025E</v>
      </c>
      <c r="O56" s="60" t="str">
        <f t="shared" si="22"/>
        <v>2026E</v>
      </c>
      <c r="P56" s="60" t="str">
        <f t="shared" si="22"/>
        <v>2027E</v>
      </c>
      <c r="Q56" s="60" t="str">
        <f t="shared" si="22"/>
        <v>2028E</v>
      </c>
    </row>
    <row r="57" spans="1:17" x14ac:dyDescent="0.25">
      <c r="B57" t="s">
        <v>130</v>
      </c>
      <c r="D57" s="8">
        <f>'Historical FS'!C54</f>
        <v>33262.559999999998</v>
      </c>
      <c r="E57" s="8">
        <f>'Historical FS'!D54</f>
        <v>28640.09</v>
      </c>
      <c r="F57" s="8">
        <f>'Historical FS'!E54</f>
        <v>25918.94</v>
      </c>
      <c r="G57" s="8">
        <f>'Historical FS'!F54</f>
        <v>33698.839999999997</v>
      </c>
      <c r="H57" s="8">
        <f>'Historical FS'!G54</f>
        <v>40033.5</v>
      </c>
      <c r="I57" s="8">
        <f>'Historical FS'!H54</f>
        <v>31883.84</v>
      </c>
      <c r="J57" s="8">
        <f>'Historical FS'!I54</f>
        <v>35622.29</v>
      </c>
      <c r="K57" s="8">
        <f>'Historical FS'!J54</f>
        <v>20963.93</v>
      </c>
      <c r="L57" s="8">
        <f>'Historical FS'!K54</f>
        <v>10251.09</v>
      </c>
      <c r="M57" s="8">
        <f>L59</f>
        <v>14274.5</v>
      </c>
      <c r="N57" s="8">
        <f t="shared" ref="N57:Q57" si="23">M59</f>
        <v>30986.770466666658</v>
      </c>
      <c r="O57" s="8">
        <f t="shared" si="23"/>
        <v>31588.905206060597</v>
      </c>
      <c r="P57" s="8">
        <f t="shared" si="23"/>
        <v>32191.039945454533</v>
      </c>
      <c r="Q57" s="8">
        <f t="shared" si="23"/>
        <v>32793.174684848476</v>
      </c>
    </row>
    <row r="58" spans="1:17" x14ac:dyDescent="0.25">
      <c r="B58" t="s">
        <v>137</v>
      </c>
      <c r="D58" s="8">
        <f>D59-D57</f>
        <v>-4622.4699999999975</v>
      </c>
      <c r="E58" s="8">
        <f t="shared" ref="E58:L58" si="24">E59-E57</f>
        <v>-2721.1500000000015</v>
      </c>
      <c r="F58" s="8">
        <f t="shared" si="24"/>
        <v>7779.8999999999978</v>
      </c>
      <c r="G58" s="8">
        <f t="shared" si="24"/>
        <v>6334.6600000000035</v>
      </c>
      <c r="H58" s="8">
        <f t="shared" si="24"/>
        <v>-8149.66</v>
      </c>
      <c r="I58" s="8">
        <f t="shared" si="24"/>
        <v>3738.4500000000007</v>
      </c>
      <c r="J58" s="8">
        <f t="shared" si="24"/>
        <v>-14658.36</v>
      </c>
      <c r="K58" s="8">
        <f t="shared" si="24"/>
        <v>-10712.84</v>
      </c>
      <c r="L58" s="8">
        <f t="shared" si="24"/>
        <v>4023.41</v>
      </c>
      <c r="M58" s="8">
        <f>M59-M57</f>
        <v>16712.270466666658</v>
      </c>
      <c r="N58" s="8">
        <f t="shared" ref="N58:Q58" si="25">N59-N57</f>
        <v>602.13473939393953</v>
      </c>
      <c r="O58" s="8">
        <f t="shared" si="25"/>
        <v>602.13473939393589</v>
      </c>
      <c r="P58" s="8">
        <f t="shared" si="25"/>
        <v>602.13473939394316</v>
      </c>
      <c r="Q58" s="8">
        <f t="shared" si="25"/>
        <v>602.13473939394316</v>
      </c>
    </row>
    <row r="59" spans="1:17" x14ac:dyDescent="0.25">
      <c r="B59" t="s">
        <v>131</v>
      </c>
      <c r="D59" s="8">
        <f>'Historical FS'!D54</f>
        <v>28640.09</v>
      </c>
      <c r="E59" s="8">
        <f>'Historical FS'!E54</f>
        <v>25918.94</v>
      </c>
      <c r="F59" s="8">
        <f>'Historical FS'!F54</f>
        <v>33698.839999999997</v>
      </c>
      <c r="G59" s="8">
        <f>'Historical FS'!G54</f>
        <v>40033.5</v>
      </c>
      <c r="H59" s="8">
        <f>'Historical FS'!H54</f>
        <v>31883.84</v>
      </c>
      <c r="I59" s="8">
        <f>'Historical FS'!I54</f>
        <v>35622.29</v>
      </c>
      <c r="J59" s="8">
        <f>'Historical FS'!J54</f>
        <v>20963.93</v>
      </c>
      <c r="K59" s="8">
        <f>'Historical FS'!K54</f>
        <v>10251.09</v>
      </c>
      <c r="L59" s="8">
        <f>'Historical FS'!L54</f>
        <v>14274.5</v>
      </c>
      <c r="M59" s="8">
        <f>'Historical FS'!M6/Assumptions!M11</f>
        <v>30986.770466666658</v>
      </c>
      <c r="N59" s="8">
        <f>'Historical FS'!N6/Assumptions!N11</f>
        <v>31588.905206060597</v>
      </c>
      <c r="O59" s="8">
        <f>'Historical FS'!O6/Assumptions!O11</f>
        <v>32191.039945454533</v>
      </c>
      <c r="P59" s="8">
        <f>'Historical FS'!P6/Assumptions!P11</f>
        <v>32793.174684848476</v>
      </c>
      <c r="Q59" s="8">
        <f>'Historical FS'!Q6/Assumptions!Q11</f>
        <v>33395.309424242419</v>
      </c>
    </row>
    <row r="61" spans="1:17" x14ac:dyDescent="0.25">
      <c r="A61" t="s">
        <v>57</v>
      </c>
      <c r="B61" s="7" t="s">
        <v>139</v>
      </c>
      <c r="C61" s="7">
        <f>'Historical FS'!C3</f>
        <v>41729</v>
      </c>
      <c r="D61" s="7">
        <f>'Historical FS'!D3</f>
        <v>42094</v>
      </c>
      <c r="E61" s="7">
        <f>'Historical FS'!E3</f>
        <v>42460</v>
      </c>
      <c r="F61" s="7">
        <f>'Historical FS'!F3</f>
        <v>42825</v>
      </c>
      <c r="G61" s="7">
        <f>'Historical FS'!G3</f>
        <v>43190</v>
      </c>
      <c r="H61" s="7">
        <f>'Historical FS'!H3</f>
        <v>43555</v>
      </c>
      <c r="I61" s="7">
        <f>'Historical FS'!I3</f>
        <v>43921</v>
      </c>
      <c r="J61" s="7">
        <f>'Historical FS'!J3</f>
        <v>44286</v>
      </c>
      <c r="K61" s="7">
        <f>'Historical FS'!K3</f>
        <v>44651</v>
      </c>
      <c r="L61" s="7">
        <f>'Historical FS'!L3</f>
        <v>45016</v>
      </c>
      <c r="M61" s="60" t="str">
        <f>M56</f>
        <v>2024E</v>
      </c>
      <c r="N61" s="60" t="str">
        <f t="shared" ref="N61:Q61" si="26">N56</f>
        <v>2025E</v>
      </c>
      <c r="O61" s="60" t="str">
        <f t="shared" si="26"/>
        <v>2026E</v>
      </c>
      <c r="P61" s="60" t="str">
        <f t="shared" si="26"/>
        <v>2027E</v>
      </c>
      <c r="Q61" s="60" t="str">
        <f t="shared" si="26"/>
        <v>2028E</v>
      </c>
    </row>
    <row r="62" spans="1:17" x14ac:dyDescent="0.25">
      <c r="B62" t="s">
        <v>130</v>
      </c>
      <c r="D62" s="8">
        <f>'Historical FS'!C55</f>
        <v>10686.67</v>
      </c>
      <c r="E62" s="8">
        <f>'Historical FS'!D55</f>
        <v>15336.74</v>
      </c>
      <c r="F62" s="8">
        <f>'Historical FS'!E55</f>
        <v>23767.02</v>
      </c>
      <c r="G62" s="8">
        <f>'Historical FS'!F55</f>
        <v>20337.919999999998</v>
      </c>
      <c r="H62" s="8">
        <f>'Historical FS'!G55</f>
        <v>20812.75</v>
      </c>
      <c r="I62" s="8">
        <f>'Historical FS'!H55</f>
        <v>15770.72</v>
      </c>
      <c r="J62" s="8">
        <f>'Historical FS'!I55</f>
        <v>16308.48</v>
      </c>
      <c r="K62" s="8">
        <f>'Historical FS'!J55</f>
        <v>24620.28</v>
      </c>
      <c r="L62" s="8">
        <f>'Historical FS'!K55</f>
        <v>29379.53</v>
      </c>
      <c r="M62" s="8">
        <f>L64</f>
        <v>26379.16</v>
      </c>
      <c r="N62" s="8">
        <f t="shared" ref="N62:Q62" si="27">M64</f>
        <v>25822.308722222213</v>
      </c>
      <c r="O62" s="8">
        <f t="shared" si="27"/>
        <v>26324.087671717163</v>
      </c>
      <c r="P62" s="8">
        <f t="shared" si="27"/>
        <v>26825.866621212113</v>
      </c>
      <c r="Q62" s="8">
        <f t="shared" si="27"/>
        <v>27327.64557070706</v>
      </c>
    </row>
    <row r="63" spans="1:17" x14ac:dyDescent="0.25">
      <c r="B63" t="s">
        <v>140</v>
      </c>
      <c r="D63" s="8">
        <f>D64-D62</f>
        <v>4650.07</v>
      </c>
      <c r="E63" s="8">
        <f t="shared" ref="E63:L63" si="28">E64-E62</f>
        <v>8430.2800000000007</v>
      </c>
      <c r="F63" s="8">
        <f t="shared" si="28"/>
        <v>-3429.1000000000022</v>
      </c>
      <c r="G63" s="8">
        <f t="shared" si="28"/>
        <v>474.83000000000175</v>
      </c>
      <c r="H63" s="8">
        <f t="shared" si="28"/>
        <v>-5042.0300000000007</v>
      </c>
      <c r="I63" s="8">
        <f t="shared" si="28"/>
        <v>537.76000000000022</v>
      </c>
      <c r="J63" s="8">
        <f t="shared" si="28"/>
        <v>8311.7999999999993</v>
      </c>
      <c r="K63" s="8">
        <f t="shared" si="28"/>
        <v>4759.25</v>
      </c>
      <c r="L63" s="8">
        <f t="shared" si="28"/>
        <v>-3000.369999999999</v>
      </c>
      <c r="M63" s="8">
        <f>M64-M62</f>
        <v>-556.85127777778689</v>
      </c>
      <c r="N63" s="8">
        <f t="shared" ref="N63:Q63" si="29">N64-N62</f>
        <v>501.77894949495021</v>
      </c>
      <c r="O63" s="8">
        <f t="shared" si="29"/>
        <v>501.77894949495021</v>
      </c>
      <c r="P63" s="8">
        <f t="shared" si="29"/>
        <v>501.77894949494657</v>
      </c>
      <c r="Q63" s="8">
        <f t="shared" si="29"/>
        <v>501.77894949495385</v>
      </c>
    </row>
    <row r="64" spans="1:17" x14ac:dyDescent="0.25">
      <c r="B64" t="s">
        <v>131</v>
      </c>
      <c r="D64" s="8">
        <f>'Historical FS'!D55</f>
        <v>15336.74</v>
      </c>
      <c r="E64" s="8">
        <f>'Historical FS'!E55</f>
        <v>23767.02</v>
      </c>
      <c r="F64" s="8">
        <f>'Historical FS'!F55</f>
        <v>20337.919999999998</v>
      </c>
      <c r="G64" s="8">
        <f>'Historical FS'!G55</f>
        <v>20812.75</v>
      </c>
      <c r="H64" s="8">
        <f>'Historical FS'!H55</f>
        <v>15770.72</v>
      </c>
      <c r="I64" s="8">
        <f>'Historical FS'!I55</f>
        <v>16308.48</v>
      </c>
      <c r="J64" s="8">
        <f>'Historical FS'!J55</f>
        <v>24620.28</v>
      </c>
      <c r="K64" s="8">
        <f>'Historical FS'!K55</f>
        <v>29379.53</v>
      </c>
      <c r="L64" s="8">
        <f>'Historical FS'!L55</f>
        <v>26379.16</v>
      </c>
      <c r="M64" s="8">
        <f>'Historical FS'!M6/Assumptions!M12</f>
        <v>25822.308722222213</v>
      </c>
      <c r="N64" s="8">
        <f>'Historical FS'!N6/Assumptions!N12</f>
        <v>26324.087671717163</v>
      </c>
      <c r="O64" s="8">
        <f>'Historical FS'!O6/Assumptions!O12</f>
        <v>26825.866621212113</v>
      </c>
      <c r="P64" s="8">
        <f>'Historical FS'!P6/Assumptions!P12</f>
        <v>27327.64557070706</v>
      </c>
      <c r="Q64" s="8">
        <f>'Historical FS'!Q6/Assumptions!Q12</f>
        <v>27829.424520202014</v>
      </c>
    </row>
    <row r="66" spans="1:17" x14ac:dyDescent="0.25">
      <c r="A66" t="s">
        <v>57</v>
      </c>
      <c r="B66" s="7" t="s">
        <v>141</v>
      </c>
      <c r="C66" s="7">
        <f>'Historical FS'!C3</f>
        <v>41729</v>
      </c>
      <c r="D66" s="7">
        <f>'Historical FS'!D3</f>
        <v>42094</v>
      </c>
      <c r="E66" s="7">
        <f>'Historical FS'!E3</f>
        <v>42460</v>
      </c>
      <c r="F66" s="7">
        <f>'Historical FS'!F3</f>
        <v>42825</v>
      </c>
      <c r="G66" s="7">
        <f>'Historical FS'!G3</f>
        <v>43190</v>
      </c>
      <c r="H66" s="7">
        <f>'Historical FS'!H3</f>
        <v>43555</v>
      </c>
      <c r="I66" s="7">
        <f>'Historical FS'!I3</f>
        <v>43921</v>
      </c>
      <c r="J66" s="7">
        <f>'Historical FS'!J3</f>
        <v>44286</v>
      </c>
      <c r="K66" s="7">
        <f>'Historical FS'!K3</f>
        <v>44651</v>
      </c>
      <c r="L66" s="7">
        <f>'Historical FS'!L3</f>
        <v>45016</v>
      </c>
      <c r="M66" s="60" t="str">
        <f>M56</f>
        <v>2024E</v>
      </c>
      <c r="N66" s="60" t="str">
        <f t="shared" ref="N66:Q66" si="30">N56</f>
        <v>2025E</v>
      </c>
      <c r="O66" s="60" t="str">
        <f t="shared" si="30"/>
        <v>2026E</v>
      </c>
      <c r="P66" s="60" t="str">
        <f t="shared" si="30"/>
        <v>2027E</v>
      </c>
      <c r="Q66" s="60" t="str">
        <f t="shared" si="30"/>
        <v>2028E</v>
      </c>
    </row>
    <row r="67" spans="1:17" x14ac:dyDescent="0.25">
      <c r="B67" t="s">
        <v>130</v>
      </c>
      <c r="D67" s="8">
        <f>'Historical FS'!C56</f>
        <v>37828.179999999993</v>
      </c>
      <c r="E67" s="8">
        <f>'Historical FS'!D56</f>
        <v>30891.17</v>
      </c>
      <c r="F67" s="8">
        <f>'Historical FS'!E56</f>
        <v>29579.359999999986</v>
      </c>
      <c r="G67" s="8">
        <f>'Historical FS'!F56</f>
        <v>37360.780000000013</v>
      </c>
      <c r="H67" s="8">
        <f>'Historical FS'!G56</f>
        <v>48286.860000000015</v>
      </c>
      <c r="I67" s="8">
        <f>'Historical FS'!H56</f>
        <v>56155.739999999991</v>
      </c>
      <c r="J67" s="8">
        <f>'Historical FS'!I56</f>
        <v>58784.94</v>
      </c>
      <c r="K67" s="8">
        <f>'Historical FS'!J56</f>
        <v>61717.959999999992</v>
      </c>
      <c r="L67" s="8">
        <f>'Historical FS'!K56</f>
        <v>62223.770000000019</v>
      </c>
      <c r="M67" s="8">
        <f>L69</f>
        <v>68432.090000000011</v>
      </c>
      <c r="N67" s="8">
        <f t="shared" ref="N67:Q67" si="31">M69</f>
        <v>51644.617444444426</v>
      </c>
      <c r="O67" s="8">
        <f t="shared" si="31"/>
        <v>52648.175343434326</v>
      </c>
      <c r="P67" s="8">
        <f t="shared" si="31"/>
        <v>53651.733242424227</v>
      </c>
      <c r="Q67" s="8">
        <f t="shared" si="31"/>
        <v>54655.29114141412</v>
      </c>
    </row>
    <row r="68" spans="1:17" x14ac:dyDescent="0.25">
      <c r="B68" t="s">
        <v>140</v>
      </c>
      <c r="D68" s="8">
        <f>D69-D67</f>
        <v>-6937.0099999999948</v>
      </c>
      <c r="E68" s="8">
        <f t="shared" ref="E68:L68" si="32">E69-E67</f>
        <v>-1311.8100000000122</v>
      </c>
      <c r="F68" s="8">
        <f t="shared" si="32"/>
        <v>7781.4200000000274</v>
      </c>
      <c r="G68" s="8">
        <f t="shared" si="32"/>
        <v>10926.080000000002</v>
      </c>
      <c r="H68" s="8">
        <f t="shared" si="32"/>
        <v>7868.8799999999756</v>
      </c>
      <c r="I68" s="8">
        <f t="shared" si="32"/>
        <v>2629.2000000000116</v>
      </c>
      <c r="J68" s="8">
        <f t="shared" si="32"/>
        <v>2933.0199999999895</v>
      </c>
      <c r="K68" s="8">
        <f t="shared" si="32"/>
        <v>505.81000000002678</v>
      </c>
      <c r="L68" s="8">
        <f t="shared" si="32"/>
        <v>6208.3199999999924</v>
      </c>
      <c r="M68" s="8">
        <f>M69-M67</f>
        <v>-16787.472555555585</v>
      </c>
      <c r="N68" s="8">
        <f t="shared" ref="N68:Q68" si="33">N69-N67</f>
        <v>1003.5578989899004</v>
      </c>
      <c r="O68" s="8">
        <f t="shared" si="33"/>
        <v>1003.5578989899004</v>
      </c>
      <c r="P68" s="8">
        <f t="shared" si="33"/>
        <v>1003.5578989898931</v>
      </c>
      <c r="Q68" s="8">
        <f t="shared" si="33"/>
        <v>1003.5578989899077</v>
      </c>
    </row>
    <row r="69" spans="1:17" x14ac:dyDescent="0.25">
      <c r="B69" t="s">
        <v>131</v>
      </c>
      <c r="D69" s="8">
        <f>'Historical FS'!D56</f>
        <v>30891.17</v>
      </c>
      <c r="E69" s="8">
        <f>'Historical FS'!E56</f>
        <v>29579.359999999986</v>
      </c>
      <c r="F69" s="8">
        <f>'Historical FS'!F56</f>
        <v>37360.780000000013</v>
      </c>
      <c r="G69" s="8">
        <f>'Historical FS'!G56</f>
        <v>48286.860000000015</v>
      </c>
      <c r="H69" s="8">
        <f>'Historical FS'!H56</f>
        <v>56155.739999999991</v>
      </c>
      <c r="I69" s="8">
        <f>'Historical FS'!I56</f>
        <v>58784.94</v>
      </c>
      <c r="J69" s="8">
        <f>'Historical FS'!J56</f>
        <v>61717.959999999992</v>
      </c>
      <c r="K69" s="8">
        <f>'Historical FS'!K56</f>
        <v>62223.770000000019</v>
      </c>
      <c r="L69" s="8">
        <f>'Historical FS'!L56</f>
        <v>68432.090000000011</v>
      </c>
      <c r="M69" s="8">
        <f>'Historical FS'!M6/Assumptions!M13</f>
        <v>51644.617444444426</v>
      </c>
      <c r="N69" s="8">
        <f>'Historical FS'!N6/Assumptions!N13</f>
        <v>52648.175343434326</v>
      </c>
      <c r="O69" s="8">
        <f>'Historical FS'!O6/Assumptions!O13</f>
        <v>53651.733242424227</v>
      </c>
      <c r="P69" s="8">
        <f>'Historical FS'!P6/Assumptions!P13</f>
        <v>54655.29114141412</v>
      </c>
      <c r="Q69" s="8">
        <f>'Historical FS'!Q6/Assumptions!Q13</f>
        <v>55658.849040404028</v>
      </c>
    </row>
    <row r="71" spans="1:17" x14ac:dyDescent="0.25">
      <c r="A71" t="s">
        <v>57</v>
      </c>
      <c r="B71" s="7" t="s">
        <v>174</v>
      </c>
      <c r="C71" s="7">
        <f>C2</f>
        <v>41729</v>
      </c>
      <c r="D71" s="7">
        <f t="shared" ref="D71:L71" si="34">D2</f>
        <v>42094</v>
      </c>
      <c r="E71" s="7">
        <f t="shared" si="34"/>
        <v>42460</v>
      </c>
      <c r="F71" s="7">
        <f t="shared" si="34"/>
        <v>42825</v>
      </c>
      <c r="G71" s="7">
        <f t="shared" si="34"/>
        <v>43190</v>
      </c>
      <c r="H71" s="7">
        <f t="shared" si="34"/>
        <v>43555</v>
      </c>
      <c r="I71" s="7">
        <f t="shared" si="34"/>
        <v>43921</v>
      </c>
      <c r="J71" s="7">
        <f t="shared" si="34"/>
        <v>44286</v>
      </c>
      <c r="K71" s="7">
        <f t="shared" si="34"/>
        <v>44651</v>
      </c>
      <c r="L71" s="7">
        <f t="shared" si="34"/>
        <v>45016</v>
      </c>
      <c r="M71" s="60" t="str">
        <f t="shared" ref="D71:Q71" si="35">M2</f>
        <v>2024E</v>
      </c>
      <c r="N71" s="60" t="str">
        <f t="shared" si="35"/>
        <v>2025E</v>
      </c>
      <c r="O71" s="60" t="str">
        <f t="shared" si="35"/>
        <v>2026E</v>
      </c>
      <c r="P71" s="60" t="str">
        <f t="shared" si="35"/>
        <v>2027E</v>
      </c>
      <c r="Q71" s="60" t="str">
        <f t="shared" si="35"/>
        <v>2028E</v>
      </c>
    </row>
    <row r="72" spans="1:17" x14ac:dyDescent="0.25">
      <c r="B72" t="s">
        <v>130</v>
      </c>
      <c r="D72" s="8">
        <f>'Historical FS'!C59</f>
        <v>10574.23</v>
      </c>
      <c r="E72" s="8">
        <f>'Historical FS'!D59</f>
        <v>12579.2</v>
      </c>
      <c r="F72" s="8">
        <f>'Historical FS'!E59</f>
        <v>13570.91</v>
      </c>
      <c r="G72" s="8">
        <f>'Historical FS'!F59</f>
        <v>14075.55</v>
      </c>
      <c r="H72" s="8">
        <f>'Historical FS'!G59</f>
        <v>19893.3</v>
      </c>
      <c r="I72" s="8">
        <f>'Historical FS'!H59</f>
        <v>18996.169999999998</v>
      </c>
      <c r="J72" s="8">
        <f>'Historical FS'!I59</f>
        <v>11172.69</v>
      </c>
      <c r="K72" s="8">
        <f>'Historical FS'!J59</f>
        <v>12679.08</v>
      </c>
      <c r="L72" s="8">
        <f>'Historical FS'!K59</f>
        <v>12442.12</v>
      </c>
      <c r="M72" s="8">
        <f>L74</f>
        <v>15737.97</v>
      </c>
      <c r="N72" s="8">
        <f t="shared" ref="N72:Q72" si="36">M74</f>
        <v>15281.14707945205</v>
      </c>
      <c r="O72" s="8">
        <f t="shared" si="36"/>
        <v>15578.090238605226</v>
      </c>
      <c r="P72" s="8">
        <f t="shared" si="36"/>
        <v>15875.0333977584</v>
      </c>
      <c r="Q72" s="8">
        <f t="shared" si="36"/>
        <v>16171.976556911575</v>
      </c>
    </row>
    <row r="73" spans="1:17" x14ac:dyDescent="0.25">
      <c r="B73" t="s">
        <v>175</v>
      </c>
      <c r="D73" s="8">
        <f>D74-D72</f>
        <v>2004.9700000000012</v>
      </c>
      <c r="E73" s="8">
        <f t="shared" ref="E73:L73" si="37">E74-E72</f>
        <v>991.70999999999913</v>
      </c>
      <c r="F73" s="8">
        <f t="shared" si="37"/>
        <v>504.63999999999942</v>
      </c>
      <c r="G73" s="8">
        <f t="shared" si="37"/>
        <v>5817.75</v>
      </c>
      <c r="H73" s="8">
        <f t="shared" si="37"/>
        <v>-897.13000000000102</v>
      </c>
      <c r="I73" s="8">
        <f t="shared" si="37"/>
        <v>-7823.4799999999977</v>
      </c>
      <c r="J73" s="8">
        <f t="shared" si="37"/>
        <v>1506.3899999999994</v>
      </c>
      <c r="K73" s="8">
        <f t="shared" si="37"/>
        <v>-236.95999999999913</v>
      </c>
      <c r="L73" s="8">
        <f t="shared" si="37"/>
        <v>3295.8499999999985</v>
      </c>
      <c r="M73" s="8">
        <f>M74-M72</f>
        <v>-456.82292054794925</v>
      </c>
      <c r="N73" s="8">
        <f t="shared" ref="N73:Q73" si="38">N74-N72</f>
        <v>296.94315915317566</v>
      </c>
      <c r="O73" s="8">
        <f t="shared" si="38"/>
        <v>296.94315915317384</v>
      </c>
      <c r="P73" s="8">
        <f t="shared" si="38"/>
        <v>296.94315915317566</v>
      </c>
      <c r="Q73" s="8">
        <f t="shared" si="38"/>
        <v>296.94315915317748</v>
      </c>
    </row>
    <row r="74" spans="1:17" x14ac:dyDescent="0.25">
      <c r="B74" t="s">
        <v>131</v>
      </c>
      <c r="D74" s="8">
        <f>'Historical FS'!D59</f>
        <v>12579.2</v>
      </c>
      <c r="E74" s="8">
        <f>'Historical FS'!E59</f>
        <v>13570.91</v>
      </c>
      <c r="F74" s="8">
        <f>'Historical FS'!F59</f>
        <v>14075.55</v>
      </c>
      <c r="G74" s="8">
        <f>'Historical FS'!G59</f>
        <v>19893.3</v>
      </c>
      <c r="H74" s="8">
        <f>'Historical FS'!H59</f>
        <v>18996.169999999998</v>
      </c>
      <c r="I74" s="8">
        <f>'Historical FS'!I59</f>
        <v>11172.69</v>
      </c>
      <c r="J74" s="8">
        <f>'Historical FS'!J59</f>
        <v>12679.08</v>
      </c>
      <c r="K74" s="8">
        <f>'Historical FS'!K59</f>
        <v>12442.12</v>
      </c>
      <c r="L74" s="8">
        <f>'Historical FS'!L59</f>
        <v>15737.97</v>
      </c>
      <c r="M74" s="8">
        <f>M14*'Historical FS'!M6/365</f>
        <v>15281.14707945205</v>
      </c>
      <c r="N74" s="8">
        <f>N14*'Historical FS'!N6/365</f>
        <v>15578.090238605226</v>
      </c>
      <c r="O74" s="8">
        <f>O14*'Historical FS'!O6/365</f>
        <v>15875.0333977584</v>
      </c>
      <c r="P74" s="8">
        <f>P14*'Historical FS'!P6/365</f>
        <v>16171.976556911575</v>
      </c>
      <c r="Q74" s="8">
        <f>Q14*'Historical FS'!Q6/365</f>
        <v>16468.919716064753</v>
      </c>
    </row>
    <row r="76" spans="1:17" x14ac:dyDescent="0.25">
      <c r="A76" t="s">
        <v>57</v>
      </c>
      <c r="B76" s="7" t="s">
        <v>176</v>
      </c>
      <c r="C76" s="7">
        <f>C71</f>
        <v>41729</v>
      </c>
      <c r="D76" s="7">
        <f t="shared" ref="D76:L76" si="39">D71</f>
        <v>42094</v>
      </c>
      <c r="E76" s="7">
        <f t="shared" si="39"/>
        <v>42460</v>
      </c>
      <c r="F76" s="7">
        <f t="shared" si="39"/>
        <v>42825</v>
      </c>
      <c r="G76" s="7">
        <f t="shared" si="39"/>
        <v>43190</v>
      </c>
      <c r="H76" s="7">
        <f t="shared" si="39"/>
        <v>43555</v>
      </c>
      <c r="I76" s="7">
        <f t="shared" si="39"/>
        <v>43921</v>
      </c>
      <c r="J76" s="7">
        <f t="shared" si="39"/>
        <v>44286</v>
      </c>
      <c r="K76" s="7">
        <f t="shared" si="39"/>
        <v>44651</v>
      </c>
      <c r="L76" s="7">
        <f t="shared" si="39"/>
        <v>45016</v>
      </c>
      <c r="M76" s="60" t="str">
        <f t="shared" ref="D76:Q76" si="40">M71</f>
        <v>2024E</v>
      </c>
      <c r="N76" s="60" t="str">
        <f t="shared" si="40"/>
        <v>2025E</v>
      </c>
      <c r="O76" s="60" t="str">
        <f t="shared" si="40"/>
        <v>2026E</v>
      </c>
      <c r="P76" s="60" t="str">
        <f t="shared" si="40"/>
        <v>2027E</v>
      </c>
      <c r="Q76" s="60" t="str">
        <f t="shared" si="40"/>
        <v>2028E</v>
      </c>
    </row>
    <row r="77" spans="1:17" x14ac:dyDescent="0.25">
      <c r="B77" t="s">
        <v>130</v>
      </c>
      <c r="D77" s="8">
        <f>'Historical FS'!C60</f>
        <v>27270.89</v>
      </c>
      <c r="E77" s="8">
        <f>'Historical FS'!D60</f>
        <v>29272.34</v>
      </c>
      <c r="F77" s="8">
        <f>'Historical FS'!E60</f>
        <v>32655.73</v>
      </c>
      <c r="G77" s="8">
        <f>'Historical FS'!F60</f>
        <v>35085.31</v>
      </c>
      <c r="H77" s="8">
        <f>'Historical FS'!G60</f>
        <v>42137.63</v>
      </c>
      <c r="I77" s="8">
        <f>'Historical FS'!H60</f>
        <v>39013.730000000003</v>
      </c>
      <c r="J77" s="8">
        <f>'Historical FS'!I60</f>
        <v>37456.879999999997</v>
      </c>
      <c r="K77" s="8">
        <f>'Historical FS'!J60</f>
        <v>36088.589999999997</v>
      </c>
      <c r="L77" s="8">
        <f>'Historical FS'!K60</f>
        <v>35240.339999999997</v>
      </c>
      <c r="M77" s="8">
        <f>L79</f>
        <v>40755.39</v>
      </c>
      <c r="N77" s="8">
        <f t="shared" ref="N77:Q77" si="41">M79</f>
        <v>38202.867698630122</v>
      </c>
      <c r="O77" s="8">
        <f t="shared" si="41"/>
        <v>38945.225596513061</v>
      </c>
      <c r="P77" s="8">
        <f t="shared" si="41"/>
        <v>39687.583494396</v>
      </c>
      <c r="Q77" s="8">
        <f t="shared" si="41"/>
        <v>40429.941392278939</v>
      </c>
    </row>
    <row r="78" spans="1:17" x14ac:dyDescent="0.25">
      <c r="B78" t="s">
        <v>175</v>
      </c>
      <c r="D78" s="8">
        <f>D79-D77</f>
        <v>2001.4500000000007</v>
      </c>
      <c r="E78" s="8">
        <f t="shared" ref="E78:L78" si="42">E79-E77</f>
        <v>3383.3899999999994</v>
      </c>
      <c r="F78" s="8">
        <f t="shared" si="42"/>
        <v>2429.5799999999981</v>
      </c>
      <c r="G78" s="8">
        <f t="shared" si="42"/>
        <v>7052.32</v>
      </c>
      <c r="H78" s="8">
        <f t="shared" si="42"/>
        <v>-3123.8999999999942</v>
      </c>
      <c r="I78" s="8">
        <f t="shared" si="42"/>
        <v>-1556.8500000000058</v>
      </c>
      <c r="J78" s="8">
        <f t="shared" si="42"/>
        <v>-1368.2900000000009</v>
      </c>
      <c r="K78" s="8">
        <f t="shared" si="42"/>
        <v>-848.25</v>
      </c>
      <c r="L78" s="8">
        <f t="shared" si="42"/>
        <v>5515.0500000000029</v>
      </c>
      <c r="M78" s="8">
        <f>M79-M77</f>
        <v>-2552.5223013698778</v>
      </c>
      <c r="N78" s="8">
        <f t="shared" ref="N78:Q78" si="43">N79-N77</f>
        <v>742.35789788293914</v>
      </c>
      <c r="O78" s="8">
        <f t="shared" si="43"/>
        <v>742.35789788293914</v>
      </c>
      <c r="P78" s="8">
        <f t="shared" si="43"/>
        <v>742.35789788293914</v>
      </c>
      <c r="Q78" s="8">
        <f t="shared" si="43"/>
        <v>742.35789788294642</v>
      </c>
    </row>
    <row r="79" spans="1:17" x14ac:dyDescent="0.25">
      <c r="B79" t="s">
        <v>131</v>
      </c>
      <c r="D79" s="8">
        <f>'Historical FS'!D60</f>
        <v>29272.34</v>
      </c>
      <c r="E79" s="8">
        <f>'Historical FS'!E60</f>
        <v>32655.73</v>
      </c>
      <c r="F79" s="8">
        <f>'Historical FS'!F60</f>
        <v>35085.31</v>
      </c>
      <c r="G79" s="8">
        <f>'Historical FS'!G60</f>
        <v>42137.63</v>
      </c>
      <c r="H79" s="8">
        <f>'Historical FS'!H60</f>
        <v>39013.730000000003</v>
      </c>
      <c r="I79" s="8">
        <f>'Historical FS'!I60</f>
        <v>37456.879999999997</v>
      </c>
      <c r="J79" s="8">
        <f>'Historical FS'!J60</f>
        <v>36088.589999999997</v>
      </c>
      <c r="K79" s="8">
        <f>'Historical FS'!K60</f>
        <v>35240.339999999997</v>
      </c>
      <c r="L79" s="8">
        <f>'Historical FS'!L60</f>
        <v>40755.39</v>
      </c>
      <c r="M79" s="8">
        <f>'Historical FS'!M6*Assumptions!M15/365</f>
        <v>38202.867698630122</v>
      </c>
      <c r="N79" s="8">
        <f>'Historical FS'!N6*Assumptions!N15/365</f>
        <v>38945.225596513061</v>
      </c>
      <c r="O79" s="8">
        <f>'Historical FS'!O6*Assumptions!O15/365</f>
        <v>39687.583494396</v>
      </c>
      <c r="P79" s="8">
        <f>'Historical FS'!P6*Assumptions!P15/365</f>
        <v>40429.941392278939</v>
      </c>
      <c r="Q79" s="8">
        <f>'Historical FS'!Q6*Assumptions!Q15/365</f>
        <v>41172.299290161885</v>
      </c>
    </row>
    <row r="82" spans="1:17" x14ac:dyDescent="0.25">
      <c r="A82" t="s">
        <v>57</v>
      </c>
      <c r="B82" s="7" t="s">
        <v>142</v>
      </c>
      <c r="C82" s="7">
        <f>'Historical FS'!C3</f>
        <v>41729</v>
      </c>
      <c r="D82" s="7">
        <f>'Historical FS'!D3</f>
        <v>42094</v>
      </c>
      <c r="E82" s="7">
        <f>'Historical FS'!E3</f>
        <v>42460</v>
      </c>
      <c r="F82" s="7">
        <f>'Historical FS'!F3</f>
        <v>42825</v>
      </c>
      <c r="G82" s="7">
        <f>'Historical FS'!G3</f>
        <v>43190</v>
      </c>
      <c r="H82" s="7">
        <f>'Historical FS'!H3</f>
        <v>43555</v>
      </c>
      <c r="I82" s="7">
        <f>'Historical FS'!I3</f>
        <v>43921</v>
      </c>
      <c r="J82" s="7">
        <f>'Historical FS'!J3</f>
        <v>44286</v>
      </c>
      <c r="K82" s="7">
        <f>'Historical FS'!K3</f>
        <v>44651</v>
      </c>
      <c r="L82" s="7">
        <f>'Historical FS'!L3</f>
        <v>45016</v>
      </c>
      <c r="M82" s="60" t="str">
        <f>M76</f>
        <v>2024E</v>
      </c>
      <c r="N82" s="60" t="str">
        <f t="shared" ref="N82:Q82" si="44">N76</f>
        <v>2025E</v>
      </c>
      <c r="O82" s="60" t="str">
        <f t="shared" si="44"/>
        <v>2026E</v>
      </c>
      <c r="P82" s="60" t="str">
        <f t="shared" si="44"/>
        <v>2027E</v>
      </c>
      <c r="Q82" s="60" t="str">
        <f t="shared" si="44"/>
        <v>2028E</v>
      </c>
    </row>
    <row r="83" spans="1:17" x14ac:dyDescent="0.25">
      <c r="B83" t="s">
        <v>143</v>
      </c>
      <c r="D83" s="8">
        <f>'Historical FS'!D59-'Historical FS'!C59</f>
        <v>2004.9700000000012</v>
      </c>
      <c r="E83" s="8">
        <f>'Historical FS'!E59-'Historical FS'!D59</f>
        <v>991.70999999999913</v>
      </c>
      <c r="F83" s="8">
        <f>'Historical FS'!F59-'Historical FS'!E59</f>
        <v>504.63999999999942</v>
      </c>
      <c r="G83" s="8">
        <f>'Historical FS'!G59-'Historical FS'!F59</f>
        <v>5817.75</v>
      </c>
      <c r="H83" s="8">
        <f>'Historical FS'!H59-'Historical FS'!G59</f>
        <v>-897.13000000000102</v>
      </c>
      <c r="I83" s="8">
        <f>'Historical FS'!I59-'Historical FS'!H59</f>
        <v>-7823.4799999999977</v>
      </c>
      <c r="J83" s="8">
        <f>'Historical FS'!J59-'Historical FS'!I59</f>
        <v>1506.3899999999994</v>
      </c>
      <c r="K83" s="8">
        <f>'Historical FS'!K59-'Historical FS'!J59</f>
        <v>-236.95999999999913</v>
      </c>
      <c r="L83" s="8">
        <f>'Historical FS'!L59-'Historical FS'!K59</f>
        <v>3295.8499999999985</v>
      </c>
      <c r="M83" s="8">
        <f>M73</f>
        <v>-456.82292054794925</v>
      </c>
      <c r="N83" s="8">
        <f t="shared" ref="N83:Q83" si="45">N73</f>
        <v>296.94315915317566</v>
      </c>
      <c r="O83" s="8">
        <f t="shared" si="45"/>
        <v>296.94315915317384</v>
      </c>
      <c r="P83" s="8">
        <f t="shared" si="45"/>
        <v>296.94315915317566</v>
      </c>
      <c r="Q83" s="8">
        <f t="shared" si="45"/>
        <v>296.94315915317748</v>
      </c>
    </row>
    <row r="84" spans="1:17" x14ac:dyDescent="0.25">
      <c r="B84" t="s">
        <v>4</v>
      </c>
      <c r="D84" s="8">
        <f>'Historical FS'!D60-'Historical FS'!C60</f>
        <v>2001.4500000000007</v>
      </c>
      <c r="E84" s="8">
        <f>'Historical FS'!E60-'Historical FS'!D60</f>
        <v>3383.3899999999994</v>
      </c>
      <c r="F84" s="8">
        <f>'Historical FS'!F60-'Historical FS'!E60</f>
        <v>2429.5799999999981</v>
      </c>
      <c r="G84" s="8">
        <f>'Historical FS'!G60-'Historical FS'!F60</f>
        <v>7052.32</v>
      </c>
      <c r="H84" s="8">
        <f>'Historical FS'!H60-'Historical FS'!G60</f>
        <v>-3123.8999999999942</v>
      </c>
      <c r="I84" s="8">
        <f>'Historical FS'!I60-'Historical FS'!H60</f>
        <v>-1556.8500000000058</v>
      </c>
      <c r="J84" s="8">
        <f>'Historical FS'!J60-'Historical FS'!I60</f>
        <v>-1368.2900000000009</v>
      </c>
      <c r="K84" s="8">
        <f>'Historical FS'!K60-'Historical FS'!J60</f>
        <v>-848.25</v>
      </c>
      <c r="L84" s="8">
        <f>'Historical FS'!L60-'Historical FS'!K60</f>
        <v>5515.0500000000029</v>
      </c>
      <c r="M84" s="8">
        <f>M78</f>
        <v>-2552.5223013698778</v>
      </c>
      <c r="N84" s="8">
        <f t="shared" ref="N84:Q84" si="46">N78</f>
        <v>742.35789788293914</v>
      </c>
      <c r="O84" s="8">
        <f t="shared" si="46"/>
        <v>742.35789788293914</v>
      </c>
      <c r="P84" s="8">
        <f t="shared" si="46"/>
        <v>742.35789788293914</v>
      </c>
      <c r="Q84" s="8">
        <f t="shared" si="46"/>
        <v>742.35789788294642</v>
      </c>
    </row>
    <row r="85" spans="1:17" x14ac:dyDescent="0.25">
      <c r="B85" t="s">
        <v>144</v>
      </c>
      <c r="D85" s="8">
        <f>'Historical FS'!D50-'Historical FS'!C50</f>
        <v>15262.220000000001</v>
      </c>
      <c r="E85" s="8">
        <f>'Historical FS'!E50-'Historical FS'!D50</f>
        <v>7429.2700000000041</v>
      </c>
      <c r="F85" s="8">
        <f>'Historical FS'!F50-'Historical FS'!E50</f>
        <v>21042.739999999991</v>
      </c>
      <c r="G85" s="8">
        <f>'Historical FS'!G50-'Historical FS'!F50</f>
        <v>6898.9400000000023</v>
      </c>
      <c r="H85" s="8">
        <f>'Historical FS'!H50-'Historical FS'!G50</f>
        <v>-3464.8399999999965</v>
      </c>
      <c r="I85" s="8">
        <f>'Historical FS'!I50-'Historical FS'!H50</f>
        <v>-6167.8699999999953</v>
      </c>
      <c r="J85" s="8">
        <f>'Historical FS'!J50-'Historical FS'!I50</f>
        <v>11011.899999999994</v>
      </c>
      <c r="K85" s="8">
        <f>'Historical FS'!K50-'Historical FS'!J50</f>
        <v>-6141.3999999999942</v>
      </c>
      <c r="L85" s="8">
        <f>'Historical FS'!L50-'Historical FS'!K50</f>
        <v>17187.98000000001</v>
      </c>
      <c r="M85" s="8">
        <f>M44</f>
        <v>-2427.7292054795253</v>
      </c>
      <c r="N85" s="8">
        <f>N44</f>
        <v>2969.4315915317566</v>
      </c>
      <c r="O85" s="8">
        <f>O44</f>
        <v>2969.4315915317566</v>
      </c>
      <c r="P85" s="8">
        <f>P44</f>
        <v>2969.4315915317566</v>
      </c>
      <c r="Q85" s="8">
        <f>Q44</f>
        <v>2969.4315915317857</v>
      </c>
    </row>
    <row r="86" spans="1:17" x14ac:dyDescent="0.25">
      <c r="B86" t="s">
        <v>145</v>
      </c>
      <c r="D86" s="8">
        <f>D83+D84-D85</f>
        <v>-11255.8</v>
      </c>
      <c r="E86" s="8">
        <f t="shared" ref="E86:L86" si="47">E83+E84-E85</f>
        <v>-3054.1700000000055</v>
      </c>
      <c r="F86" s="8">
        <f t="shared" si="47"/>
        <v>-18108.519999999993</v>
      </c>
      <c r="G86" s="8">
        <f t="shared" si="47"/>
        <v>5971.1299999999974</v>
      </c>
      <c r="H86" s="8">
        <f t="shared" si="47"/>
        <v>-556.18999999999869</v>
      </c>
      <c r="I86" s="8">
        <f t="shared" si="47"/>
        <v>-3212.4600000000082</v>
      </c>
      <c r="J86" s="8">
        <f t="shared" si="47"/>
        <v>-10873.799999999996</v>
      </c>
      <c r="K86" s="8">
        <f t="shared" si="47"/>
        <v>5056.1899999999951</v>
      </c>
      <c r="L86" s="8">
        <f t="shared" si="47"/>
        <v>-8377.080000000009</v>
      </c>
      <c r="M86" s="8">
        <f>M83+M84-M85</f>
        <v>-581.61601643830181</v>
      </c>
      <c r="N86" s="8">
        <f t="shared" ref="N86:Q86" si="48">N83+N84-N85</f>
        <v>-1930.1305344956418</v>
      </c>
      <c r="O86" s="8">
        <f t="shared" si="48"/>
        <v>-1930.1305344956436</v>
      </c>
      <c r="P86" s="8">
        <f t="shared" si="48"/>
        <v>-1930.1305344956418</v>
      </c>
      <c r="Q86" s="8">
        <f t="shared" si="48"/>
        <v>-1930.1305344956618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5819-B615-42EF-9916-3E78951DFDB1}">
  <dimension ref="A2:Q94"/>
  <sheetViews>
    <sheetView showGridLines="0" zoomScale="85" zoomScaleNormal="85" workbookViewId="0">
      <pane ySplit="3" topLeftCell="A17" activePane="bottomLeft" state="frozen"/>
      <selection pane="bottomLeft" activeCell="J4" sqref="J4"/>
    </sheetView>
  </sheetViews>
  <sheetFormatPr defaultRowHeight="15" x14ac:dyDescent="0.25"/>
  <cols>
    <col min="1" max="1" width="2" bestFit="1" customWidth="1"/>
    <col min="2" max="2" width="31.7109375" bestFit="1" customWidth="1"/>
    <col min="3" max="3" width="11.7109375" bestFit="1" customWidth="1"/>
    <col min="4" max="12" width="12.140625" bestFit="1" customWidth="1"/>
    <col min="13" max="17" width="12.85546875" bestFit="1" customWidth="1"/>
  </cols>
  <sheetData>
    <row r="2" spans="1:17" x14ac:dyDescent="0.25">
      <c r="B2" s="56" t="str">
        <f>"Historical Financial Statement - " &amp;'Data Sheet'!B1</f>
        <v>Historical Financial Statement - TATA MOTORS LTD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64" t="s">
        <v>181</v>
      </c>
      <c r="N2" s="64"/>
      <c r="O2" s="64"/>
      <c r="P2" s="64"/>
      <c r="Q2" s="64"/>
    </row>
    <row r="3" spans="1:17" x14ac:dyDescent="0.25">
      <c r="B3" s="6" t="s">
        <v>55</v>
      </c>
      <c r="C3" s="7">
        <f>'Data Sheet'!B16</f>
        <v>41729</v>
      </c>
      <c r="D3" s="7">
        <f>'Data Sheet'!C16</f>
        <v>42094</v>
      </c>
      <c r="E3" s="7">
        <f>'Data Sheet'!D16</f>
        <v>42460</v>
      </c>
      <c r="F3" s="7">
        <f>'Data Sheet'!E16</f>
        <v>42825</v>
      </c>
      <c r="G3" s="7">
        <f>'Data Sheet'!F16</f>
        <v>43190</v>
      </c>
      <c r="H3" s="7">
        <f>'Data Sheet'!G16</f>
        <v>43555</v>
      </c>
      <c r="I3" s="7">
        <f>'Data Sheet'!H16</f>
        <v>43921</v>
      </c>
      <c r="J3" s="7">
        <f>'Data Sheet'!I16</f>
        <v>44286</v>
      </c>
      <c r="K3" s="7">
        <f>'Data Sheet'!J16</f>
        <v>44651</v>
      </c>
      <c r="L3" s="7">
        <f>'Data Sheet'!K16</f>
        <v>45016</v>
      </c>
      <c r="M3" s="61" t="str">
        <f>Forecasting!C22</f>
        <v>2024E</v>
      </c>
      <c r="N3" s="61" t="str">
        <f>Forecasting!D22</f>
        <v>2025E</v>
      </c>
      <c r="O3" s="61" t="str">
        <f>Forecasting!E22</f>
        <v>2026E</v>
      </c>
      <c r="P3" s="61" t="str">
        <f>Forecasting!F22</f>
        <v>2027E</v>
      </c>
      <c r="Q3" s="61" t="str">
        <f>Forecasting!G22</f>
        <v>2028E</v>
      </c>
    </row>
    <row r="4" spans="1:17" x14ac:dyDescent="0.2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spans="1:17" x14ac:dyDescent="0.25">
      <c r="A5" t="s">
        <v>57</v>
      </c>
      <c r="B5" s="56" t="s">
        <v>56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64" t="s">
        <v>183</v>
      </c>
      <c r="N5" s="64"/>
      <c r="O5" s="64"/>
      <c r="P5" s="64"/>
      <c r="Q5" s="64"/>
    </row>
    <row r="6" spans="1:17" x14ac:dyDescent="0.25">
      <c r="B6" t="s">
        <v>2</v>
      </c>
      <c r="C6" s="8">
        <f>IFERROR('Data Sheet'!B17,0)</f>
        <v>232833.66</v>
      </c>
      <c r="D6" s="8">
        <f>IFERROR('Data Sheet'!C17,0)</f>
        <v>263158.98</v>
      </c>
      <c r="E6" s="8">
        <f>IFERROR('Data Sheet'!D17,0)</f>
        <v>273045.59999999998</v>
      </c>
      <c r="F6" s="8">
        <f>IFERROR('Data Sheet'!E17,0)</f>
        <v>269692.51</v>
      </c>
      <c r="G6" s="8">
        <f>IFERROR('Data Sheet'!F17,0)</f>
        <v>291550.48</v>
      </c>
      <c r="H6" s="8">
        <f>IFERROR('Data Sheet'!G17,0)</f>
        <v>301938.40000000002</v>
      </c>
      <c r="I6" s="8">
        <f>IFERROR('Data Sheet'!H17,0)</f>
        <v>261067.97</v>
      </c>
      <c r="J6" s="8">
        <f>IFERROR('Data Sheet'!I17,0)</f>
        <v>249794.75</v>
      </c>
      <c r="K6" s="8">
        <f>IFERROR('Data Sheet'!J17,0)</f>
        <v>278453.62</v>
      </c>
      <c r="L6" s="8">
        <f>IFERROR('Data Sheet'!K17,0)</f>
        <v>345966.97</v>
      </c>
      <c r="M6" s="8">
        <f>Forecasting!C23</f>
        <v>309867.70466666657</v>
      </c>
      <c r="N6" s="8">
        <f>Forecasting!D23</f>
        <v>315889.05206060596</v>
      </c>
      <c r="O6" s="8">
        <f>Forecasting!E23</f>
        <v>321910.39945454535</v>
      </c>
      <c r="P6" s="8">
        <f>Forecasting!F23</f>
        <v>327931.74684848473</v>
      </c>
      <c r="Q6" s="8">
        <f>Forecasting!G23</f>
        <v>333953.09424242418</v>
      </c>
    </row>
    <row r="7" spans="1:17" x14ac:dyDescent="0.25">
      <c r="B7" s="9" t="s">
        <v>58</v>
      </c>
      <c r="C7" s="10" t="s">
        <v>59</v>
      </c>
      <c r="D7" s="11">
        <f>D6/C6-1</f>
        <v>0.13024457030826198</v>
      </c>
      <c r="E7" s="11">
        <f t="shared" ref="E7:G7" si="0">E6/D6-1</f>
        <v>3.75690010654397E-2</v>
      </c>
      <c r="F7" s="11">
        <f t="shared" si="0"/>
        <v>-1.2280329732469508E-2</v>
      </c>
      <c r="G7" s="11">
        <f t="shared" si="0"/>
        <v>8.104774581985974E-2</v>
      </c>
      <c r="H7" s="11">
        <f t="shared" ref="H7" si="1">H6/G6-1</f>
        <v>3.5629919045237157E-2</v>
      </c>
      <c r="I7" s="11">
        <f t="shared" ref="I7:J7" si="2">I6/H6-1</f>
        <v>-0.135360159555724</v>
      </c>
      <c r="J7" s="11">
        <f t="shared" si="2"/>
        <v>-4.3181168490336042E-2</v>
      </c>
      <c r="K7" s="11">
        <f t="shared" ref="K7" si="3">K6/J6-1</f>
        <v>0.11472967306158344</v>
      </c>
      <c r="L7" s="11">
        <f>L6/K6-1</f>
        <v>0.24245815155859707</v>
      </c>
      <c r="M7" s="11">
        <f>M6/L6-1</f>
        <v>-0.10434309764696148</v>
      </c>
      <c r="N7" s="11">
        <f t="shared" ref="N7:Q7" si="4">N6/M6-1</f>
        <v>1.9431994051838153E-2</v>
      </c>
      <c r="O7" s="11">
        <f t="shared" si="4"/>
        <v>1.90615893607613E-2</v>
      </c>
      <c r="P7" s="11">
        <f t="shared" si="4"/>
        <v>1.8705041539950784E-2</v>
      </c>
      <c r="Q7" s="11">
        <f t="shared" si="4"/>
        <v>1.8361587287007985E-2</v>
      </c>
    </row>
    <row r="9" spans="1:17" x14ac:dyDescent="0.25">
      <c r="B9" t="s">
        <v>60</v>
      </c>
      <c r="C9" s="8">
        <f>IFERROR(SUM('Data Sheet'!B18,'Data Sheet'!B20,'Data Sheet'!B21,'Data Sheet'!B22)-1*'Data Sheet'!B19,0)</f>
        <v>180131.06000000003</v>
      </c>
      <c r="D9" s="8">
        <f>IFERROR(SUM('Data Sheet'!C18,'Data Sheet'!C20,'Data Sheet'!C21,'Data Sheet'!C22)-1*'Data Sheet'!C19,0)</f>
        <v>202856.88</v>
      </c>
      <c r="E9" s="8">
        <f>IFERROR(SUM('Data Sheet'!D18,'Data Sheet'!D20,'Data Sheet'!D21,'Data Sheet'!D22)-1*'Data Sheet'!D19,0)</f>
        <v>205509.07</v>
      </c>
      <c r="F9" s="8">
        <f>IFERROR(SUM('Data Sheet'!E18,'Data Sheet'!E20,'Data Sheet'!E21,'Data Sheet'!E22)-1*'Data Sheet'!E19,0)</f>
        <v>205454.23999999996</v>
      </c>
      <c r="G9" s="8">
        <f>IFERROR(SUM('Data Sheet'!F18,'Data Sheet'!F20,'Data Sheet'!F21,'Data Sheet'!F22)-1*'Data Sheet'!F19,0)</f>
        <v>228429.83</v>
      </c>
      <c r="H9" s="8">
        <f>IFERROR(SUM('Data Sheet'!G18,'Data Sheet'!G20,'Data Sheet'!G21,'Data Sheet'!G22)-1*'Data Sheet'!G19,0)</f>
        <v>242845.53</v>
      </c>
      <c r="I9" s="8">
        <f>IFERROR(SUM('Data Sheet'!H18,'Data Sheet'!H20,'Data Sheet'!H21,'Data Sheet'!H22)-1*'Data Sheet'!H19,0)</f>
        <v>210376.07000000004</v>
      </c>
      <c r="J9" s="8">
        <f>IFERROR(SUM('Data Sheet'!I18,'Data Sheet'!I20,'Data Sheet'!I21,'Data Sheet'!I22)-1*'Data Sheet'!I19,0)</f>
        <v>195326.04</v>
      </c>
      <c r="K9" s="8">
        <f>IFERROR(SUM('Data Sheet'!J18,'Data Sheet'!J20,'Data Sheet'!J21,'Data Sheet'!J22)-1*'Data Sheet'!J19,0)</f>
        <v>223300.00999999998</v>
      </c>
      <c r="L9" s="8">
        <f>IFERROR(SUM('Data Sheet'!K18,'Data Sheet'!K20,'Data Sheet'!K21,'Data Sheet'!K22)-1*'Data Sheet'!K19,0)</f>
        <v>274403.64</v>
      </c>
      <c r="M9" s="8">
        <f>M6*Assumptions!M4</f>
        <v>247894.16373333326</v>
      </c>
      <c r="N9" s="8">
        <f>N6*Assumptions!N4</f>
        <v>252711.24164848478</v>
      </c>
      <c r="O9" s="8">
        <f>O6*Assumptions!O4</f>
        <v>257528.31956363629</v>
      </c>
      <c r="P9" s="8">
        <f>P6*Assumptions!P4</f>
        <v>262345.39747878781</v>
      </c>
      <c r="Q9" s="8">
        <f>Q6*Assumptions!Q4</f>
        <v>267162.47539393936</v>
      </c>
    </row>
    <row r="10" spans="1:17" x14ac:dyDescent="0.25">
      <c r="B10" s="9" t="s">
        <v>61</v>
      </c>
      <c r="C10" s="11">
        <f>C9/C6</f>
        <v>0.77364698901353024</v>
      </c>
      <c r="D10" s="11">
        <f t="shared" ref="D10:J10" si="5">D9/D6</f>
        <v>0.77085296500237244</v>
      </c>
      <c r="E10" s="11">
        <f t="shared" si="5"/>
        <v>0.75265475803309057</v>
      </c>
      <c r="F10" s="11">
        <f t="shared" si="5"/>
        <v>0.76180921746770036</v>
      </c>
      <c r="G10" s="11">
        <f t="shared" si="5"/>
        <v>0.78350009919380004</v>
      </c>
      <c r="H10" s="11">
        <f t="shared" si="5"/>
        <v>0.80428832503583503</v>
      </c>
      <c r="I10" s="11">
        <f t="shared" si="5"/>
        <v>0.80582872728508226</v>
      </c>
      <c r="J10" s="11">
        <f t="shared" si="5"/>
        <v>0.7819461377791167</v>
      </c>
      <c r="K10" s="11">
        <f>K9/K6</f>
        <v>0.80192891728252624</v>
      </c>
      <c r="L10" s="11">
        <f t="shared" ref="L10" si="6">L9/L6</f>
        <v>0.79314982005363122</v>
      </c>
    </row>
    <row r="12" spans="1:17" x14ac:dyDescent="0.25">
      <c r="B12" s="15" t="s">
        <v>62</v>
      </c>
      <c r="C12" s="16">
        <f>C6-C9</f>
        <v>52702.599999999977</v>
      </c>
      <c r="D12" s="16">
        <f t="shared" ref="D12:L12" si="7">D6-D9</f>
        <v>60302.099999999977</v>
      </c>
      <c r="E12" s="16">
        <f t="shared" si="7"/>
        <v>67536.52999999997</v>
      </c>
      <c r="F12" s="16">
        <f t="shared" si="7"/>
        <v>64238.270000000048</v>
      </c>
      <c r="G12" s="16">
        <f t="shared" si="7"/>
        <v>63120.649999999994</v>
      </c>
      <c r="H12" s="16">
        <f t="shared" si="7"/>
        <v>59092.870000000024</v>
      </c>
      <c r="I12" s="16">
        <f t="shared" si="7"/>
        <v>50691.899999999965</v>
      </c>
      <c r="J12" s="16">
        <f>J6-J9</f>
        <v>54468.709999999992</v>
      </c>
      <c r="K12" s="16">
        <f t="shared" si="7"/>
        <v>55153.610000000015</v>
      </c>
      <c r="L12" s="16">
        <f t="shared" si="7"/>
        <v>71563.329999999958</v>
      </c>
      <c r="M12" s="55">
        <f>M6-M9</f>
        <v>61973.540933333308</v>
      </c>
      <c r="N12" s="55">
        <f t="shared" ref="N12:Q12" si="8">N6-N9</f>
        <v>63177.81041212118</v>
      </c>
      <c r="O12" s="55">
        <f t="shared" si="8"/>
        <v>64382.079890909052</v>
      </c>
      <c r="P12" s="55">
        <f t="shared" si="8"/>
        <v>65586.349369696924</v>
      </c>
      <c r="Q12" s="55">
        <f t="shared" si="8"/>
        <v>66790.618848484824</v>
      </c>
    </row>
    <row r="13" spans="1:17" x14ac:dyDescent="0.25">
      <c r="B13" s="9" t="s">
        <v>80</v>
      </c>
      <c r="C13" s="11">
        <f>C12/C6</f>
        <v>0.22635301098646982</v>
      </c>
      <c r="D13" s="11">
        <f t="shared" ref="D13:L13" si="9">D12/D6</f>
        <v>0.22914703499762759</v>
      </c>
      <c r="E13" s="11">
        <f t="shared" si="9"/>
        <v>0.24734524196690946</v>
      </c>
      <c r="F13" s="11">
        <f t="shared" si="9"/>
        <v>0.23819078253229964</v>
      </c>
      <c r="G13" s="11">
        <f t="shared" si="9"/>
        <v>0.21649990080619999</v>
      </c>
      <c r="H13" s="11">
        <f t="shared" si="9"/>
        <v>0.19571167496416494</v>
      </c>
      <c r="I13" s="11">
        <f t="shared" si="9"/>
        <v>0.19417127271491774</v>
      </c>
      <c r="J13" s="11">
        <f t="shared" si="9"/>
        <v>0.2180538622208833</v>
      </c>
      <c r="K13" s="11">
        <f t="shared" si="9"/>
        <v>0.19807108271747378</v>
      </c>
      <c r="L13" s="11">
        <f t="shared" si="9"/>
        <v>0.20685017994636876</v>
      </c>
    </row>
    <row r="15" spans="1:17" x14ac:dyDescent="0.25">
      <c r="B15" t="s">
        <v>63</v>
      </c>
      <c r="C15" s="12">
        <f>IFERROR(SUM('Data Sheet'!B23,'Data Sheet'!B24),0)</f>
        <v>17849.240000000002</v>
      </c>
      <c r="D15" s="12">
        <f>IFERROR(SUM('Data Sheet'!C23,'Data Sheet'!C24),0)</f>
        <v>21063.449999999997</v>
      </c>
      <c r="E15" s="12">
        <f>IFERROR(SUM('Data Sheet'!D23,'Data Sheet'!D24),0)</f>
        <v>29141.280000000002</v>
      </c>
      <c r="F15" s="12">
        <f>IFERROR(SUM('Data Sheet'!E23,'Data Sheet'!E24),0)</f>
        <v>34649.58</v>
      </c>
      <c r="G15" s="12">
        <f>IFERROR(SUM('Data Sheet'!F23,'Data Sheet'!F24),0)</f>
        <v>31662.97</v>
      </c>
      <c r="H15" s="12">
        <f>IFERROR(SUM('Data Sheet'!G23,'Data Sheet'!G24),0)</f>
        <v>34428.54</v>
      </c>
      <c r="I15" s="12">
        <f>IFERROR(SUM('Data Sheet'!H23,'Data Sheet'!H24),0)</f>
        <v>32704.83</v>
      </c>
      <c r="J15" s="12">
        <f>IFERROR(SUM('Data Sheet'!I23,'Data Sheet'!I24),0)</f>
        <v>22181.280000000002</v>
      </c>
      <c r="K15" s="12">
        <f>IFERROR(SUM('Data Sheet'!J23,'Data Sheet'!J24),0)</f>
        <v>30433.52</v>
      </c>
      <c r="L15" s="12">
        <f>IFERROR(SUM('Data Sheet'!K23,'Data Sheet'!K24),0)</f>
        <v>39747.53</v>
      </c>
      <c r="M15" s="12">
        <f>M6*Assumptions!M5</f>
        <v>34085.447513333325</v>
      </c>
      <c r="N15" s="12">
        <f>N6*Assumptions!N5</f>
        <v>34747.795726666656</v>
      </c>
      <c r="O15" s="12">
        <f>O6*Assumptions!O5</f>
        <v>35410.143939999987</v>
      </c>
      <c r="P15" s="12">
        <f>P6*Assumptions!P5</f>
        <v>36072.492153333318</v>
      </c>
      <c r="Q15" s="12">
        <f>Q6*Assumptions!Q5</f>
        <v>36734.840366666664</v>
      </c>
    </row>
    <row r="16" spans="1:17" x14ac:dyDescent="0.25">
      <c r="B16" s="9" t="s">
        <v>64</v>
      </c>
      <c r="C16" s="11">
        <f>C15/C6</f>
        <v>7.6660908908102038E-2</v>
      </c>
      <c r="D16" s="11">
        <f t="shared" ref="D16:L16" si="10">D15/D6</f>
        <v>8.0040779911823637E-2</v>
      </c>
      <c r="E16" s="11">
        <f t="shared" si="10"/>
        <v>0.10672678849247161</v>
      </c>
      <c r="F16" s="11">
        <f t="shared" si="10"/>
        <v>0.12847809529452636</v>
      </c>
      <c r="G16" s="11">
        <f t="shared" si="10"/>
        <v>0.10860201636437025</v>
      </c>
      <c r="H16" s="11">
        <f t="shared" si="10"/>
        <v>0.11402504616835751</v>
      </c>
      <c r="I16" s="11">
        <f t="shared" si="10"/>
        <v>0.12527323822987554</v>
      </c>
      <c r="J16" s="11">
        <f t="shared" si="10"/>
        <v>8.8798023177028354E-2</v>
      </c>
      <c r="K16" s="11">
        <f t="shared" si="10"/>
        <v>0.10929475436519734</v>
      </c>
      <c r="L16" s="11">
        <f t="shared" si="10"/>
        <v>0.11488822184383672</v>
      </c>
    </row>
    <row r="18" spans="2:17" x14ac:dyDescent="0.25">
      <c r="B18" s="15" t="s">
        <v>65</v>
      </c>
      <c r="C18" s="16">
        <f>C12-C15</f>
        <v>34853.359999999971</v>
      </c>
      <c r="D18" s="16">
        <f t="shared" ref="D18:L18" si="11">D12-D15</f>
        <v>39238.64999999998</v>
      </c>
      <c r="E18" s="16">
        <f t="shared" si="11"/>
        <v>38395.249999999971</v>
      </c>
      <c r="F18" s="16">
        <f t="shared" si="11"/>
        <v>29588.690000000046</v>
      </c>
      <c r="G18" s="16">
        <f t="shared" si="11"/>
        <v>31457.679999999993</v>
      </c>
      <c r="H18" s="16">
        <f t="shared" si="11"/>
        <v>24664.330000000024</v>
      </c>
      <c r="I18" s="16">
        <f t="shared" si="11"/>
        <v>17987.069999999963</v>
      </c>
      <c r="J18" s="16">
        <f t="shared" si="11"/>
        <v>32287.429999999989</v>
      </c>
      <c r="K18" s="16">
        <f t="shared" si="11"/>
        <v>24720.090000000015</v>
      </c>
      <c r="L18" s="16">
        <f t="shared" si="11"/>
        <v>31815.799999999959</v>
      </c>
      <c r="M18" s="12">
        <f>M12-M15</f>
        <v>27888.093419999983</v>
      </c>
      <c r="N18" s="12">
        <f t="shared" ref="N18:Q18" si="12">N12-N15</f>
        <v>28430.014685454524</v>
      </c>
      <c r="O18" s="12">
        <f t="shared" si="12"/>
        <v>28971.935950909065</v>
      </c>
      <c r="P18" s="12">
        <f t="shared" si="12"/>
        <v>29513.857216363605</v>
      </c>
      <c r="Q18" s="12">
        <f t="shared" si="12"/>
        <v>30055.778481818161</v>
      </c>
    </row>
    <row r="19" spans="2:17" x14ac:dyDescent="0.25">
      <c r="B19" s="9" t="s">
        <v>66</v>
      </c>
      <c r="C19" s="11">
        <f>C18/C6</f>
        <v>0.14969210207836775</v>
      </c>
      <c r="D19" s="11">
        <f t="shared" ref="D19:L19" si="13">D18/D6</f>
        <v>0.14910625508580397</v>
      </c>
      <c r="E19" s="11">
        <f t="shared" si="13"/>
        <v>0.14061845347443788</v>
      </c>
      <c r="F19" s="11">
        <f t="shared" si="13"/>
        <v>0.10971268723777329</v>
      </c>
      <c r="G19" s="11">
        <f t="shared" si="13"/>
        <v>0.10789788444182975</v>
      </c>
      <c r="H19" s="11">
        <f t="shared" si="13"/>
        <v>8.1686628795807431E-2</v>
      </c>
      <c r="I19" s="11">
        <f t="shared" si="13"/>
        <v>6.8898034485042198E-2</v>
      </c>
      <c r="J19" s="11">
        <f t="shared" si="13"/>
        <v>0.12925583904385496</v>
      </c>
      <c r="K19" s="11">
        <f t="shared" si="13"/>
        <v>8.877632835227646E-2</v>
      </c>
      <c r="L19" s="11">
        <f t="shared" si="13"/>
        <v>9.1961958102532049E-2</v>
      </c>
    </row>
    <row r="21" spans="2:17" x14ac:dyDescent="0.25">
      <c r="B21" t="s">
        <v>12</v>
      </c>
      <c r="C21" s="12">
        <f>IFERROR('Data Sheet'!B27,0)</f>
        <v>4749.4399999999996</v>
      </c>
      <c r="D21" s="12">
        <f>IFERROR('Data Sheet'!C27,0)</f>
        <v>4861.49</v>
      </c>
      <c r="E21" s="12">
        <f>IFERROR('Data Sheet'!D27,0)</f>
        <v>4889.08</v>
      </c>
      <c r="F21" s="12">
        <f>IFERROR('Data Sheet'!E27,0)</f>
        <v>4238.01</v>
      </c>
      <c r="G21" s="12">
        <f>IFERROR('Data Sheet'!F27,0)</f>
        <v>4681.79</v>
      </c>
      <c r="H21" s="12">
        <f>IFERROR('Data Sheet'!G27,0)</f>
        <v>5758.6</v>
      </c>
      <c r="I21" s="12">
        <f>IFERROR('Data Sheet'!H27,0)</f>
        <v>7243.33</v>
      </c>
      <c r="J21" s="12">
        <f>IFERROR('Data Sheet'!I27,0)</f>
        <v>8097.17</v>
      </c>
      <c r="K21" s="12">
        <f>IFERROR('Data Sheet'!J27,0)</f>
        <v>9311.86</v>
      </c>
      <c r="L21" s="12">
        <f>IFERROR('Data Sheet'!K27,0)</f>
        <v>10225.48</v>
      </c>
      <c r="M21" s="12">
        <f>Assumptions!M40*Assumptions!M6</f>
        <v>8046.8063999999995</v>
      </c>
      <c r="N21" s="12">
        <f>Assumptions!N40*Assumptions!N6</f>
        <v>8046.8063999999995</v>
      </c>
      <c r="O21" s="12">
        <f>Assumptions!O40*Assumptions!O6</f>
        <v>8046.8063999999995</v>
      </c>
      <c r="P21" s="12">
        <f>Assumptions!P40*Assumptions!P6</f>
        <v>8046.8063999999995</v>
      </c>
      <c r="Q21" s="12">
        <f>Assumptions!Q40*Assumptions!Q6</f>
        <v>8046.8063999999995</v>
      </c>
    </row>
    <row r="22" spans="2:17" x14ac:dyDescent="0.25">
      <c r="B22" s="9" t="s">
        <v>67</v>
      </c>
      <c r="C22" s="11">
        <f>C21/C6</f>
        <v>2.0398425210512945E-2</v>
      </c>
      <c r="D22" s="11">
        <f t="shared" ref="D22:J22" si="14">D21/D6</f>
        <v>1.8473585814932098E-2</v>
      </c>
      <c r="E22" s="11">
        <f t="shared" si="14"/>
        <v>1.7905727101993223E-2</v>
      </c>
      <c r="F22" s="11">
        <f t="shared" si="14"/>
        <v>1.5714229512714312E-2</v>
      </c>
      <c r="G22" s="11">
        <f t="shared" si="14"/>
        <v>1.605824830060304E-2</v>
      </c>
      <c r="H22" s="11">
        <f t="shared" si="14"/>
        <v>1.9072102124141878E-2</v>
      </c>
      <c r="I22" s="11">
        <f t="shared" si="14"/>
        <v>2.7744996829752802E-2</v>
      </c>
      <c r="J22" s="11">
        <f t="shared" si="14"/>
        <v>3.2415292955516477E-2</v>
      </c>
      <c r="K22" s="11">
        <f>K21/K6</f>
        <v>3.3441332168710897E-2</v>
      </c>
      <c r="L22" s="11">
        <f t="shared" ref="L22" si="15">L21/L6</f>
        <v>2.9556231914277829E-2</v>
      </c>
    </row>
    <row r="24" spans="2:17" x14ac:dyDescent="0.25">
      <c r="B24" t="s">
        <v>11</v>
      </c>
      <c r="C24" s="12">
        <f>IFERROR('Data Sheet'!B26,0)</f>
        <v>11078.16</v>
      </c>
      <c r="D24" s="12">
        <f>IFERROR('Data Sheet'!C26,0)</f>
        <v>13388.63</v>
      </c>
      <c r="E24" s="12">
        <f>IFERROR('Data Sheet'!D26,0)</f>
        <v>16710.78</v>
      </c>
      <c r="F24" s="12">
        <f>IFERROR('Data Sheet'!E26,0)</f>
        <v>17904.990000000002</v>
      </c>
      <c r="G24" s="12">
        <f>IFERROR('Data Sheet'!F26,0)</f>
        <v>21553.59</v>
      </c>
      <c r="H24" s="12">
        <f>IFERROR('Data Sheet'!G26,0)</f>
        <v>23590.63</v>
      </c>
      <c r="I24" s="12">
        <f>IFERROR('Data Sheet'!H26,0)</f>
        <v>21425.43</v>
      </c>
      <c r="J24" s="12">
        <f>IFERROR('Data Sheet'!I26,0)</f>
        <v>23546.71</v>
      </c>
      <c r="K24" s="12">
        <f>IFERROR('Data Sheet'!J26,0)</f>
        <v>24835.69</v>
      </c>
      <c r="L24" s="12">
        <f>IFERROR('Data Sheet'!K26,0)</f>
        <v>24860.36</v>
      </c>
      <c r="M24" s="12">
        <f>M6*Assumptions!M7</f>
        <v>24789.416373333326</v>
      </c>
      <c r="N24" s="12">
        <f>N6*Assumptions!N7</f>
        <v>25271.124164848476</v>
      </c>
      <c r="O24" s="12">
        <f>O6*Assumptions!O7</f>
        <v>25752.831956363629</v>
      </c>
      <c r="P24" s="12">
        <f>P6*Assumptions!P7</f>
        <v>26234.539747878778</v>
      </c>
      <c r="Q24" s="12">
        <f>Q6*Assumptions!Q7</f>
        <v>26716.247539393935</v>
      </c>
    </row>
    <row r="25" spans="2:17" x14ac:dyDescent="0.25">
      <c r="B25" s="9" t="s">
        <v>68</v>
      </c>
      <c r="C25" s="11">
        <f>C24/C6</f>
        <v>4.757971849946438E-2</v>
      </c>
      <c r="D25" s="11">
        <f t="shared" ref="D25:G25" si="16">D24/D6</f>
        <v>5.0876584184966822E-2</v>
      </c>
      <c r="E25" s="11">
        <f t="shared" si="16"/>
        <v>6.1201425695927715E-2</v>
      </c>
      <c r="F25" s="11">
        <f t="shared" si="16"/>
        <v>6.63903865924938E-2</v>
      </c>
      <c r="G25" s="11">
        <f t="shared" si="16"/>
        <v>7.3927472182518786E-2</v>
      </c>
      <c r="H25" s="11">
        <f t="shared" ref="H25" si="17">H24/H6</f>
        <v>7.8130605447998658E-2</v>
      </c>
      <c r="I25" s="11">
        <f t="shared" ref="I25" si="18">I24/I6</f>
        <v>8.206839774331566E-2</v>
      </c>
      <c r="J25" s="11">
        <f t="shared" ref="J25:K25" si="19">J24/J6</f>
        <v>9.4264230933596482E-2</v>
      </c>
      <c r="K25" s="11">
        <f t="shared" si="19"/>
        <v>8.9191478279219347E-2</v>
      </c>
      <c r="L25" s="11">
        <f>L24/L6</f>
        <v>7.1857611147098821E-2</v>
      </c>
    </row>
    <row r="27" spans="2:17" x14ac:dyDescent="0.25">
      <c r="B27" s="15" t="s">
        <v>69</v>
      </c>
      <c r="C27" s="17">
        <f>C18-SUM(C21,C24)</f>
        <v>19025.759999999973</v>
      </c>
      <c r="D27" s="17">
        <f t="shared" ref="D27:L27" si="20">D18-SUM(D21,D24)</f>
        <v>20988.529999999981</v>
      </c>
      <c r="E27" s="17">
        <f t="shared" si="20"/>
        <v>16795.38999999997</v>
      </c>
      <c r="F27" s="17">
        <f t="shared" si="20"/>
        <v>7445.690000000046</v>
      </c>
      <c r="G27" s="17">
        <f t="shared" si="20"/>
        <v>5222.299999999992</v>
      </c>
      <c r="H27" s="17">
        <f t="shared" si="20"/>
        <v>-4684.8999999999796</v>
      </c>
      <c r="I27" s="17">
        <f t="shared" si="20"/>
        <v>-10681.690000000039</v>
      </c>
      <c r="J27" s="17">
        <f t="shared" si="20"/>
        <v>643.549999999992</v>
      </c>
      <c r="K27" s="17">
        <f>K18-SUM(K21,K24)</f>
        <v>-9427.4599999999882</v>
      </c>
      <c r="L27" s="17">
        <f t="shared" si="20"/>
        <v>-3270.0400000000373</v>
      </c>
      <c r="M27" s="12">
        <f>M18-M21-M24</f>
        <v>-4948.1293533333446</v>
      </c>
      <c r="N27" s="12">
        <f t="shared" ref="N27:Q27" si="21">N18-N21-N24</f>
        <v>-4887.9158793939532</v>
      </c>
      <c r="O27" s="12">
        <f t="shared" si="21"/>
        <v>-4827.7024054545655</v>
      </c>
      <c r="P27" s="12">
        <f t="shared" si="21"/>
        <v>-4767.488931515174</v>
      </c>
      <c r="Q27" s="12">
        <f t="shared" si="21"/>
        <v>-4707.2754575757754</v>
      </c>
    </row>
    <row r="28" spans="2:17" x14ac:dyDescent="0.25">
      <c r="B28" s="9" t="s">
        <v>70</v>
      </c>
      <c r="C28" s="11">
        <f>C27/C6</f>
        <v>8.1713958368390432E-2</v>
      </c>
      <c r="D28" s="11">
        <f t="shared" ref="D28:L28" si="22">D27/D6</f>
        <v>7.9756085085905037E-2</v>
      </c>
      <c r="E28" s="11">
        <f t="shared" si="22"/>
        <v>6.1511300676516931E-2</v>
      </c>
      <c r="F28" s="11">
        <f t="shared" si="22"/>
        <v>2.7608071132565179E-2</v>
      </c>
      <c r="G28" s="11">
        <f t="shared" si="22"/>
        <v>1.7912163958707913E-2</v>
      </c>
      <c r="H28" s="11">
        <f t="shared" si="22"/>
        <v>-1.5516078776333117E-2</v>
      </c>
      <c r="I28" s="11">
        <f t="shared" si="22"/>
        <v>-4.0915360088026265E-2</v>
      </c>
      <c r="J28" s="11">
        <f t="shared" si="22"/>
        <v>2.5763151547420113E-3</v>
      </c>
      <c r="K28" s="11">
        <f t="shared" si="22"/>
        <v>-3.3856482095653805E-2</v>
      </c>
      <c r="L28" s="11">
        <f t="shared" si="22"/>
        <v>-9.4518849588445895E-3</v>
      </c>
    </row>
    <row r="30" spans="2:17" x14ac:dyDescent="0.25">
      <c r="B30" t="s">
        <v>14</v>
      </c>
      <c r="C30" s="8">
        <f>IFERROR('Data Sheet'!B29,0)</f>
        <v>4764.79</v>
      </c>
      <c r="D30" s="8">
        <f>IFERROR('Data Sheet'!C29,0)</f>
        <v>7642.91</v>
      </c>
      <c r="E30" s="8">
        <f>IFERROR('Data Sheet'!D29,0)</f>
        <v>3025.05</v>
      </c>
      <c r="F30" s="8">
        <f>IFERROR('Data Sheet'!E29,0)</f>
        <v>3251.23</v>
      </c>
      <c r="G30" s="8">
        <f>IFERROR('Data Sheet'!F29,0)</f>
        <v>4341.93</v>
      </c>
      <c r="H30" s="8">
        <f>IFERROR('Data Sheet'!G29,0)</f>
        <v>-2437.4499999999998</v>
      </c>
      <c r="I30" s="8">
        <f>IFERROR('Data Sheet'!H29,0)</f>
        <v>395.25</v>
      </c>
      <c r="J30" s="8">
        <f>IFERROR('Data Sheet'!I29,0)</f>
        <v>2541.86</v>
      </c>
      <c r="K30" s="8">
        <f>IFERROR('Data Sheet'!J29,0)</f>
        <v>4231.29</v>
      </c>
      <c r="L30" s="8">
        <f>IFERROR('Data Sheet'!K29,0)</f>
        <v>704.06</v>
      </c>
      <c r="M30" s="12">
        <f>M27*Assumptions!M8</f>
        <v>-1484.4388060000033</v>
      </c>
      <c r="N30" s="12">
        <f>N27*Assumptions!N8</f>
        <v>-1466.374763818186</v>
      </c>
      <c r="O30" s="12">
        <f>O27*Assumptions!O8</f>
        <v>-1448.3107216363696</v>
      </c>
      <c r="P30" s="12">
        <f>P27*Assumptions!P8</f>
        <v>-1430.2466794545521</v>
      </c>
      <c r="Q30" s="12">
        <f>Q27*Assumptions!Q8</f>
        <v>-1412.1826372727326</v>
      </c>
    </row>
    <row r="31" spans="2:17" x14ac:dyDescent="0.25">
      <c r="B31" s="9" t="s">
        <v>71</v>
      </c>
      <c r="C31" s="11">
        <f>C30/C27</f>
        <v>0.25043887865714731</v>
      </c>
      <c r="D31" s="11">
        <f t="shared" ref="D31:L31" si="23">D30/D27</f>
        <v>0.3641469888553418</v>
      </c>
      <c r="E31" s="11">
        <f t="shared" si="23"/>
        <v>0.18011192356950362</v>
      </c>
      <c r="F31" s="11">
        <f t="shared" si="23"/>
        <v>0.43665932908836924</v>
      </c>
      <c r="G31" s="11">
        <f t="shared" si="23"/>
        <v>0.8314210213890445</v>
      </c>
      <c r="H31" s="11">
        <f t="shared" si="23"/>
        <v>0.52027791414971725</v>
      </c>
      <c r="I31" s="11">
        <f t="shared" si="23"/>
        <v>-3.7002571690434617E-2</v>
      </c>
      <c r="J31" s="11">
        <f t="shared" si="23"/>
        <v>3.9497474943672315</v>
      </c>
      <c r="K31" s="11">
        <f t="shared" si="23"/>
        <v>-0.4488260888935095</v>
      </c>
      <c r="L31" s="11">
        <f t="shared" si="23"/>
        <v>-0.21530623478611635</v>
      </c>
    </row>
    <row r="33" spans="1:17" x14ac:dyDescent="0.25">
      <c r="B33" s="15" t="s">
        <v>72</v>
      </c>
      <c r="C33" s="17">
        <f>C27-C30</f>
        <v>14260.969999999972</v>
      </c>
      <c r="D33" s="17">
        <f t="shared" ref="D33:L33" si="24">D27-D30</f>
        <v>13345.619999999981</v>
      </c>
      <c r="E33" s="17">
        <f t="shared" si="24"/>
        <v>13770.339999999971</v>
      </c>
      <c r="F33" s="17">
        <f t="shared" si="24"/>
        <v>4194.4600000000464</v>
      </c>
      <c r="G33" s="17">
        <f t="shared" si="24"/>
        <v>880.36999999999171</v>
      </c>
      <c r="H33" s="17">
        <f t="shared" si="24"/>
        <v>-2247.4499999999798</v>
      </c>
      <c r="I33" s="17">
        <f t="shared" si="24"/>
        <v>-11076.940000000039</v>
      </c>
      <c r="J33" s="17">
        <f t="shared" si="24"/>
        <v>-1898.3100000000081</v>
      </c>
      <c r="K33" s="17">
        <f t="shared" si="24"/>
        <v>-13658.749999999989</v>
      </c>
      <c r="L33" s="17">
        <f t="shared" si="24"/>
        <v>-3974.1000000000372</v>
      </c>
      <c r="M33" s="12">
        <f>M27-M30</f>
        <v>-3463.6905473333413</v>
      </c>
      <c r="N33" s="12">
        <f t="shared" ref="N33:Q33" si="25">N27-N30</f>
        <v>-3421.5411155757674</v>
      </c>
      <c r="O33" s="12">
        <f t="shared" si="25"/>
        <v>-3379.3916838181958</v>
      </c>
      <c r="P33" s="12">
        <f t="shared" si="25"/>
        <v>-3337.2422520606219</v>
      </c>
      <c r="Q33" s="12">
        <f t="shared" si="25"/>
        <v>-3295.0928203030426</v>
      </c>
    </row>
    <row r="34" spans="1:17" x14ac:dyDescent="0.25">
      <c r="B34" s="9" t="s">
        <v>73</v>
      </c>
      <c r="C34" s="11">
        <f>C33/C6</f>
        <v>6.124960626397391E-2</v>
      </c>
      <c r="D34" s="11">
        <f>D33/D6</f>
        <v>5.0713146858982282E-2</v>
      </c>
      <c r="E34" s="11">
        <f t="shared" ref="E34:I34" si="26">E33/E6</f>
        <v>5.0432381990407359E-2</v>
      </c>
      <c r="F34" s="11">
        <f t="shared" si="26"/>
        <v>1.5552749314395296E-2</v>
      </c>
      <c r="G34" s="11">
        <f t="shared" si="26"/>
        <v>3.01961430487095E-3</v>
      </c>
      <c r="H34" s="11">
        <f t="shared" si="26"/>
        <v>-7.4434056747998256E-3</v>
      </c>
      <c r="I34" s="11">
        <f t="shared" si="26"/>
        <v>-4.2429333632923408E-2</v>
      </c>
      <c r="J34" s="11">
        <f>J33/J6</f>
        <v>-7.5994791724005731E-3</v>
      </c>
      <c r="K34" s="11">
        <f t="shared" ref="K34" si="27">K33/K6</f>
        <v>-4.9052154538339235E-2</v>
      </c>
      <c r="L34" s="11">
        <f t="shared" ref="L34" si="28">L33/L6</f>
        <v>-1.1486934720964945E-2</v>
      </c>
      <c r="M34" s="11">
        <f>M33/M6</f>
        <v>-1.117796561296806E-2</v>
      </c>
      <c r="N34" s="11">
        <f t="shared" ref="N34:Q34" si="29">N33/N6</f>
        <v>-1.083146469703963E-2</v>
      </c>
      <c r="O34" s="11">
        <f t="shared" si="29"/>
        <v>-1.0497926409163354E-2</v>
      </c>
      <c r="P34" s="11">
        <f t="shared" si="29"/>
        <v>-1.0176636706059868E-2</v>
      </c>
      <c r="Q34" s="11">
        <f t="shared" si="29"/>
        <v>-9.8669330427316217E-3</v>
      </c>
    </row>
    <row r="36" spans="1:17" x14ac:dyDescent="0.25">
      <c r="B36" t="s">
        <v>74</v>
      </c>
      <c r="C36">
        <f>IFERROR('Data Sheet'!B93,0)</f>
        <v>288.74</v>
      </c>
      <c r="D36">
        <f>IFERROR('Data Sheet'!C93,0)</f>
        <v>288.74</v>
      </c>
      <c r="E36">
        <f>IFERROR('Data Sheet'!D93,0)</f>
        <v>288.72000000000003</v>
      </c>
      <c r="F36">
        <f>IFERROR('Data Sheet'!E93,0)</f>
        <v>288.73</v>
      </c>
      <c r="G36">
        <f>IFERROR('Data Sheet'!F93,0)</f>
        <v>288.73</v>
      </c>
      <c r="H36">
        <f>IFERROR('Data Sheet'!G93,0)</f>
        <v>288.73</v>
      </c>
      <c r="I36">
        <f>IFERROR('Data Sheet'!H93,0)</f>
        <v>308.89999999999998</v>
      </c>
      <c r="J36">
        <f>IFERROR('Data Sheet'!I93,0)</f>
        <v>332.03</v>
      </c>
      <c r="K36">
        <f>IFERROR('Data Sheet'!J93,0)</f>
        <v>332.07</v>
      </c>
      <c r="L36">
        <f>IFERROR('Data Sheet'!K93,0)</f>
        <v>332.13</v>
      </c>
      <c r="M36">
        <f>Assumptions!M26</f>
        <v>332.13</v>
      </c>
      <c r="N36">
        <f>Assumptions!N26</f>
        <v>332.13</v>
      </c>
      <c r="O36">
        <f>Assumptions!O26</f>
        <v>332.13</v>
      </c>
      <c r="P36">
        <f>Assumptions!P26</f>
        <v>332.13</v>
      </c>
      <c r="Q36">
        <f>Assumptions!Q26</f>
        <v>332.13</v>
      </c>
    </row>
    <row r="38" spans="1:17" x14ac:dyDescent="0.25">
      <c r="B38" t="s">
        <v>75</v>
      </c>
      <c r="C38" s="8">
        <f>IFERROR(C33/C36,0)</f>
        <v>49.390351180993186</v>
      </c>
      <c r="D38" s="8">
        <f t="shared" ref="D38:L38" si="30">IFERROR(D33/D36,0)</f>
        <v>46.220198102098706</v>
      </c>
      <c r="E38" s="8">
        <f t="shared" si="30"/>
        <v>47.694444444444336</v>
      </c>
      <c r="F38" s="8">
        <f t="shared" si="30"/>
        <v>14.527274616423808</v>
      </c>
      <c r="G38" s="8">
        <f t="shared" si="30"/>
        <v>3.049111626779315</v>
      </c>
      <c r="H38" s="8">
        <f t="shared" si="30"/>
        <v>-7.7839157690575265</v>
      </c>
      <c r="I38" s="8">
        <f t="shared" si="30"/>
        <v>-35.859307219164904</v>
      </c>
      <c r="J38" s="8">
        <f t="shared" si="30"/>
        <v>-5.7172845827184542</v>
      </c>
      <c r="K38" s="8">
        <f t="shared" si="30"/>
        <v>-41.132140813683833</v>
      </c>
      <c r="L38" s="8">
        <f t="shared" si="30"/>
        <v>-11.965495438533218</v>
      </c>
      <c r="M38" s="12">
        <f>M33/M36</f>
        <v>-10.428719318740677</v>
      </c>
      <c r="N38" s="12">
        <f t="shared" ref="N38:Q38" si="31">N33/N36</f>
        <v>-10.301812891264769</v>
      </c>
      <c r="O38" s="12">
        <f t="shared" si="31"/>
        <v>-10.174906463788865</v>
      </c>
      <c r="P38" s="12">
        <f t="shared" si="31"/>
        <v>-10.048000036312956</v>
      </c>
      <c r="Q38" s="12">
        <f t="shared" si="31"/>
        <v>-9.9210936088370296</v>
      </c>
    </row>
    <row r="39" spans="1:17" x14ac:dyDescent="0.25">
      <c r="B39" s="9" t="s">
        <v>77</v>
      </c>
      <c r="C39" s="11"/>
      <c r="D39" s="11">
        <f>IFERROR(D38/C38-1,0)</f>
        <v>-6.4185676009415493E-2</v>
      </c>
      <c r="E39" s="11">
        <f t="shared" ref="E39:L39" si="32">IFERROR(E38/D38-1,0)</f>
        <v>3.189614936502605E-2</v>
      </c>
      <c r="F39" s="11">
        <f t="shared" si="32"/>
        <v>-0.69540950134463697</v>
      </c>
      <c r="G39" s="11">
        <f t="shared" si="32"/>
        <v>-0.79011124197155724</v>
      </c>
      <c r="H39" s="11">
        <f t="shared" si="32"/>
        <v>-3.5528470983790919</v>
      </c>
      <c r="I39" s="11">
        <f t="shared" si="32"/>
        <v>3.6068467700681115</v>
      </c>
      <c r="J39" s="11">
        <f t="shared" si="32"/>
        <v>-0.84056344011958861</v>
      </c>
      <c r="K39" s="11">
        <f t="shared" si="32"/>
        <v>6.194349033807641</v>
      </c>
      <c r="L39" s="11">
        <f t="shared" si="32"/>
        <v>-0.70909621522659627</v>
      </c>
      <c r="M39" s="11">
        <f>M38/L38-1</f>
        <v>-0.12843397314277227</v>
      </c>
      <c r="N39" s="11">
        <f t="shared" ref="N39:Q39" si="33">N38/M38-1</f>
        <v>-1.2168936913265482E-2</v>
      </c>
      <c r="O39" s="11">
        <f t="shared" si="33"/>
        <v>-1.2318844150577712E-2</v>
      </c>
      <c r="P39" s="11">
        <f t="shared" si="33"/>
        <v>-1.2472490821173854E-2</v>
      </c>
      <c r="Q39" s="11">
        <f t="shared" si="33"/>
        <v>-1.2630018612389882E-2</v>
      </c>
    </row>
    <row r="41" spans="1:17" x14ac:dyDescent="0.25">
      <c r="B41" t="s">
        <v>76</v>
      </c>
      <c r="C41" s="8">
        <f>IFERROR('Data Sheet'!B31/'Historical FS'!C36,0)</f>
        <v>2.2296183417607534</v>
      </c>
      <c r="D41" s="8">
        <f>IFERROR('Data Sheet'!C31/'Historical FS'!D36,0)</f>
        <v>0</v>
      </c>
      <c r="E41" s="8">
        <f>IFERROR('Data Sheet'!D31/'Historical FS'!E36,0)</f>
        <v>0.23524522028262676</v>
      </c>
      <c r="F41" s="8">
        <f>IFERROR('Data Sheet'!E31/'Historical FS'!F36,0)</f>
        <v>0</v>
      </c>
      <c r="G41" s="8">
        <f>IFERROR('Data Sheet'!F31/'Historical FS'!G36,0)</f>
        <v>0</v>
      </c>
      <c r="H41" s="8">
        <f>IFERROR('Data Sheet'!G31/'Historical FS'!H36,0)</f>
        <v>0</v>
      </c>
      <c r="I41" s="8">
        <f>IFERROR('Data Sheet'!H31/'Historical FS'!I36,0)</f>
        <v>0</v>
      </c>
      <c r="J41" s="8">
        <f>IFERROR('Data Sheet'!I31/'Historical FS'!J36,0)</f>
        <v>0</v>
      </c>
      <c r="K41" s="8">
        <f>IFERROR('Data Sheet'!J31/'Historical FS'!K36,0)</f>
        <v>0</v>
      </c>
      <c r="L41" s="8">
        <f>IFERROR('Data Sheet'!K31/'Historical FS'!L36,0)</f>
        <v>2.3063860536536898</v>
      </c>
      <c r="M41">
        <f>Assumptions!M27</f>
        <v>0</v>
      </c>
      <c r="N41">
        <f>Assumptions!N27</f>
        <v>0</v>
      </c>
      <c r="O41">
        <f>Assumptions!O27</f>
        <v>0</v>
      </c>
      <c r="P41">
        <f>Assumptions!P27</f>
        <v>0</v>
      </c>
      <c r="Q41">
        <f>Assumptions!Q27</f>
        <v>0</v>
      </c>
    </row>
    <row r="42" spans="1:17" x14ac:dyDescent="0.25">
      <c r="B42" s="9" t="s">
        <v>78</v>
      </c>
      <c r="C42" s="11">
        <f>IFERROR(C41/C38,0)</f>
        <v>4.5142791829728357E-2</v>
      </c>
      <c r="D42" s="11">
        <f t="shared" ref="D42:L42" si="34">IFERROR(D41/D38,0)</f>
        <v>0</v>
      </c>
      <c r="E42" s="11">
        <f t="shared" si="34"/>
        <v>4.9323400874633563E-3</v>
      </c>
      <c r="F42" s="11">
        <f t="shared" si="34"/>
        <v>0</v>
      </c>
      <c r="G42" s="11">
        <f t="shared" si="34"/>
        <v>0</v>
      </c>
      <c r="H42" s="11">
        <f t="shared" si="34"/>
        <v>0</v>
      </c>
      <c r="I42" s="11">
        <f t="shared" si="34"/>
        <v>0</v>
      </c>
      <c r="J42" s="11">
        <f t="shared" si="34"/>
        <v>0</v>
      </c>
      <c r="K42" s="11">
        <f t="shared" si="34"/>
        <v>0</v>
      </c>
      <c r="L42" s="11">
        <f t="shared" si="34"/>
        <v>-0.19275307616818721</v>
      </c>
      <c r="M42" s="11">
        <f>M41/M38</f>
        <v>0</v>
      </c>
      <c r="N42" s="11">
        <f t="shared" ref="N42:Q42" si="35">N41/N38</f>
        <v>0</v>
      </c>
      <c r="O42" s="11">
        <f t="shared" si="35"/>
        <v>0</v>
      </c>
      <c r="P42" s="11">
        <f t="shared" si="35"/>
        <v>0</v>
      </c>
      <c r="Q42" s="11">
        <f t="shared" si="35"/>
        <v>0</v>
      </c>
    </row>
    <row r="44" spans="1:17" x14ac:dyDescent="0.25">
      <c r="B44" t="s">
        <v>79</v>
      </c>
      <c r="C44" s="11">
        <f>IFERROR(IF(C38&gt;C41,1-C42,0),0)</f>
        <v>0.95485720817027164</v>
      </c>
      <c r="D44" s="11">
        <f t="shared" ref="D44:L44" si="36">IFERROR(IF(D38&gt;D41,1-D42,0),0)</f>
        <v>1</v>
      </c>
      <c r="E44" s="11">
        <f t="shared" si="36"/>
        <v>0.99506765991253665</v>
      </c>
      <c r="F44" s="11">
        <f t="shared" si="36"/>
        <v>1</v>
      </c>
      <c r="G44" s="11">
        <f t="shared" si="36"/>
        <v>1</v>
      </c>
      <c r="H44" s="11">
        <f t="shared" si="36"/>
        <v>0</v>
      </c>
      <c r="I44" s="11">
        <f t="shared" si="36"/>
        <v>0</v>
      </c>
      <c r="J44" s="11">
        <f t="shared" si="36"/>
        <v>0</v>
      </c>
      <c r="K44" s="11">
        <f t="shared" si="36"/>
        <v>0</v>
      </c>
      <c r="L44" s="11">
        <f t="shared" si="36"/>
        <v>0</v>
      </c>
      <c r="M44" s="11">
        <f>IF(M38&gt;M41,1-M42,0)</f>
        <v>0</v>
      </c>
      <c r="N44" s="11">
        <f t="shared" ref="N44:Q44" si="37">IF(N38&gt;N41,1-N42,0)</f>
        <v>0</v>
      </c>
      <c r="O44" s="11">
        <f t="shared" si="37"/>
        <v>0</v>
      </c>
      <c r="P44" s="11">
        <f t="shared" si="37"/>
        <v>0</v>
      </c>
      <c r="Q44" s="11">
        <f t="shared" si="37"/>
        <v>0</v>
      </c>
    </row>
    <row r="46" spans="1:17" x14ac:dyDescent="0.25">
      <c r="A46" t="s">
        <v>57</v>
      </c>
      <c r="B46" s="56" t="s">
        <v>81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64" t="s">
        <v>182</v>
      </c>
      <c r="N46" s="64"/>
      <c r="O46" s="64"/>
      <c r="P46" s="64"/>
      <c r="Q46" s="64"/>
    </row>
    <row r="47" spans="1:17" x14ac:dyDescent="0.25">
      <c r="B47" s="3" t="s">
        <v>18</v>
      </c>
      <c r="C47" s="8">
        <f>IFERROR('Data Sheet'!B57,0)</f>
        <v>643.78</v>
      </c>
      <c r="D47" s="8">
        <f>IFERROR('Data Sheet'!C57,0)</f>
        <v>643.78</v>
      </c>
      <c r="E47" s="8">
        <f>IFERROR('Data Sheet'!D57,0)</f>
        <v>679.18</v>
      </c>
      <c r="F47" s="8">
        <f>IFERROR('Data Sheet'!E57,0)</f>
        <v>679.22</v>
      </c>
      <c r="G47" s="8">
        <f>IFERROR('Data Sheet'!F57,0)</f>
        <v>679.22</v>
      </c>
      <c r="H47" s="8">
        <f>IFERROR('Data Sheet'!G57,0)</f>
        <v>679.22</v>
      </c>
      <c r="I47" s="8">
        <f>IFERROR('Data Sheet'!H57,0)</f>
        <v>719.54</v>
      </c>
      <c r="J47" s="8">
        <f>IFERROR('Data Sheet'!I57,0)</f>
        <v>765.81</v>
      </c>
      <c r="K47" s="8">
        <f>IFERROR('Data Sheet'!J57,0)</f>
        <v>765.88</v>
      </c>
      <c r="L47" s="8">
        <f>IFERROR('Data Sheet'!K57,0)</f>
        <v>766.02</v>
      </c>
      <c r="M47" s="8">
        <f>Assumptions!M24</f>
        <v>766.02</v>
      </c>
      <c r="N47" s="8">
        <f>Assumptions!N24</f>
        <v>766.02</v>
      </c>
      <c r="O47" s="8">
        <f>Assumptions!O24</f>
        <v>766.02</v>
      </c>
      <c r="P47" s="8">
        <f>Assumptions!P24</f>
        <v>766.02</v>
      </c>
      <c r="Q47" s="8">
        <f>Assumptions!Q24</f>
        <v>766.02</v>
      </c>
    </row>
    <row r="48" spans="1:17" x14ac:dyDescent="0.25">
      <c r="B48" s="3" t="s">
        <v>19</v>
      </c>
      <c r="C48" s="8">
        <f>IFERROR('Data Sheet'!B58,0)</f>
        <v>64959.67</v>
      </c>
      <c r="D48" s="8">
        <f>IFERROR('Data Sheet'!C58,0)</f>
        <v>55618.14</v>
      </c>
      <c r="E48" s="8">
        <f>IFERROR('Data Sheet'!D58,0)</f>
        <v>78273.23</v>
      </c>
      <c r="F48" s="8">
        <f>IFERROR('Data Sheet'!E58,0)</f>
        <v>57382.67</v>
      </c>
      <c r="G48" s="8">
        <f>IFERROR('Data Sheet'!F58,0)</f>
        <v>94748.69</v>
      </c>
      <c r="H48" s="8">
        <f>IFERROR('Data Sheet'!G58,0)</f>
        <v>59500.34</v>
      </c>
      <c r="I48" s="8">
        <f>IFERROR('Data Sheet'!H58,0)</f>
        <v>61491.49</v>
      </c>
      <c r="J48" s="8">
        <f>IFERROR('Data Sheet'!I58,0)</f>
        <v>54480.91</v>
      </c>
      <c r="K48" s="8">
        <f>IFERROR('Data Sheet'!J58,0)</f>
        <v>43795.360000000001</v>
      </c>
      <c r="L48" s="8">
        <f>IFERROR('Data Sheet'!K58,0)</f>
        <v>44555.77</v>
      </c>
      <c r="M48" s="8">
        <f>Assumptions!M34</f>
        <v>41092.079452666658</v>
      </c>
      <c r="N48" s="8">
        <f>Assumptions!N34</f>
        <v>37670.538337090889</v>
      </c>
      <c r="O48" s="8">
        <f>Assumptions!O34</f>
        <v>34291.146653272692</v>
      </c>
      <c r="P48" s="8">
        <f>Assumptions!P34</f>
        <v>30953.904401212068</v>
      </c>
      <c r="Q48" s="8">
        <f>Assumptions!Q34</f>
        <v>27658.811580909027</v>
      </c>
    </row>
    <row r="49" spans="2:17" x14ac:dyDescent="0.25">
      <c r="B49" s="3" t="s">
        <v>20</v>
      </c>
      <c r="C49" s="8">
        <f>IFERROR('Data Sheet'!B59,0)</f>
        <v>60642.28</v>
      </c>
      <c r="D49" s="8">
        <f>IFERROR('Data Sheet'!C59,0)</f>
        <v>73610.39</v>
      </c>
      <c r="E49" s="8">
        <f>IFERROR('Data Sheet'!D59,0)</f>
        <v>69359.960000000006</v>
      </c>
      <c r="F49" s="8">
        <f>IFERROR('Data Sheet'!E59,0)</f>
        <v>78603.98</v>
      </c>
      <c r="G49" s="8">
        <f>IFERROR('Data Sheet'!F59,0)</f>
        <v>88950.47</v>
      </c>
      <c r="H49" s="8">
        <f>IFERROR('Data Sheet'!G59,0)</f>
        <v>106175.34</v>
      </c>
      <c r="I49" s="8">
        <f>IFERROR('Data Sheet'!H59,0)</f>
        <v>124787.64</v>
      </c>
      <c r="J49" s="8">
        <f>IFERROR('Data Sheet'!I59,0)</f>
        <v>142130.57</v>
      </c>
      <c r="K49" s="8">
        <f>IFERROR('Data Sheet'!J59,0)</f>
        <v>146449.03</v>
      </c>
      <c r="L49" s="8">
        <f>IFERROR('Data Sheet'!K59,0)</f>
        <v>134113.44</v>
      </c>
      <c r="M49" s="8">
        <f>Assumptions!M40</f>
        <v>134113.44</v>
      </c>
      <c r="N49" s="8">
        <f>Assumptions!N40</f>
        <v>134113.44</v>
      </c>
      <c r="O49" s="8">
        <f>Assumptions!O40</f>
        <v>134113.44</v>
      </c>
      <c r="P49" s="8">
        <f>Assumptions!P40</f>
        <v>134113.44</v>
      </c>
      <c r="Q49" s="8">
        <f>Assumptions!Q40</f>
        <v>134113.44</v>
      </c>
    </row>
    <row r="50" spans="2:17" x14ac:dyDescent="0.25">
      <c r="B50" s="3" t="s">
        <v>21</v>
      </c>
      <c r="C50" s="8">
        <f>IFERROR('Data Sheet'!B60,0)</f>
        <v>92180.26</v>
      </c>
      <c r="D50" s="8">
        <f>IFERROR('Data Sheet'!C60,0)</f>
        <v>107442.48</v>
      </c>
      <c r="E50" s="8">
        <f>IFERROR('Data Sheet'!D60,0)</f>
        <v>114871.75</v>
      </c>
      <c r="F50" s="8">
        <f>IFERROR('Data Sheet'!E60,0)</f>
        <v>135914.49</v>
      </c>
      <c r="G50" s="8">
        <f>IFERROR('Data Sheet'!F60,0)</f>
        <v>142813.43</v>
      </c>
      <c r="H50" s="8">
        <f>IFERROR('Data Sheet'!G60,0)</f>
        <v>139348.59</v>
      </c>
      <c r="I50" s="8">
        <f>IFERROR('Data Sheet'!H60,0)</f>
        <v>133180.72</v>
      </c>
      <c r="J50" s="8">
        <f>IFERROR('Data Sheet'!I60,0)</f>
        <v>144192.62</v>
      </c>
      <c r="K50" s="8">
        <f>IFERROR('Data Sheet'!J60,0)</f>
        <v>138051.22</v>
      </c>
      <c r="L50" s="8">
        <f>IFERROR('Data Sheet'!K60,0)</f>
        <v>155239.20000000001</v>
      </c>
      <c r="M50" s="8">
        <f>Assumptions!M45</f>
        <v>152811.47079452049</v>
      </c>
      <c r="N50" s="8">
        <f>Assumptions!N45</f>
        <v>155780.90238605224</v>
      </c>
      <c r="O50" s="8">
        <f>Assumptions!O45</f>
        <v>158750.333977584</v>
      </c>
      <c r="P50" s="8">
        <f>Assumptions!P45</f>
        <v>161719.76556911576</v>
      </c>
      <c r="Q50" s="8">
        <f>Assumptions!Q45</f>
        <v>164689.19716064754</v>
      </c>
    </row>
    <row r="51" spans="2:17" x14ac:dyDescent="0.25">
      <c r="B51" s="21" t="s">
        <v>86</v>
      </c>
      <c r="C51" s="20">
        <f>IFERROR('Data Sheet'!B61,0)</f>
        <v>218425.99</v>
      </c>
      <c r="D51" s="20">
        <f>IFERROR('Data Sheet'!C61,0)</f>
        <v>237314.79</v>
      </c>
      <c r="E51" s="20">
        <f>IFERROR('Data Sheet'!D61,0)</f>
        <v>263184.12</v>
      </c>
      <c r="F51" s="20">
        <f>IFERROR('Data Sheet'!E61,0)</f>
        <v>272580.36</v>
      </c>
      <c r="G51" s="20">
        <f>IFERROR('Data Sheet'!F61,0)</f>
        <v>327191.81</v>
      </c>
      <c r="H51" s="20">
        <f>IFERROR('Data Sheet'!G61,0)</f>
        <v>305703.49</v>
      </c>
      <c r="I51" s="20">
        <f>IFERROR('Data Sheet'!H61,0)</f>
        <v>320179.39</v>
      </c>
      <c r="J51" s="20">
        <f>IFERROR('Data Sheet'!I61,0)</f>
        <v>341569.91</v>
      </c>
      <c r="K51" s="20">
        <f>IFERROR('Data Sheet'!J61,0)</f>
        <v>329061.49</v>
      </c>
      <c r="L51" s="20">
        <f>IFERROR('Data Sheet'!K61,0)</f>
        <v>334674.43</v>
      </c>
      <c r="M51" s="12">
        <f>M47+M48+M49+M50</f>
        <v>328783.01024718711</v>
      </c>
      <c r="N51" s="12">
        <f t="shared" ref="N51:Q51" si="38">N47+N48+N49+N50</f>
        <v>328330.90072314313</v>
      </c>
      <c r="O51" s="12">
        <f t="shared" si="38"/>
        <v>327920.94063085667</v>
      </c>
      <c r="P51" s="12">
        <f t="shared" si="38"/>
        <v>327553.12997032783</v>
      </c>
      <c r="Q51" s="12">
        <f t="shared" si="38"/>
        <v>327227.46874155657</v>
      </c>
    </row>
    <row r="52" spans="2:17" x14ac:dyDescent="0.25">
      <c r="B52" s="1"/>
    </row>
    <row r="53" spans="2:17" x14ac:dyDescent="0.25">
      <c r="B53" s="3" t="s">
        <v>82</v>
      </c>
      <c r="C53" s="8">
        <f>IFERROR('Data Sheet'!B62,0)</f>
        <v>69091.67</v>
      </c>
      <c r="D53" s="8">
        <f>IFERROR('Data Sheet'!C62,0)</f>
        <v>88479.49</v>
      </c>
      <c r="E53" s="8">
        <f>IFERROR('Data Sheet'!D62,0)</f>
        <v>107231.76</v>
      </c>
      <c r="F53" s="8">
        <f>IFERROR('Data Sheet'!E62,0)</f>
        <v>95944.08</v>
      </c>
      <c r="G53" s="8">
        <f>IFERROR('Data Sheet'!F62,0)</f>
        <v>121413.86</v>
      </c>
      <c r="H53" s="8">
        <f>IFERROR('Data Sheet'!G62,0)</f>
        <v>111234.47</v>
      </c>
      <c r="I53" s="8">
        <f>IFERROR('Data Sheet'!H62,0)</f>
        <v>127107.14</v>
      </c>
      <c r="J53" s="8">
        <f>IFERROR('Data Sheet'!I62,0)</f>
        <v>138707.60999999999</v>
      </c>
      <c r="K53" s="8">
        <f>IFERROR('Data Sheet'!J62,0)</f>
        <v>138855.45000000001</v>
      </c>
      <c r="L53" s="8">
        <f>IFERROR('Data Sheet'!K62,0)</f>
        <v>132079.76</v>
      </c>
      <c r="M53" s="8">
        <f>Assumptions!M52</f>
        <v>123947.08186666663</v>
      </c>
      <c r="N53" s="8">
        <f>Assumptions!N52</f>
        <v>126355.62082424239</v>
      </c>
      <c r="O53" s="8">
        <f>Assumptions!O52</f>
        <v>128764.15978181813</v>
      </c>
      <c r="P53" s="8">
        <f>Assumptions!P52</f>
        <v>131172.69873939391</v>
      </c>
      <c r="Q53" s="8">
        <f>Assumptions!Q52</f>
        <v>133581.23769696968</v>
      </c>
    </row>
    <row r="54" spans="2:17" x14ac:dyDescent="0.25">
      <c r="B54" s="3" t="s">
        <v>24</v>
      </c>
      <c r="C54" s="8">
        <f>IFERROR('Data Sheet'!B63,0)</f>
        <v>33262.559999999998</v>
      </c>
      <c r="D54" s="8">
        <f>IFERROR('Data Sheet'!C63,0)</f>
        <v>28640.09</v>
      </c>
      <c r="E54" s="8">
        <f>IFERROR('Data Sheet'!D63,0)</f>
        <v>25918.94</v>
      </c>
      <c r="F54" s="8">
        <f>IFERROR('Data Sheet'!E63,0)</f>
        <v>33698.839999999997</v>
      </c>
      <c r="G54" s="8">
        <f>IFERROR('Data Sheet'!F63,0)</f>
        <v>40033.5</v>
      </c>
      <c r="H54" s="8">
        <f>IFERROR('Data Sheet'!G63,0)</f>
        <v>31883.84</v>
      </c>
      <c r="I54" s="8">
        <f>IFERROR('Data Sheet'!H63,0)</f>
        <v>35622.29</v>
      </c>
      <c r="J54" s="8">
        <f>IFERROR('Data Sheet'!I63,0)</f>
        <v>20963.93</v>
      </c>
      <c r="K54" s="8">
        <f>IFERROR('Data Sheet'!J63,0)</f>
        <v>10251.09</v>
      </c>
      <c r="L54" s="8">
        <f>IFERROR('Data Sheet'!K63,0)</f>
        <v>14274.5</v>
      </c>
      <c r="M54" s="8">
        <f>Assumptions!M59</f>
        <v>30986.770466666658</v>
      </c>
      <c r="N54" s="8">
        <f>Assumptions!N59</f>
        <v>31588.905206060597</v>
      </c>
      <c r="O54" s="8">
        <f>Assumptions!O59</f>
        <v>32191.039945454533</v>
      </c>
      <c r="P54" s="8">
        <f>Assumptions!P59</f>
        <v>32793.174684848476</v>
      </c>
      <c r="Q54" s="8">
        <f>Assumptions!Q59</f>
        <v>33395.309424242419</v>
      </c>
    </row>
    <row r="55" spans="2:17" x14ac:dyDescent="0.25">
      <c r="B55" s="3" t="s">
        <v>25</v>
      </c>
      <c r="C55" s="8">
        <f>IFERROR('Data Sheet'!B64,0)</f>
        <v>10686.67</v>
      </c>
      <c r="D55" s="8">
        <f>IFERROR('Data Sheet'!C64,0)</f>
        <v>15336.74</v>
      </c>
      <c r="E55" s="8">
        <f>IFERROR('Data Sheet'!D64,0)</f>
        <v>23767.02</v>
      </c>
      <c r="F55" s="8">
        <f>IFERROR('Data Sheet'!E64,0)</f>
        <v>20337.919999999998</v>
      </c>
      <c r="G55" s="8">
        <f>IFERROR('Data Sheet'!F64,0)</f>
        <v>20812.75</v>
      </c>
      <c r="H55" s="8">
        <f>IFERROR('Data Sheet'!G64,0)</f>
        <v>15770.72</v>
      </c>
      <c r="I55" s="8">
        <f>IFERROR('Data Sheet'!H64,0)</f>
        <v>16308.48</v>
      </c>
      <c r="J55" s="8">
        <f>IFERROR('Data Sheet'!I64,0)</f>
        <v>24620.28</v>
      </c>
      <c r="K55" s="8">
        <f>IFERROR('Data Sheet'!J64,0)</f>
        <v>29379.53</v>
      </c>
      <c r="L55" s="8">
        <f>IFERROR('Data Sheet'!K64,0)</f>
        <v>26379.16</v>
      </c>
      <c r="M55" s="8">
        <f>Assumptions!M64</f>
        <v>25822.308722222213</v>
      </c>
      <c r="N55" s="8">
        <f>Assumptions!N64</f>
        <v>26324.087671717163</v>
      </c>
      <c r="O55" s="8">
        <f>Assumptions!O64</f>
        <v>26825.866621212113</v>
      </c>
      <c r="P55" s="8">
        <f>Assumptions!P64</f>
        <v>27327.64557070706</v>
      </c>
      <c r="Q55" s="8">
        <f>Assumptions!Q64</f>
        <v>27829.424520202014</v>
      </c>
    </row>
    <row r="56" spans="2:17" x14ac:dyDescent="0.25">
      <c r="B56" s="3" t="s">
        <v>26</v>
      </c>
      <c r="C56" s="13">
        <f>IFERROR('Data Sheet'!B65-SUM('Data Sheet'!B67:B69),0)</f>
        <v>37828.179999999993</v>
      </c>
      <c r="D56" s="13">
        <f>IFERROR('Data Sheet'!C65-SUM('Data Sheet'!C67:C69),0)</f>
        <v>30891.17</v>
      </c>
      <c r="E56" s="13">
        <f>IFERROR('Data Sheet'!D65-SUM('Data Sheet'!D67:D69),0)</f>
        <v>29579.359999999986</v>
      </c>
      <c r="F56" s="13">
        <f>IFERROR('Data Sheet'!E65-SUM('Data Sheet'!E67:E69),0)</f>
        <v>37360.780000000013</v>
      </c>
      <c r="G56" s="13">
        <f>IFERROR('Data Sheet'!F65-SUM('Data Sheet'!F67:F69),0)</f>
        <v>48286.860000000015</v>
      </c>
      <c r="H56" s="13">
        <f>IFERROR('Data Sheet'!G65-SUM('Data Sheet'!G67:G69),0)</f>
        <v>56155.739999999991</v>
      </c>
      <c r="I56" s="13">
        <f>IFERROR('Data Sheet'!H65-SUM('Data Sheet'!H67:H69),0)</f>
        <v>58784.94</v>
      </c>
      <c r="J56" s="13">
        <f>IFERROR('Data Sheet'!I65-SUM('Data Sheet'!I67:I69),0)</f>
        <v>61717.959999999992</v>
      </c>
      <c r="K56" s="13">
        <f>IFERROR('Data Sheet'!J65-SUM('Data Sheet'!J67:J69),0)</f>
        <v>62223.770000000019</v>
      </c>
      <c r="L56" s="13">
        <f>IFERROR('Data Sheet'!K65-SUM('Data Sheet'!K67:K69),0)</f>
        <v>68432.090000000011</v>
      </c>
      <c r="M56" s="8">
        <f>Assumptions!M69</f>
        <v>51644.617444444426</v>
      </c>
      <c r="N56" s="8">
        <f>Assumptions!N69</f>
        <v>52648.175343434326</v>
      </c>
      <c r="O56" s="8">
        <f>Assumptions!O69</f>
        <v>53651.733242424227</v>
      </c>
      <c r="P56" s="8">
        <f>Assumptions!P69</f>
        <v>54655.29114141412</v>
      </c>
      <c r="Q56" s="8">
        <f>Assumptions!Q69</f>
        <v>55658.849040404028</v>
      </c>
    </row>
    <row r="57" spans="2:17" x14ac:dyDescent="0.25">
      <c r="B57" s="21" t="s">
        <v>85</v>
      </c>
      <c r="C57" s="20">
        <f>IFERROR(SUM(C53:C56),0)</f>
        <v>150869.07999999999</v>
      </c>
      <c r="D57" s="20">
        <f t="shared" ref="D57:K57" si="39">IFERROR(SUM(D53:D56),0)</f>
        <v>163347.49</v>
      </c>
      <c r="E57" s="20">
        <f t="shared" si="39"/>
        <v>186497.07999999996</v>
      </c>
      <c r="F57" s="20">
        <f t="shared" si="39"/>
        <v>187341.62</v>
      </c>
      <c r="G57" s="20">
        <f t="shared" si="39"/>
        <v>230546.97</v>
      </c>
      <c r="H57" s="20">
        <f t="shared" si="39"/>
        <v>215044.77</v>
      </c>
      <c r="I57" s="20">
        <f t="shared" si="39"/>
        <v>237822.85</v>
      </c>
      <c r="J57" s="20">
        <f t="shared" si="39"/>
        <v>246009.77999999997</v>
      </c>
      <c r="K57" s="20">
        <f t="shared" si="39"/>
        <v>240709.84000000003</v>
      </c>
      <c r="L57" s="20">
        <f>IFERROR(SUM(L53:L56),0)</f>
        <v>241165.51</v>
      </c>
      <c r="M57" s="12">
        <f>M53+M54+M55+M56</f>
        <v>232400.77849999993</v>
      </c>
      <c r="N57" s="12">
        <f t="shared" ref="N57:Q57" si="40">N53+N54+N55+N56</f>
        <v>236916.78904545447</v>
      </c>
      <c r="O57" s="12">
        <f t="shared" si="40"/>
        <v>241432.79959090901</v>
      </c>
      <c r="P57" s="12">
        <f t="shared" si="40"/>
        <v>245948.81013636355</v>
      </c>
      <c r="Q57" s="12">
        <f t="shared" si="40"/>
        <v>250464.82068181812</v>
      </c>
    </row>
    <row r="58" spans="2:17" x14ac:dyDescent="0.25">
      <c r="B58" s="1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7" x14ac:dyDescent="0.25">
      <c r="B59" s="3" t="s">
        <v>27</v>
      </c>
      <c r="C59" s="8">
        <f>IFERROR('Data Sheet'!B67,0)</f>
        <v>10574.23</v>
      </c>
      <c r="D59" s="8">
        <f>IFERROR('Data Sheet'!C67,0)</f>
        <v>12579.2</v>
      </c>
      <c r="E59" s="8">
        <f>IFERROR('Data Sheet'!D67,0)</f>
        <v>13570.91</v>
      </c>
      <c r="F59" s="8">
        <f>IFERROR('Data Sheet'!E67,0)</f>
        <v>14075.55</v>
      </c>
      <c r="G59" s="8">
        <f>IFERROR('Data Sheet'!F67,0)</f>
        <v>19893.3</v>
      </c>
      <c r="H59" s="8">
        <f>IFERROR('Data Sheet'!G67,0)</f>
        <v>18996.169999999998</v>
      </c>
      <c r="I59" s="8">
        <f>IFERROR('Data Sheet'!H67,0)</f>
        <v>11172.69</v>
      </c>
      <c r="J59" s="8">
        <f>IFERROR('Data Sheet'!I67,0)</f>
        <v>12679.08</v>
      </c>
      <c r="K59" s="8">
        <f>IFERROR('Data Sheet'!J67,0)</f>
        <v>12442.12</v>
      </c>
      <c r="L59" s="8">
        <f>IFERROR('Data Sheet'!K67,0)</f>
        <v>15737.97</v>
      </c>
      <c r="M59" s="8">
        <f>Assumptions!M74</f>
        <v>15281.14707945205</v>
      </c>
      <c r="N59" s="8">
        <f>Assumptions!N74</f>
        <v>15578.090238605226</v>
      </c>
      <c r="O59" s="8">
        <f>Assumptions!O74</f>
        <v>15875.0333977584</v>
      </c>
      <c r="P59" s="8">
        <f>Assumptions!P74</f>
        <v>16171.976556911575</v>
      </c>
      <c r="Q59" s="8">
        <f>Assumptions!Q74</f>
        <v>16468.919716064753</v>
      </c>
    </row>
    <row r="60" spans="2:17" x14ac:dyDescent="0.25">
      <c r="B60" s="3" t="s">
        <v>28</v>
      </c>
      <c r="C60" s="8">
        <f>IFERROR('Data Sheet'!B68,0)</f>
        <v>27270.89</v>
      </c>
      <c r="D60" s="8">
        <f>IFERROR('Data Sheet'!C68,0)</f>
        <v>29272.34</v>
      </c>
      <c r="E60" s="8">
        <f>IFERROR('Data Sheet'!D68,0)</f>
        <v>32655.73</v>
      </c>
      <c r="F60" s="8">
        <f>IFERROR('Data Sheet'!E68,0)</f>
        <v>35085.31</v>
      </c>
      <c r="G60" s="8">
        <f>IFERROR('Data Sheet'!F68,0)</f>
        <v>42137.63</v>
      </c>
      <c r="H60" s="8">
        <f>IFERROR('Data Sheet'!G68,0)</f>
        <v>39013.730000000003</v>
      </c>
      <c r="I60" s="8">
        <f>IFERROR('Data Sheet'!H68,0)</f>
        <v>37456.879999999997</v>
      </c>
      <c r="J60" s="8">
        <f>IFERROR('Data Sheet'!I68,0)</f>
        <v>36088.589999999997</v>
      </c>
      <c r="K60" s="8">
        <f>IFERROR('Data Sheet'!J68,0)</f>
        <v>35240.339999999997</v>
      </c>
      <c r="L60" s="8">
        <f>IFERROR('Data Sheet'!K68,0)</f>
        <v>40755.39</v>
      </c>
      <c r="M60" s="8">
        <f>Assumptions!M79</f>
        <v>38202.867698630122</v>
      </c>
      <c r="N60" s="8">
        <f>Assumptions!N79</f>
        <v>38945.225596513061</v>
      </c>
      <c r="O60" s="8">
        <f>Assumptions!O79</f>
        <v>39687.583494396</v>
      </c>
      <c r="P60" s="8">
        <f>Assumptions!P79</f>
        <v>40429.941392278939</v>
      </c>
      <c r="Q60" s="8">
        <f>Assumptions!Q79</f>
        <v>41172.299290161885</v>
      </c>
    </row>
    <row r="61" spans="2:17" x14ac:dyDescent="0.25">
      <c r="B61" s="2" t="s">
        <v>29</v>
      </c>
      <c r="C61" s="8">
        <f>IFERROR('Data Sheet'!B69,0)</f>
        <v>29711.79</v>
      </c>
      <c r="D61" s="8">
        <f>IFERROR('Data Sheet'!C69,0)</f>
        <v>32115.759999999998</v>
      </c>
      <c r="E61" s="8">
        <f>IFERROR('Data Sheet'!D69,0)</f>
        <v>30460.400000000001</v>
      </c>
      <c r="F61" s="8">
        <f>IFERROR('Data Sheet'!E69,0)</f>
        <v>36077.879999999997</v>
      </c>
      <c r="G61" s="8">
        <f>IFERROR('Data Sheet'!F69,0)</f>
        <v>34613.910000000003</v>
      </c>
      <c r="H61" s="8">
        <f>IFERROR('Data Sheet'!G69,0)</f>
        <v>32648.82</v>
      </c>
      <c r="I61" s="8">
        <f>IFERROR('Data Sheet'!H69,0)</f>
        <v>33726.97</v>
      </c>
      <c r="J61" s="8">
        <f>IFERROR('Data Sheet'!I69,0)</f>
        <v>46792.46</v>
      </c>
      <c r="K61" s="8">
        <f>IFERROR('Data Sheet'!J69,0)</f>
        <v>40669.19</v>
      </c>
      <c r="L61" s="8">
        <f>IFERROR('Data Sheet'!K69,0)</f>
        <v>37015.56</v>
      </c>
      <c r="M61" s="12">
        <f>M91</f>
        <v>42898.216969105073</v>
      </c>
      <c r="N61" s="12">
        <f t="shared" ref="N61:Q61" si="41">N91</f>
        <v>36890.795842570398</v>
      </c>
      <c r="O61" s="12">
        <f t="shared" si="41"/>
        <v>30925.524147793316</v>
      </c>
      <c r="P61" s="12">
        <f t="shared" si="41"/>
        <v>25002.401884773779</v>
      </c>
      <c r="Q61" s="12">
        <f t="shared" si="41"/>
        <v>19121.42905351182</v>
      </c>
    </row>
    <row r="62" spans="2:17" x14ac:dyDescent="0.25">
      <c r="B62" s="19" t="s">
        <v>83</v>
      </c>
      <c r="C62" s="20">
        <f>IFERROR(SUM(C59:C61),0)</f>
        <v>67556.91</v>
      </c>
      <c r="D62" s="20">
        <f t="shared" ref="D62:L62" si="42">IFERROR(SUM(D59:D61),0)</f>
        <v>73967.3</v>
      </c>
      <c r="E62" s="20">
        <f t="shared" si="42"/>
        <v>76687.040000000008</v>
      </c>
      <c r="F62" s="20">
        <f t="shared" si="42"/>
        <v>85238.739999999991</v>
      </c>
      <c r="G62" s="20">
        <f t="shared" si="42"/>
        <v>96644.84</v>
      </c>
      <c r="H62" s="20">
        <f t="shared" si="42"/>
        <v>90658.72</v>
      </c>
      <c r="I62" s="20">
        <f t="shared" si="42"/>
        <v>82356.540000000008</v>
      </c>
      <c r="J62" s="20">
        <f t="shared" si="42"/>
        <v>95560.13</v>
      </c>
      <c r="K62" s="20">
        <f t="shared" si="42"/>
        <v>88351.65</v>
      </c>
      <c r="L62" s="20">
        <f t="shared" si="42"/>
        <v>93508.92</v>
      </c>
      <c r="M62" s="12">
        <f>M59+M60+M61</f>
        <v>96382.231747187237</v>
      </c>
      <c r="N62" s="12">
        <f t="shared" ref="N62:Q62" si="43">N59+N60+N61</f>
        <v>91414.111677688692</v>
      </c>
      <c r="O62" s="12">
        <f t="shared" si="43"/>
        <v>86488.141039947717</v>
      </c>
      <c r="P62" s="12">
        <f t="shared" si="43"/>
        <v>81604.319833964299</v>
      </c>
      <c r="Q62" s="12">
        <f t="shared" si="43"/>
        <v>76762.648059738451</v>
      </c>
    </row>
    <row r="64" spans="2:17" x14ac:dyDescent="0.25">
      <c r="B64" s="18" t="s">
        <v>84</v>
      </c>
      <c r="C64" s="17">
        <f>IFERROR(SUM(C57,C62),0)</f>
        <v>218425.99</v>
      </c>
      <c r="D64" s="17">
        <f t="shared" ref="D64:L64" si="44">IFERROR(SUM(D57,D62),0)</f>
        <v>237314.78999999998</v>
      </c>
      <c r="E64" s="17">
        <f t="shared" si="44"/>
        <v>263184.12</v>
      </c>
      <c r="F64" s="17">
        <f t="shared" si="44"/>
        <v>272580.36</v>
      </c>
      <c r="G64" s="17">
        <f t="shared" si="44"/>
        <v>327191.81</v>
      </c>
      <c r="H64" s="17">
        <f t="shared" si="44"/>
        <v>305703.49</v>
      </c>
      <c r="I64" s="17">
        <f t="shared" si="44"/>
        <v>320179.39</v>
      </c>
      <c r="J64" s="17">
        <f>IFERROR(SUM(J57,J62),0)</f>
        <v>341569.91</v>
      </c>
      <c r="K64" s="17">
        <f t="shared" si="44"/>
        <v>329061.49</v>
      </c>
      <c r="L64" s="17">
        <f t="shared" si="44"/>
        <v>334674.43</v>
      </c>
      <c r="M64" s="12">
        <f>M57+M62</f>
        <v>328783.01024718717</v>
      </c>
      <c r="N64" s="12">
        <f t="shared" ref="N64:Q64" si="45">N57+N62</f>
        <v>328330.90072314313</v>
      </c>
      <c r="O64" s="12">
        <f t="shared" si="45"/>
        <v>327920.94063085673</v>
      </c>
      <c r="P64" s="12">
        <f t="shared" si="45"/>
        <v>327553.12997032783</v>
      </c>
      <c r="Q64" s="12">
        <f t="shared" si="45"/>
        <v>327227.46874155657</v>
      </c>
    </row>
    <row r="66" spans="2:17" x14ac:dyDescent="0.25">
      <c r="B66" s="14" t="s">
        <v>87</v>
      </c>
      <c r="C66" s="14" t="b">
        <f>C64=C51</f>
        <v>1</v>
      </c>
      <c r="D66" s="14" t="b">
        <f t="shared" ref="D66:Q66" si="46">D64=D51</f>
        <v>1</v>
      </c>
      <c r="E66" s="14" t="b">
        <f t="shared" si="46"/>
        <v>1</v>
      </c>
      <c r="F66" s="14" t="b">
        <f t="shared" si="46"/>
        <v>1</v>
      </c>
      <c r="G66" s="14" t="b">
        <f t="shared" si="46"/>
        <v>1</v>
      </c>
      <c r="H66" s="14" t="b">
        <f t="shared" si="46"/>
        <v>1</v>
      </c>
      <c r="I66" s="14" t="b">
        <f t="shared" si="46"/>
        <v>1</v>
      </c>
      <c r="J66" s="14" t="b">
        <f t="shared" si="46"/>
        <v>1</v>
      </c>
      <c r="K66" s="14" t="b">
        <f t="shared" si="46"/>
        <v>1</v>
      </c>
      <c r="L66" s="14" t="b">
        <f t="shared" si="46"/>
        <v>1</v>
      </c>
      <c r="M66" s="14" t="b">
        <f t="shared" si="46"/>
        <v>1</v>
      </c>
      <c r="N66" s="14" t="b">
        <f t="shared" si="46"/>
        <v>1</v>
      </c>
      <c r="O66" s="14" t="b">
        <f t="shared" si="46"/>
        <v>1</v>
      </c>
      <c r="P66" s="14" t="b">
        <f t="shared" si="46"/>
        <v>1</v>
      </c>
      <c r="Q66" s="14" t="b">
        <f t="shared" si="46"/>
        <v>1</v>
      </c>
    </row>
    <row r="67" spans="2:17" x14ac:dyDescent="0.25">
      <c r="B67" s="14" t="s">
        <v>177</v>
      </c>
      <c r="C67" s="48">
        <f>C51-C64</f>
        <v>0</v>
      </c>
      <c r="D67" s="48">
        <f t="shared" ref="D67:Q67" si="47">D51-D64</f>
        <v>0</v>
      </c>
      <c r="E67" s="48">
        <f t="shared" si="47"/>
        <v>0</v>
      </c>
      <c r="F67" s="48">
        <f t="shared" si="47"/>
        <v>0</v>
      </c>
      <c r="G67" s="48">
        <f t="shared" si="47"/>
        <v>0</v>
      </c>
      <c r="H67" s="48">
        <f t="shared" si="47"/>
        <v>0</v>
      </c>
      <c r="I67" s="48">
        <f t="shared" si="47"/>
        <v>0</v>
      </c>
      <c r="J67" s="48">
        <f t="shared" si="47"/>
        <v>0</v>
      </c>
      <c r="K67" s="48">
        <f t="shared" si="47"/>
        <v>0</v>
      </c>
      <c r="L67" s="48">
        <f t="shared" si="47"/>
        <v>0</v>
      </c>
      <c r="M67" s="48">
        <f t="shared" si="47"/>
        <v>0</v>
      </c>
      <c r="N67" s="48">
        <f t="shared" si="47"/>
        <v>0</v>
      </c>
      <c r="O67" s="48">
        <f t="shared" si="47"/>
        <v>0</v>
      </c>
      <c r="P67" s="48">
        <f t="shared" si="47"/>
        <v>0</v>
      </c>
      <c r="Q67" s="48">
        <f t="shared" si="47"/>
        <v>0</v>
      </c>
    </row>
    <row r="68" spans="2:17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7" x14ac:dyDescent="0.25">
      <c r="B69" s="56" t="s">
        <v>88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64" t="s">
        <v>184</v>
      </c>
      <c r="N69" s="64"/>
      <c r="O69" s="64"/>
      <c r="P69" s="64"/>
      <c r="Q69" s="64"/>
    </row>
    <row r="70" spans="2:17" x14ac:dyDescent="0.25">
      <c r="B70" s="49" t="s">
        <v>146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7" x14ac:dyDescent="0.25">
      <c r="B71" s="14" t="s">
        <v>72</v>
      </c>
      <c r="C71" s="14"/>
      <c r="D71" s="47">
        <f>D33</f>
        <v>13345.619999999981</v>
      </c>
      <c r="E71" s="47">
        <f t="shared" ref="E71:L71" si="48">E33</f>
        <v>13770.339999999971</v>
      </c>
      <c r="F71" s="47">
        <f t="shared" si="48"/>
        <v>4194.4600000000464</v>
      </c>
      <c r="G71" s="47">
        <f t="shared" si="48"/>
        <v>880.36999999999171</v>
      </c>
      <c r="H71" s="47">
        <f t="shared" si="48"/>
        <v>-2247.4499999999798</v>
      </c>
      <c r="I71" s="47">
        <f t="shared" si="48"/>
        <v>-11076.940000000039</v>
      </c>
      <c r="J71" s="47">
        <f t="shared" si="48"/>
        <v>-1898.3100000000081</v>
      </c>
      <c r="K71" s="47">
        <f t="shared" si="48"/>
        <v>-13658.749999999989</v>
      </c>
      <c r="L71" s="47">
        <f t="shared" si="48"/>
        <v>-3974.1000000000372</v>
      </c>
      <c r="M71" s="47">
        <f>M33</f>
        <v>-3463.6905473333413</v>
      </c>
      <c r="N71" s="47">
        <f t="shared" ref="N71:Q71" si="49">N33</f>
        <v>-3421.5411155757674</v>
      </c>
      <c r="O71" s="47">
        <f t="shared" si="49"/>
        <v>-3379.3916838181958</v>
      </c>
      <c r="P71" s="47">
        <f t="shared" si="49"/>
        <v>-3337.2422520606219</v>
      </c>
      <c r="Q71" s="47">
        <f t="shared" si="49"/>
        <v>-3295.0928203030426</v>
      </c>
    </row>
    <row r="72" spans="2:17" x14ac:dyDescent="0.25">
      <c r="B72" s="14" t="s">
        <v>147</v>
      </c>
      <c r="C72" s="14"/>
      <c r="D72" s="47">
        <f>D24</f>
        <v>13388.63</v>
      </c>
      <c r="E72" s="47">
        <f t="shared" ref="E72:L72" si="50">E24</f>
        <v>16710.78</v>
      </c>
      <c r="F72" s="47">
        <f t="shared" si="50"/>
        <v>17904.990000000002</v>
      </c>
      <c r="G72" s="47">
        <f t="shared" si="50"/>
        <v>21553.59</v>
      </c>
      <c r="H72" s="47">
        <f t="shared" si="50"/>
        <v>23590.63</v>
      </c>
      <c r="I72" s="47">
        <f t="shared" si="50"/>
        <v>21425.43</v>
      </c>
      <c r="J72" s="47">
        <f t="shared" si="50"/>
        <v>23546.71</v>
      </c>
      <c r="K72" s="47">
        <f t="shared" si="50"/>
        <v>24835.69</v>
      </c>
      <c r="L72" s="47">
        <f t="shared" si="50"/>
        <v>24860.36</v>
      </c>
      <c r="M72" s="47">
        <f>M24</f>
        <v>24789.416373333326</v>
      </c>
      <c r="N72" s="47">
        <f t="shared" ref="N72:Q72" si="51">N24</f>
        <v>25271.124164848476</v>
      </c>
      <c r="O72" s="47">
        <f t="shared" si="51"/>
        <v>25752.831956363629</v>
      </c>
      <c r="P72" s="47">
        <f t="shared" si="51"/>
        <v>26234.539747878778</v>
      </c>
      <c r="Q72" s="47">
        <f t="shared" si="51"/>
        <v>26716.247539393935</v>
      </c>
    </row>
    <row r="73" spans="2:17" x14ac:dyDescent="0.25">
      <c r="B73" s="14" t="s">
        <v>148</v>
      </c>
      <c r="C73" s="14"/>
      <c r="D73" s="47">
        <f>Assumptions!D86*-1</f>
        <v>11255.8</v>
      </c>
      <c r="E73" s="47">
        <f>Assumptions!E86*-1</f>
        <v>3054.1700000000055</v>
      </c>
      <c r="F73" s="47">
        <f>Assumptions!F86*-1</f>
        <v>18108.519999999993</v>
      </c>
      <c r="G73" s="47">
        <f>Assumptions!G86*-1</f>
        <v>-5971.1299999999974</v>
      </c>
      <c r="H73" s="47">
        <f>Assumptions!H86*-1</f>
        <v>556.18999999999869</v>
      </c>
      <c r="I73" s="47">
        <f>Assumptions!I86*-1</f>
        <v>3212.4600000000082</v>
      </c>
      <c r="J73" s="47">
        <f>Assumptions!J86*-1</f>
        <v>10873.799999999996</v>
      </c>
      <c r="K73" s="47">
        <f>Assumptions!K86*-1</f>
        <v>-5056.1899999999951</v>
      </c>
      <c r="L73" s="47">
        <f>Assumptions!L86*-1</f>
        <v>8377.080000000009</v>
      </c>
      <c r="M73" s="47">
        <f>Assumptions!M86*-1</f>
        <v>581.61601643830181</v>
      </c>
      <c r="N73" s="47">
        <f>Assumptions!N86*-1</f>
        <v>1930.1305344956418</v>
      </c>
      <c r="O73" s="47">
        <f>Assumptions!O86*-1</f>
        <v>1930.1305344956436</v>
      </c>
      <c r="P73" s="47">
        <f>Assumptions!P86*-1</f>
        <v>1930.1305344956418</v>
      </c>
      <c r="Q73" s="47">
        <f>Assumptions!Q86*-1</f>
        <v>1930.1305344956618</v>
      </c>
    </row>
    <row r="74" spans="2:17" x14ac:dyDescent="0.25">
      <c r="B74" s="50" t="s">
        <v>149</v>
      </c>
      <c r="C74" s="51"/>
      <c r="D74" s="52">
        <f>D71+D72+D73</f>
        <v>37990.049999999974</v>
      </c>
      <c r="E74" s="52">
        <f t="shared" ref="E74:L74" si="52">E71+E72+E73</f>
        <v>33535.289999999979</v>
      </c>
      <c r="F74" s="52">
        <f t="shared" si="52"/>
        <v>40207.970000000045</v>
      </c>
      <c r="G74" s="52">
        <f t="shared" si="52"/>
        <v>16462.829999999994</v>
      </c>
      <c r="H74" s="52">
        <f t="shared" si="52"/>
        <v>21899.370000000021</v>
      </c>
      <c r="I74" s="52">
        <f t="shared" si="52"/>
        <v>13560.94999999997</v>
      </c>
      <c r="J74" s="52">
        <f t="shared" si="52"/>
        <v>32522.199999999986</v>
      </c>
      <c r="K74" s="52">
        <f t="shared" si="52"/>
        <v>6120.7500000000146</v>
      </c>
      <c r="L74" s="52">
        <f t="shared" si="52"/>
        <v>29263.339999999971</v>
      </c>
      <c r="M74" s="47">
        <f>M71+M72+M73</f>
        <v>21907.341842438283</v>
      </c>
      <c r="N74" s="47">
        <f t="shared" ref="N74:Q74" si="53">N71+N72+N73</f>
        <v>23779.713583768349</v>
      </c>
      <c r="O74" s="47">
        <f t="shared" si="53"/>
        <v>24303.570807041076</v>
      </c>
      <c r="P74" s="47">
        <f t="shared" si="53"/>
        <v>24827.428030313797</v>
      </c>
      <c r="Q74" s="47">
        <f t="shared" si="53"/>
        <v>25351.285253586553</v>
      </c>
    </row>
    <row r="75" spans="2:17" x14ac:dyDescent="0.25">
      <c r="B75" s="14"/>
      <c r="C75" s="14"/>
      <c r="D75" s="47"/>
      <c r="E75" s="47"/>
      <c r="F75" s="47"/>
      <c r="G75" s="47"/>
      <c r="H75" s="47"/>
      <c r="I75" s="47"/>
      <c r="J75" s="47"/>
      <c r="K75" s="47"/>
      <c r="L75" s="47"/>
    </row>
    <row r="76" spans="2:17" x14ac:dyDescent="0.25">
      <c r="B76" s="49" t="s">
        <v>150</v>
      </c>
      <c r="C76" s="14"/>
      <c r="D76" s="47"/>
      <c r="E76" s="47"/>
      <c r="F76" s="47"/>
      <c r="G76" s="47"/>
      <c r="H76" s="47"/>
      <c r="I76" s="47"/>
      <c r="J76" s="47"/>
      <c r="K76" s="47"/>
      <c r="L76" s="47"/>
    </row>
    <row r="77" spans="2:17" x14ac:dyDescent="0.25">
      <c r="B77" s="14" t="s">
        <v>151</v>
      </c>
      <c r="C77" s="14"/>
      <c r="D77" s="47">
        <f>Assumptions!D51*-1</f>
        <v>-32776.450000000004</v>
      </c>
      <c r="E77" s="47">
        <f>Assumptions!E51*-1</f>
        <v>-35463.049999999988</v>
      </c>
      <c r="F77" s="47">
        <f>Assumptions!F51*-1</f>
        <v>-6617.3100000000086</v>
      </c>
      <c r="G77" s="47">
        <f>Assumptions!G51*-1</f>
        <v>-47023.369999999995</v>
      </c>
      <c r="H77" s="47">
        <f>Assumptions!H51*-1</f>
        <v>-13411.240000000002</v>
      </c>
      <c r="I77" s="47">
        <f>Assumptions!I51*-1</f>
        <v>-37298.1</v>
      </c>
      <c r="J77" s="47">
        <f>Assumptions!J51*-1</f>
        <v>-35147.179999999986</v>
      </c>
      <c r="K77" s="47">
        <f>Assumptions!K51*-1</f>
        <v>-24983.530000000024</v>
      </c>
      <c r="L77" s="47">
        <f>Assumptions!L51*-1</f>
        <v>-18084.669999999998</v>
      </c>
      <c r="M77" s="47">
        <f>Assumptions!M51*-1</f>
        <v>-16656.738239999948</v>
      </c>
      <c r="N77" s="47">
        <f>Assumptions!N51*-1</f>
        <v>-27679.663122424234</v>
      </c>
      <c r="O77" s="47">
        <f>Assumptions!O51*-1</f>
        <v>-28161.370913939372</v>
      </c>
      <c r="P77" s="47">
        <f>Assumptions!P51*-1</f>
        <v>-28643.078705454551</v>
      </c>
      <c r="Q77" s="47">
        <f>Assumptions!Q51*-1</f>
        <v>-29124.786496969708</v>
      </c>
    </row>
    <row r="78" spans="2:17" x14ac:dyDescent="0.25">
      <c r="B78" s="14" t="s">
        <v>163</v>
      </c>
      <c r="C78" s="14"/>
      <c r="D78" s="47">
        <f>Assumptions!D58*-1</f>
        <v>4622.4699999999975</v>
      </c>
      <c r="E78" s="47">
        <f>Assumptions!E58*-1</f>
        <v>2721.1500000000015</v>
      </c>
      <c r="F78" s="47">
        <f>Assumptions!F58*-1</f>
        <v>-7779.8999999999978</v>
      </c>
      <c r="G78" s="47">
        <f>Assumptions!G58*-1</f>
        <v>-6334.6600000000035</v>
      </c>
      <c r="H78" s="47">
        <f>Assumptions!H58*-1</f>
        <v>8149.66</v>
      </c>
      <c r="I78" s="47">
        <f>Assumptions!I58*-1</f>
        <v>-3738.4500000000007</v>
      </c>
      <c r="J78" s="47">
        <f>Assumptions!J58*-1</f>
        <v>14658.36</v>
      </c>
      <c r="K78" s="47">
        <f>Assumptions!K58*-1</f>
        <v>10712.84</v>
      </c>
      <c r="L78" s="47">
        <f>Assumptions!L58*-1</f>
        <v>-4023.41</v>
      </c>
      <c r="M78" s="47">
        <f>Assumptions!M58*-1</f>
        <v>-16712.270466666658</v>
      </c>
      <c r="N78" s="47">
        <f>Assumptions!N58*-1</f>
        <v>-602.13473939393953</v>
      </c>
      <c r="O78" s="47">
        <f>Assumptions!O58*-1</f>
        <v>-602.13473939393589</v>
      </c>
      <c r="P78" s="47">
        <f>Assumptions!P58*-1</f>
        <v>-602.13473939394316</v>
      </c>
      <c r="Q78" s="47">
        <f>Assumptions!Q58*-1</f>
        <v>-602.13473939394316</v>
      </c>
    </row>
    <row r="79" spans="2:17" x14ac:dyDescent="0.25">
      <c r="B79" s="14" t="s">
        <v>152</v>
      </c>
      <c r="C79" s="14"/>
      <c r="D79" s="47">
        <f>Assumptions!D63*-1</f>
        <v>-4650.07</v>
      </c>
      <c r="E79" s="47">
        <f>Assumptions!E63*-1</f>
        <v>-8430.2800000000007</v>
      </c>
      <c r="F79" s="47">
        <f>Assumptions!F63*-1</f>
        <v>3429.1000000000022</v>
      </c>
      <c r="G79" s="47">
        <f>Assumptions!G63*-1</f>
        <v>-474.83000000000175</v>
      </c>
      <c r="H79" s="47">
        <f>Assumptions!H63*-1</f>
        <v>5042.0300000000007</v>
      </c>
      <c r="I79" s="47">
        <f>Assumptions!I63*-1</f>
        <v>-537.76000000000022</v>
      </c>
      <c r="J79" s="47">
        <f>Assumptions!J63*-1</f>
        <v>-8311.7999999999993</v>
      </c>
      <c r="K79" s="47">
        <f>Assumptions!K63*-1</f>
        <v>-4759.25</v>
      </c>
      <c r="L79" s="47">
        <f>Assumptions!L63*-1</f>
        <v>3000.369999999999</v>
      </c>
      <c r="M79" s="47">
        <f>Assumptions!M63*-1</f>
        <v>556.85127777778689</v>
      </c>
      <c r="N79" s="47">
        <f>Assumptions!N63*-1</f>
        <v>-501.77894949495021</v>
      </c>
      <c r="O79" s="47">
        <f>Assumptions!O63*-1</f>
        <v>-501.77894949495021</v>
      </c>
      <c r="P79" s="47">
        <f>Assumptions!P63*-1</f>
        <v>-501.77894949494657</v>
      </c>
      <c r="Q79" s="47">
        <f>Assumptions!Q63*-1</f>
        <v>-501.77894949495385</v>
      </c>
    </row>
    <row r="80" spans="2:17" x14ac:dyDescent="0.25">
      <c r="B80" s="14" t="s">
        <v>153</v>
      </c>
      <c r="C80" s="14"/>
      <c r="D80" s="47">
        <f>Assumptions!D68*-1</f>
        <v>6937.0099999999948</v>
      </c>
      <c r="E80" s="47">
        <f>Assumptions!E68*-1</f>
        <v>1311.8100000000122</v>
      </c>
      <c r="F80" s="47">
        <f>Assumptions!F68*-1</f>
        <v>-7781.4200000000274</v>
      </c>
      <c r="G80" s="47">
        <f>Assumptions!G68*-1</f>
        <v>-10926.080000000002</v>
      </c>
      <c r="H80" s="47">
        <f>Assumptions!H68*-1</f>
        <v>-7868.8799999999756</v>
      </c>
      <c r="I80" s="47">
        <f>Assumptions!I68*-1</f>
        <v>-2629.2000000000116</v>
      </c>
      <c r="J80" s="47">
        <f>Assumptions!J68*-1</f>
        <v>-2933.0199999999895</v>
      </c>
      <c r="K80" s="47">
        <f>Assumptions!K68*-1</f>
        <v>-505.81000000002678</v>
      </c>
      <c r="L80" s="47">
        <f>Assumptions!L68*-1</f>
        <v>-6208.3199999999924</v>
      </c>
      <c r="M80" s="47">
        <f>Assumptions!M68*-1</f>
        <v>16787.472555555585</v>
      </c>
      <c r="N80" s="47">
        <f>Assumptions!N68*-1</f>
        <v>-1003.5578989899004</v>
      </c>
      <c r="O80" s="47">
        <f>Assumptions!O68*-1</f>
        <v>-1003.5578989899004</v>
      </c>
      <c r="P80" s="47">
        <f>Assumptions!P68*-1</f>
        <v>-1003.5578989898931</v>
      </c>
      <c r="Q80" s="47">
        <f>Assumptions!Q68*-1</f>
        <v>-1003.5578989899077</v>
      </c>
    </row>
    <row r="81" spans="2:17" x14ac:dyDescent="0.25">
      <c r="B81" s="50" t="s">
        <v>154</v>
      </c>
      <c r="C81" s="51"/>
      <c r="D81" s="52">
        <f>D77+D78+D79+D80</f>
        <v>-25867.040000000008</v>
      </c>
      <c r="E81" s="52">
        <f t="shared" ref="E81:L81" si="54">E77+E78+E79+E80</f>
        <v>-39860.369999999974</v>
      </c>
      <c r="F81" s="52">
        <f t="shared" si="54"/>
        <v>-18749.530000000032</v>
      </c>
      <c r="G81" s="52">
        <f t="shared" si="54"/>
        <v>-64758.94</v>
      </c>
      <c r="H81" s="52">
        <f t="shared" si="54"/>
        <v>-8088.4299999999766</v>
      </c>
      <c r="I81" s="52">
        <f t="shared" si="54"/>
        <v>-44203.510000000017</v>
      </c>
      <c r="J81" s="52">
        <f t="shared" si="54"/>
        <v>-31733.639999999974</v>
      </c>
      <c r="K81" s="52">
        <f t="shared" si="54"/>
        <v>-19535.750000000051</v>
      </c>
      <c r="L81" s="52">
        <f t="shared" si="54"/>
        <v>-25316.029999999992</v>
      </c>
      <c r="M81" s="47">
        <f>M77+M78+M79+M80</f>
        <v>-16024.68487333323</v>
      </c>
      <c r="N81" s="47">
        <f t="shared" ref="N81:Q81" si="55">N77+N78+N79+N80</f>
        <v>-29787.134710303024</v>
      </c>
      <c r="O81" s="47">
        <f t="shared" si="55"/>
        <v>-30268.842501818159</v>
      </c>
      <c r="P81" s="47">
        <f t="shared" si="55"/>
        <v>-30750.550293333334</v>
      </c>
      <c r="Q81" s="47">
        <f t="shared" si="55"/>
        <v>-31232.258084848512</v>
      </c>
    </row>
    <row r="82" spans="2:17" x14ac:dyDescent="0.25">
      <c r="B82" s="14"/>
      <c r="C82" s="14"/>
      <c r="D82" s="47"/>
      <c r="E82" s="47"/>
      <c r="F82" s="47"/>
      <c r="G82" s="47"/>
      <c r="H82" s="47"/>
      <c r="I82" s="47"/>
      <c r="J82" s="47"/>
      <c r="K82" s="47"/>
      <c r="L82" s="47"/>
    </row>
    <row r="83" spans="2:17" x14ac:dyDescent="0.25">
      <c r="B83" s="49" t="s">
        <v>155</v>
      </c>
      <c r="C83" s="14"/>
      <c r="D83" s="47"/>
      <c r="E83" s="47"/>
      <c r="F83" s="47"/>
      <c r="G83" s="47"/>
      <c r="H83" s="47"/>
      <c r="I83" s="47"/>
      <c r="J83" s="47"/>
      <c r="K83" s="47"/>
      <c r="L83" s="47"/>
    </row>
    <row r="84" spans="2:17" x14ac:dyDescent="0.25">
      <c r="B84" s="14" t="s">
        <v>156</v>
      </c>
      <c r="C84" s="14"/>
      <c r="D84" s="47">
        <f>Assumptions!D23</f>
        <v>0</v>
      </c>
      <c r="E84" s="47">
        <f>Assumptions!E23</f>
        <v>35.399999999999977</v>
      </c>
      <c r="F84" s="47">
        <f>Assumptions!F23</f>
        <v>4.0000000000077307E-2</v>
      </c>
      <c r="G84" s="47">
        <f>Assumptions!G23</f>
        <v>0</v>
      </c>
      <c r="H84" s="47">
        <f>Assumptions!H23</f>
        <v>0</v>
      </c>
      <c r="I84" s="47">
        <f>Assumptions!I23</f>
        <v>40.319999999999936</v>
      </c>
      <c r="J84" s="47">
        <f>Assumptions!J23</f>
        <v>46.269999999999982</v>
      </c>
      <c r="K84" s="47">
        <f>Assumptions!K23</f>
        <v>7.0000000000050022E-2</v>
      </c>
      <c r="L84" s="47">
        <f>Assumptions!L23</f>
        <v>0.13999999999998636</v>
      </c>
      <c r="M84" s="47">
        <f>Assumptions!M23</f>
        <v>0</v>
      </c>
      <c r="N84" s="47">
        <f>Assumptions!N23</f>
        <v>0</v>
      </c>
      <c r="O84" s="47">
        <f>Assumptions!O23</f>
        <v>0</v>
      </c>
      <c r="P84" s="47">
        <f>Assumptions!P23</f>
        <v>0</v>
      </c>
      <c r="Q84" s="47">
        <f>Assumptions!Q23</f>
        <v>0</v>
      </c>
    </row>
    <row r="85" spans="2:17" x14ac:dyDescent="0.25">
      <c r="B85" s="14" t="s">
        <v>157</v>
      </c>
      <c r="C85" s="14"/>
      <c r="D85" s="47">
        <f>Assumptions!D33</f>
        <v>-22687.14999999998</v>
      </c>
      <c r="E85" s="47">
        <f>Assumptions!E33</f>
        <v>8884.7500000000255</v>
      </c>
      <c r="F85" s="47">
        <f>Assumptions!F33</f>
        <v>-25085.020000000044</v>
      </c>
      <c r="G85" s="47">
        <f>Assumptions!G33</f>
        <v>36485.650000000009</v>
      </c>
      <c r="H85" s="47">
        <f>Assumptions!H33</f>
        <v>-33000.900000000023</v>
      </c>
      <c r="I85" s="47">
        <f>Assumptions!I33</f>
        <v>13068.09000000004</v>
      </c>
      <c r="J85" s="47">
        <f>Assumptions!J33</f>
        <v>-5112.2699999999859</v>
      </c>
      <c r="K85" s="47">
        <f>Assumptions!K33</f>
        <v>2973.1999999999862</v>
      </c>
      <c r="L85" s="47">
        <f>Assumptions!L33</f>
        <v>4734.510000000033</v>
      </c>
      <c r="M85" s="47">
        <f>Assumptions!M33</f>
        <v>0</v>
      </c>
      <c r="N85" s="47">
        <f>Assumptions!N33</f>
        <v>0</v>
      </c>
      <c r="O85" s="47">
        <f>Assumptions!O33</f>
        <v>0</v>
      </c>
      <c r="P85" s="47">
        <f>Assumptions!P33</f>
        <v>0</v>
      </c>
      <c r="Q85" s="47">
        <f>Assumptions!Q33</f>
        <v>0</v>
      </c>
    </row>
    <row r="86" spans="2:17" x14ac:dyDescent="0.25">
      <c r="B86" s="14" t="s">
        <v>158</v>
      </c>
      <c r="C86" s="14"/>
      <c r="D86" s="47">
        <f>Assumptions!D39</f>
        <v>12968.11</v>
      </c>
      <c r="E86" s="47">
        <f>Assumptions!E39</f>
        <v>-4250.429999999993</v>
      </c>
      <c r="F86" s="47">
        <f>Assumptions!F39</f>
        <v>9244.0199999999895</v>
      </c>
      <c r="G86" s="47">
        <f>Assumptions!G39</f>
        <v>10346.490000000005</v>
      </c>
      <c r="H86" s="47">
        <f>Assumptions!H39</f>
        <v>17224.869999999995</v>
      </c>
      <c r="I86" s="47">
        <f>Assumptions!I39</f>
        <v>18612.300000000003</v>
      </c>
      <c r="J86" s="47">
        <f>Assumptions!J39</f>
        <v>17342.930000000008</v>
      </c>
      <c r="K86" s="47">
        <f>Assumptions!K39</f>
        <v>4318.4599999999919</v>
      </c>
      <c r="L86" s="47">
        <f>Assumptions!L39</f>
        <v>-12335.589999999997</v>
      </c>
      <c r="M86" s="47">
        <f>Assumptions!M39</f>
        <v>0</v>
      </c>
      <c r="N86" s="47">
        <f>Assumptions!N39</f>
        <v>0</v>
      </c>
      <c r="O86" s="47">
        <f>Assumptions!O39</f>
        <v>0</v>
      </c>
      <c r="P86" s="47">
        <f>Assumptions!P39</f>
        <v>0</v>
      </c>
      <c r="Q86" s="47">
        <f>Assumptions!Q39</f>
        <v>0</v>
      </c>
    </row>
    <row r="87" spans="2:17" x14ac:dyDescent="0.25">
      <c r="B87" s="50" t="s">
        <v>159</v>
      </c>
      <c r="C87" s="51"/>
      <c r="D87" s="52">
        <f>D84+D85+D86</f>
        <v>-9719.039999999979</v>
      </c>
      <c r="E87" s="52">
        <f t="shared" ref="E87:L87" si="56">E84+E85+E86</f>
        <v>4669.7200000000321</v>
      </c>
      <c r="F87" s="52">
        <f t="shared" si="56"/>
        <v>-15840.960000000054</v>
      </c>
      <c r="G87" s="52">
        <f t="shared" si="56"/>
        <v>46832.140000000014</v>
      </c>
      <c r="H87" s="52">
        <f t="shared" si="56"/>
        <v>-15776.030000000028</v>
      </c>
      <c r="I87" s="52">
        <f t="shared" si="56"/>
        <v>31720.710000000043</v>
      </c>
      <c r="J87" s="52">
        <f t="shared" si="56"/>
        <v>12276.930000000022</v>
      </c>
      <c r="K87" s="52">
        <f t="shared" si="56"/>
        <v>7291.7299999999777</v>
      </c>
      <c r="L87" s="52">
        <f t="shared" si="56"/>
        <v>-7600.9399999999632</v>
      </c>
      <c r="M87" s="47">
        <f>M84+M85+M86</f>
        <v>0</v>
      </c>
      <c r="N87" s="47">
        <f t="shared" ref="N87:Q87" si="57">N84+N85+N86</f>
        <v>0</v>
      </c>
      <c r="O87" s="47">
        <f t="shared" si="57"/>
        <v>0</v>
      </c>
      <c r="P87" s="47">
        <f t="shared" si="57"/>
        <v>0</v>
      </c>
      <c r="Q87" s="47">
        <f t="shared" si="57"/>
        <v>0</v>
      </c>
    </row>
    <row r="88" spans="2:17" x14ac:dyDescent="0.25">
      <c r="B88" s="14"/>
      <c r="C88" s="14"/>
      <c r="D88" s="47"/>
      <c r="E88" s="47"/>
      <c r="F88" s="47"/>
      <c r="G88" s="47"/>
      <c r="H88" s="47"/>
      <c r="I88" s="47"/>
      <c r="J88" s="47"/>
      <c r="K88" s="47"/>
      <c r="L88" s="47"/>
    </row>
    <row r="89" spans="2:17" x14ac:dyDescent="0.25">
      <c r="B89" s="14" t="s">
        <v>160</v>
      </c>
      <c r="C89" s="14"/>
      <c r="D89" s="47">
        <f>D74+D81+D87</f>
        <v>2403.9699999999866</v>
      </c>
      <c r="E89" s="47">
        <f t="shared" ref="E89:L89" si="58">E74+E81+E87</f>
        <v>-1655.3599999999624</v>
      </c>
      <c r="F89" s="47">
        <f t="shared" si="58"/>
        <v>5617.4799999999595</v>
      </c>
      <c r="G89" s="47">
        <f t="shared" si="58"/>
        <v>-1463.9699999999939</v>
      </c>
      <c r="H89" s="47">
        <f t="shared" si="58"/>
        <v>-1965.0899999999838</v>
      </c>
      <c r="I89" s="47">
        <f t="shared" si="58"/>
        <v>1078.1499999999942</v>
      </c>
      <c r="J89" s="47">
        <f t="shared" si="58"/>
        <v>13065.490000000034</v>
      </c>
      <c r="K89" s="47">
        <f t="shared" si="58"/>
        <v>-6123.2700000000586</v>
      </c>
      <c r="L89" s="47">
        <f t="shared" si="58"/>
        <v>-3653.6299999999837</v>
      </c>
      <c r="M89" s="47">
        <f>M74+M81+M87</f>
        <v>5882.6569691050536</v>
      </c>
      <c r="N89" s="47">
        <f t="shared" ref="N89:Q89" si="59">N74+N81+N87</f>
        <v>-6007.4211265346748</v>
      </c>
      <c r="O89" s="47">
        <f t="shared" si="59"/>
        <v>-5965.2716947770823</v>
      </c>
      <c r="P89" s="47">
        <f t="shared" si="59"/>
        <v>-5923.1222630195371</v>
      </c>
      <c r="Q89" s="47">
        <f t="shared" si="59"/>
        <v>-5880.9728312619591</v>
      </c>
    </row>
    <row r="90" spans="2:17" x14ac:dyDescent="0.25">
      <c r="B90" s="14" t="s">
        <v>161</v>
      </c>
      <c r="C90" s="14"/>
      <c r="D90" s="47">
        <f>C61</f>
        <v>29711.79</v>
      </c>
      <c r="E90" s="47">
        <f t="shared" ref="E90:L90" si="60">D61</f>
        <v>32115.759999999998</v>
      </c>
      <c r="F90" s="47">
        <f t="shared" si="60"/>
        <v>30460.400000000001</v>
      </c>
      <c r="G90" s="47">
        <f t="shared" si="60"/>
        <v>36077.879999999997</v>
      </c>
      <c r="H90" s="47">
        <f t="shared" si="60"/>
        <v>34613.910000000003</v>
      </c>
      <c r="I90" s="47">
        <f t="shared" si="60"/>
        <v>32648.82</v>
      </c>
      <c r="J90" s="47">
        <f t="shared" si="60"/>
        <v>33726.97</v>
      </c>
      <c r="K90" s="47">
        <f t="shared" si="60"/>
        <v>46792.46</v>
      </c>
      <c r="L90" s="47">
        <f t="shared" si="60"/>
        <v>40669.19</v>
      </c>
      <c r="M90" s="47">
        <f>L91</f>
        <v>37015.560000000019</v>
      </c>
      <c r="N90" s="47">
        <f t="shared" ref="N90:Q90" si="61">M91</f>
        <v>42898.216969105073</v>
      </c>
      <c r="O90" s="47">
        <f t="shared" si="61"/>
        <v>36890.795842570398</v>
      </c>
      <c r="P90" s="47">
        <f t="shared" si="61"/>
        <v>30925.524147793316</v>
      </c>
      <c r="Q90" s="47">
        <f t="shared" si="61"/>
        <v>25002.401884773779</v>
      </c>
    </row>
    <row r="91" spans="2:17" x14ac:dyDescent="0.25">
      <c r="B91" s="50" t="s">
        <v>162</v>
      </c>
      <c r="C91" s="51"/>
      <c r="D91" s="52">
        <f>D89+D90</f>
        <v>32115.759999999987</v>
      </c>
      <c r="E91" s="52">
        <f t="shared" ref="E91:L91" si="62">E89+E90</f>
        <v>30460.400000000038</v>
      </c>
      <c r="F91" s="52">
        <f t="shared" si="62"/>
        <v>36077.879999999961</v>
      </c>
      <c r="G91" s="52">
        <f t="shared" si="62"/>
        <v>34613.910000000003</v>
      </c>
      <c r="H91" s="52">
        <f t="shared" si="62"/>
        <v>32648.820000000022</v>
      </c>
      <c r="I91" s="52">
        <f t="shared" si="62"/>
        <v>33726.969999999994</v>
      </c>
      <c r="J91" s="52">
        <f t="shared" si="62"/>
        <v>46792.460000000036</v>
      </c>
      <c r="K91" s="52">
        <f t="shared" si="62"/>
        <v>40669.189999999944</v>
      </c>
      <c r="L91" s="52">
        <f t="shared" si="62"/>
        <v>37015.560000000019</v>
      </c>
      <c r="M91" s="47">
        <f>M89+M90</f>
        <v>42898.216969105073</v>
      </c>
      <c r="N91" s="47">
        <f t="shared" ref="N91:Q91" si="63">N89+N90</f>
        <v>36890.795842570398</v>
      </c>
      <c r="O91" s="47">
        <f t="shared" si="63"/>
        <v>30925.524147793316</v>
      </c>
      <c r="P91" s="47">
        <f t="shared" si="63"/>
        <v>25002.401884773779</v>
      </c>
      <c r="Q91" s="47">
        <f t="shared" si="63"/>
        <v>19121.42905351182</v>
      </c>
    </row>
    <row r="92" spans="2:17" x14ac:dyDescent="0.25">
      <c r="B92" s="14"/>
      <c r="C92" s="14"/>
      <c r="D92" s="47"/>
      <c r="E92" s="47"/>
      <c r="F92" s="47"/>
      <c r="G92" s="47"/>
      <c r="H92" s="47"/>
      <c r="I92" s="47"/>
      <c r="J92" s="47"/>
      <c r="K92" s="47"/>
      <c r="L92" s="47"/>
    </row>
    <row r="93" spans="2:17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2:17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</sheetData>
  <mergeCells count="8">
    <mergeCell ref="M2:Q2"/>
    <mergeCell ref="M46:Q46"/>
    <mergeCell ref="M5:Q5"/>
    <mergeCell ref="M69:Q69"/>
    <mergeCell ref="B2:L2"/>
    <mergeCell ref="B5:L5"/>
    <mergeCell ref="B46:L46"/>
    <mergeCell ref="B69:L69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D064-7D76-4D8A-963A-DAC8F1702D7C}">
  <dimension ref="B2:O23"/>
  <sheetViews>
    <sheetView showGridLines="0" workbookViewId="0">
      <selection activeCell="G8" sqref="G8"/>
    </sheetView>
  </sheetViews>
  <sheetFormatPr defaultRowHeight="15" x14ac:dyDescent="0.25"/>
  <cols>
    <col min="1" max="1" width="1.85546875" customWidth="1"/>
    <col min="2" max="2" width="11.7109375" bestFit="1" customWidth="1"/>
    <col min="3" max="4" width="12" bestFit="1" customWidth="1"/>
    <col min="5" max="5" width="13.140625" bestFit="1" customWidth="1"/>
    <col min="6" max="7" width="12" bestFit="1" customWidth="1"/>
    <col min="8" max="8" width="6.28515625" bestFit="1" customWidth="1"/>
    <col min="9" max="9" width="8.140625" bestFit="1" customWidth="1"/>
    <col min="10" max="10" width="13.140625" bestFit="1" customWidth="1"/>
    <col min="11" max="11" width="2.7109375" customWidth="1"/>
    <col min="12" max="12" width="11.7109375" bestFit="1" customWidth="1"/>
    <col min="13" max="13" width="6.28515625" bestFit="1" customWidth="1"/>
    <col min="14" max="14" width="8.140625" bestFit="1" customWidth="1"/>
    <col min="15" max="15" width="13.140625" bestFit="1" customWidth="1"/>
  </cols>
  <sheetData>
    <row r="2" spans="2:15" x14ac:dyDescent="0.25">
      <c r="B2" s="57" t="str">
        <f>'Data Sheet'!$B$1&amp;" - "&amp;'Data Sheet'!A17&amp;" Forecasting"</f>
        <v>TATA MOTORS LTD - Sales Forecasting</v>
      </c>
      <c r="C2" s="57"/>
      <c r="D2" s="57"/>
      <c r="E2" s="57"/>
      <c r="G2" s="57"/>
      <c r="H2" s="57"/>
      <c r="I2" s="57"/>
      <c r="J2" s="57"/>
      <c r="L2" s="57"/>
      <c r="M2" s="57"/>
      <c r="N2" s="57"/>
      <c r="O2" s="57"/>
    </row>
    <row r="3" spans="2:15" x14ac:dyDescent="0.25">
      <c r="B3" s="37" t="s">
        <v>122</v>
      </c>
      <c r="C3" s="38" t="s">
        <v>55</v>
      </c>
      <c r="D3" s="38" t="s">
        <v>2</v>
      </c>
      <c r="E3" s="38" t="s">
        <v>123</v>
      </c>
      <c r="G3" s="65"/>
      <c r="H3" s="66"/>
      <c r="I3" s="66"/>
      <c r="J3" s="66"/>
      <c r="K3" s="67"/>
      <c r="L3" s="65"/>
      <c r="M3" s="66"/>
      <c r="N3" s="66"/>
      <c r="O3" s="66"/>
    </row>
    <row r="4" spans="2:15" x14ac:dyDescent="0.25">
      <c r="B4" s="36">
        <v>1</v>
      </c>
      <c r="C4" s="40">
        <f>'Data Sheet'!$B$16</f>
        <v>41729</v>
      </c>
      <c r="D4" s="41">
        <f t="array" ref="D4:D13">TRANSPOSE('Data Sheet'!B17:K17)</f>
        <v>232833.66</v>
      </c>
      <c r="G4" s="36"/>
      <c r="H4" s="40"/>
      <c r="I4" s="41"/>
      <c r="L4" s="36"/>
      <c r="M4" s="40"/>
      <c r="N4" s="41"/>
    </row>
    <row r="5" spans="2:15" x14ac:dyDescent="0.25">
      <c r="B5" s="36">
        <f>B4+1</f>
        <v>2</v>
      </c>
      <c r="C5" s="40">
        <f>C4+365</f>
        <v>42094</v>
      </c>
      <c r="D5" s="41">
        <v>263158.98</v>
      </c>
      <c r="E5" s="35">
        <f>D5/D4-1</f>
        <v>0.13024457030826198</v>
      </c>
      <c r="G5" s="36"/>
      <c r="H5" s="40"/>
      <c r="I5" s="41"/>
      <c r="J5" s="35"/>
      <c r="L5" s="36"/>
      <c r="M5" s="40"/>
      <c r="N5" s="41"/>
      <c r="O5" s="35"/>
    </row>
    <row r="6" spans="2:15" x14ac:dyDescent="0.25">
      <c r="B6" s="36">
        <f t="shared" ref="B6:B18" si="0">B5+1</f>
        <v>3</v>
      </c>
      <c r="C6" s="40">
        <f t="shared" ref="C6:C18" si="1">C5+365</f>
        <v>42459</v>
      </c>
      <c r="D6" s="41">
        <v>273045.59999999998</v>
      </c>
      <c r="E6" s="35">
        <f t="shared" ref="E6:E18" si="2">D6/D5-1</f>
        <v>3.75690010654397E-2</v>
      </c>
      <c r="G6" s="36"/>
      <c r="H6" s="40"/>
      <c r="I6" s="41"/>
      <c r="J6" s="35"/>
      <c r="L6" s="36"/>
      <c r="M6" s="40"/>
      <c r="N6" s="41"/>
      <c r="O6" s="35"/>
    </row>
    <row r="7" spans="2:15" x14ac:dyDescent="0.25">
      <c r="B7" s="36">
        <f t="shared" si="0"/>
        <v>4</v>
      </c>
      <c r="C7" s="40">
        <f t="shared" si="1"/>
        <v>42824</v>
      </c>
      <c r="D7" s="41">
        <v>269692.51</v>
      </c>
      <c r="E7" s="35">
        <f t="shared" si="2"/>
        <v>-1.2280329732469508E-2</v>
      </c>
      <c r="G7" s="36"/>
      <c r="H7" s="40"/>
      <c r="I7" s="41"/>
      <c r="J7" s="35"/>
      <c r="L7" s="36"/>
      <c r="M7" s="40"/>
      <c r="N7" s="41"/>
      <c r="O7" s="35"/>
    </row>
    <row r="8" spans="2:15" x14ac:dyDescent="0.25">
      <c r="B8" s="36">
        <f t="shared" si="0"/>
        <v>5</v>
      </c>
      <c r="C8" s="40">
        <f t="shared" si="1"/>
        <v>43189</v>
      </c>
      <c r="D8" s="41">
        <v>291550.48</v>
      </c>
      <c r="E8" s="35">
        <f t="shared" si="2"/>
        <v>8.104774581985974E-2</v>
      </c>
      <c r="G8" s="36"/>
      <c r="H8" s="40"/>
      <c r="I8" s="41"/>
      <c r="J8" s="35"/>
      <c r="L8" s="36"/>
      <c r="M8" s="40"/>
      <c r="N8" s="41"/>
      <c r="O8" s="35"/>
    </row>
    <row r="9" spans="2:15" x14ac:dyDescent="0.25">
      <c r="B9" s="36">
        <f t="shared" si="0"/>
        <v>6</v>
      </c>
      <c r="C9" s="40">
        <f t="shared" si="1"/>
        <v>43554</v>
      </c>
      <c r="D9" s="41">
        <v>301938.40000000002</v>
      </c>
      <c r="E9" s="35">
        <f t="shared" si="2"/>
        <v>3.5629919045237157E-2</v>
      </c>
      <c r="G9" s="36"/>
      <c r="H9" s="40"/>
      <c r="I9" s="41"/>
      <c r="J9" s="35"/>
      <c r="L9" s="36"/>
      <c r="M9" s="40"/>
      <c r="N9" s="41"/>
      <c r="O9" s="35"/>
    </row>
    <row r="10" spans="2:15" x14ac:dyDescent="0.25">
      <c r="B10" s="36">
        <f t="shared" si="0"/>
        <v>7</v>
      </c>
      <c r="C10" s="40">
        <f t="shared" si="1"/>
        <v>43919</v>
      </c>
      <c r="D10" s="41">
        <v>261067.97</v>
      </c>
      <c r="E10" s="35">
        <f t="shared" si="2"/>
        <v>-0.135360159555724</v>
      </c>
      <c r="G10" s="36"/>
      <c r="H10" s="40"/>
      <c r="I10" s="41"/>
      <c r="J10" s="35"/>
      <c r="L10" s="36"/>
      <c r="M10" s="40"/>
      <c r="N10" s="41"/>
      <c r="O10" s="35"/>
    </row>
    <row r="11" spans="2:15" x14ac:dyDescent="0.25">
      <c r="B11" s="36">
        <f t="shared" si="0"/>
        <v>8</v>
      </c>
      <c r="C11" s="40">
        <f t="shared" si="1"/>
        <v>44284</v>
      </c>
      <c r="D11" s="41">
        <v>249794.75</v>
      </c>
      <c r="E11" s="35">
        <f t="shared" si="2"/>
        <v>-4.3181168490336042E-2</v>
      </c>
      <c r="G11" s="36"/>
      <c r="H11" s="40"/>
      <c r="I11" s="41"/>
      <c r="J11" s="35"/>
      <c r="L11" s="36"/>
      <c r="M11" s="40"/>
      <c r="N11" s="41"/>
      <c r="O11" s="35"/>
    </row>
    <row r="12" spans="2:15" x14ac:dyDescent="0.25">
      <c r="B12" s="36">
        <f t="shared" si="0"/>
        <v>9</v>
      </c>
      <c r="C12" s="40">
        <f t="shared" si="1"/>
        <v>44649</v>
      </c>
      <c r="D12" s="41">
        <v>278453.62</v>
      </c>
      <c r="E12" s="35">
        <f t="shared" si="2"/>
        <v>0.11472967306158344</v>
      </c>
      <c r="G12" s="36"/>
      <c r="H12" s="40"/>
      <c r="I12" s="41"/>
      <c r="J12" s="35"/>
      <c r="L12" s="36"/>
      <c r="M12" s="40"/>
      <c r="N12" s="41"/>
      <c r="O12" s="35"/>
    </row>
    <row r="13" spans="2:15" x14ac:dyDescent="0.25">
      <c r="B13" s="36">
        <f t="shared" si="0"/>
        <v>10</v>
      </c>
      <c r="C13" s="40">
        <f t="shared" si="1"/>
        <v>45014</v>
      </c>
      <c r="D13" s="41">
        <v>345966.97</v>
      </c>
      <c r="E13" s="35">
        <f t="shared" si="2"/>
        <v>0.24245815155859707</v>
      </c>
      <c r="G13" s="36"/>
      <c r="H13" s="40"/>
      <c r="I13" s="41"/>
      <c r="J13" s="35"/>
      <c r="L13" s="36"/>
      <c r="M13" s="40"/>
      <c r="N13" s="41"/>
      <c r="O13" s="35"/>
    </row>
    <row r="14" spans="2:15" x14ac:dyDescent="0.25">
      <c r="B14" s="42">
        <f t="shared" si="0"/>
        <v>11</v>
      </c>
      <c r="C14" s="43">
        <f t="shared" si="1"/>
        <v>45379</v>
      </c>
      <c r="D14" s="44">
        <f>FORECAST(B14,$D$4:$D$13,$B$4:$B$13)</f>
        <v>309867.70466666657</v>
      </c>
      <c r="E14" s="45">
        <f t="shared" si="2"/>
        <v>-0.10434309764696148</v>
      </c>
      <c r="G14" s="68"/>
      <c r="H14" s="69"/>
      <c r="I14" s="70"/>
      <c r="J14" s="71"/>
      <c r="K14" s="67"/>
      <c r="L14" s="68"/>
      <c r="M14" s="69"/>
      <c r="N14" s="70"/>
      <c r="O14" s="71"/>
    </row>
    <row r="15" spans="2:15" x14ac:dyDescent="0.25">
      <c r="B15" s="42">
        <f t="shared" si="0"/>
        <v>12</v>
      </c>
      <c r="C15" s="43">
        <f t="shared" si="1"/>
        <v>45744</v>
      </c>
      <c r="D15" s="44">
        <f t="shared" ref="D15:D18" si="3">FORECAST(B15,$D$4:$D$13,$B$4:$B$13)</f>
        <v>315889.05206060596</v>
      </c>
      <c r="E15" s="45">
        <f t="shared" si="2"/>
        <v>1.9431994051838153E-2</v>
      </c>
      <c r="G15" s="68"/>
      <c r="H15" s="69"/>
      <c r="I15" s="70"/>
      <c r="J15" s="71"/>
      <c r="K15" s="67"/>
      <c r="L15" s="68"/>
      <c r="M15" s="69"/>
      <c r="N15" s="70"/>
      <c r="O15" s="71"/>
    </row>
    <row r="16" spans="2:15" x14ac:dyDescent="0.25">
      <c r="B16" s="42">
        <f t="shared" si="0"/>
        <v>13</v>
      </c>
      <c r="C16" s="43">
        <f t="shared" si="1"/>
        <v>46109</v>
      </c>
      <c r="D16" s="44">
        <f t="shared" si="3"/>
        <v>321910.39945454535</v>
      </c>
      <c r="E16" s="45">
        <f t="shared" si="2"/>
        <v>1.90615893607613E-2</v>
      </c>
      <c r="G16" s="68"/>
      <c r="H16" s="69"/>
      <c r="I16" s="70"/>
      <c r="J16" s="71"/>
      <c r="K16" s="67"/>
      <c r="L16" s="68"/>
      <c r="M16" s="69"/>
      <c r="N16" s="70"/>
      <c r="O16" s="71"/>
    </row>
    <row r="17" spans="2:15" x14ac:dyDescent="0.25">
      <c r="B17" s="42">
        <f t="shared" si="0"/>
        <v>14</v>
      </c>
      <c r="C17" s="43">
        <f t="shared" si="1"/>
        <v>46474</v>
      </c>
      <c r="D17" s="44">
        <f t="shared" si="3"/>
        <v>327931.74684848473</v>
      </c>
      <c r="E17" s="45">
        <f t="shared" si="2"/>
        <v>1.8705041539950784E-2</v>
      </c>
      <c r="G17" s="68"/>
      <c r="H17" s="69"/>
      <c r="I17" s="70"/>
      <c r="J17" s="71"/>
      <c r="K17" s="67"/>
      <c r="L17" s="68"/>
      <c r="M17" s="69"/>
      <c r="N17" s="70"/>
      <c r="O17" s="71"/>
    </row>
    <row r="18" spans="2:15" x14ac:dyDescent="0.25">
      <c r="B18" s="42">
        <f t="shared" si="0"/>
        <v>15</v>
      </c>
      <c r="C18" s="43">
        <f t="shared" si="1"/>
        <v>46839</v>
      </c>
      <c r="D18" s="44">
        <f t="shared" si="3"/>
        <v>333953.09424242418</v>
      </c>
      <c r="E18" s="45">
        <f t="shared" si="2"/>
        <v>1.8361587287007985E-2</v>
      </c>
      <c r="G18" s="68"/>
      <c r="H18" s="69"/>
      <c r="I18" s="70"/>
      <c r="J18" s="71"/>
      <c r="K18" s="67"/>
      <c r="L18" s="68"/>
      <c r="M18" s="69"/>
      <c r="N18" s="70"/>
      <c r="O18" s="71"/>
    </row>
    <row r="19" spans="2:15" x14ac:dyDescent="0.25">
      <c r="B19" s="36"/>
      <c r="C19" s="39"/>
    </row>
    <row r="20" spans="2:15" x14ac:dyDescent="0.25">
      <c r="B20" s="36"/>
      <c r="C20" s="39"/>
    </row>
    <row r="22" spans="2:15" x14ac:dyDescent="0.25">
      <c r="C22" t="s">
        <v>164</v>
      </c>
      <c r="D22" t="s">
        <v>165</v>
      </c>
      <c r="E22" t="s">
        <v>166</v>
      </c>
      <c r="F22" t="s">
        <v>167</v>
      </c>
      <c r="G22" t="s">
        <v>168</v>
      </c>
    </row>
    <row r="23" spans="2:15" x14ac:dyDescent="0.25">
      <c r="C23">
        <v>309867.70466666657</v>
      </c>
      <c r="D23">
        <v>315889.05206060596</v>
      </c>
      <c r="E23">
        <v>321910.39945454535</v>
      </c>
      <c r="F23">
        <v>327931.74684848473</v>
      </c>
      <c r="G23">
        <v>333953.09424242418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32A9-C32C-4B78-A971-8AB539994CFA}">
  <dimension ref="B2:O40"/>
  <sheetViews>
    <sheetView showGridLines="0"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1.85546875" customWidth="1"/>
    <col min="2" max="2" width="28.85546875" bestFit="1" customWidth="1"/>
    <col min="3" max="3" width="8.42578125" bestFit="1" customWidth="1"/>
    <col min="4" max="4" width="8.85546875" bestFit="1" customWidth="1"/>
    <col min="5" max="5" width="8.42578125" bestFit="1" customWidth="1"/>
    <col min="6" max="6" width="8.85546875" bestFit="1" customWidth="1"/>
    <col min="7" max="7" width="8.42578125" bestFit="1" customWidth="1"/>
    <col min="8" max="8" width="8.85546875" bestFit="1" customWidth="1"/>
    <col min="9" max="9" width="8.42578125" bestFit="1" customWidth="1"/>
    <col min="10" max="10" width="8.85546875" bestFit="1" customWidth="1"/>
    <col min="11" max="11" width="9.85546875" bestFit="1" customWidth="1"/>
    <col min="12" max="12" width="8.42578125" bestFit="1" customWidth="1"/>
    <col min="13" max="13" width="14.7109375" customWidth="1"/>
    <col min="14" max="15" width="10.140625" bestFit="1" customWidth="1"/>
  </cols>
  <sheetData>
    <row r="2" spans="2:15" x14ac:dyDescent="0.25">
      <c r="B2" s="56" t="str">
        <f>"Ratio Analisis - " &amp;'Data Sheet'!B1</f>
        <v>Ratio Analisis - TATA MOTORS LTD</v>
      </c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2:15" x14ac:dyDescent="0.25">
      <c r="B3" s="6" t="s">
        <v>55</v>
      </c>
      <c r="C3" s="7">
        <f>'Data Sheet'!B16</f>
        <v>41729</v>
      </c>
      <c r="D3" s="7">
        <f>'Data Sheet'!C16</f>
        <v>42094</v>
      </c>
      <c r="E3" s="7">
        <f>'Data Sheet'!D16</f>
        <v>42460</v>
      </c>
      <c r="F3" s="7">
        <f>'Data Sheet'!E16</f>
        <v>42825</v>
      </c>
      <c r="G3" s="7">
        <f>'Data Sheet'!F16</f>
        <v>43190</v>
      </c>
      <c r="H3" s="7">
        <f>'Data Sheet'!G16</f>
        <v>43555</v>
      </c>
      <c r="I3" s="7">
        <f>'Data Sheet'!H16</f>
        <v>43921</v>
      </c>
      <c r="J3" s="7">
        <f>'Data Sheet'!I16</f>
        <v>44286</v>
      </c>
      <c r="K3" s="7">
        <f>'Data Sheet'!J16</f>
        <v>44651</v>
      </c>
      <c r="L3" s="7">
        <f>'Data Sheet'!K16</f>
        <v>45016</v>
      </c>
      <c r="M3" s="34" t="s">
        <v>121</v>
      </c>
      <c r="N3" s="34" t="s">
        <v>119</v>
      </c>
      <c r="O3" s="7" t="s">
        <v>120</v>
      </c>
    </row>
    <row r="4" spans="2:15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N4" s="35"/>
    </row>
    <row r="5" spans="2:15" x14ac:dyDescent="0.25">
      <c r="B5" s="22" t="s">
        <v>89</v>
      </c>
      <c r="C5" s="22"/>
      <c r="D5" s="23">
        <f>IFERROR('Historical FS'!D7,0)</f>
        <v>0.13024457030826198</v>
      </c>
      <c r="E5" s="23">
        <f>IFERROR('Historical FS'!E7,0)</f>
        <v>3.75690010654397E-2</v>
      </c>
      <c r="F5" s="23">
        <f>IFERROR('Historical FS'!F7,0)</f>
        <v>-1.2280329732469508E-2</v>
      </c>
      <c r="G5" s="23">
        <f>IFERROR('Historical FS'!G7,0)</f>
        <v>8.104774581985974E-2</v>
      </c>
      <c r="H5" s="23">
        <f>IFERROR('Historical FS'!H7,0)</f>
        <v>3.5629919045237157E-2</v>
      </c>
      <c r="I5" s="23">
        <f>IFERROR('Historical FS'!I7,0)</f>
        <v>-0.135360159555724</v>
      </c>
      <c r="J5" s="23">
        <f>IFERROR('Historical FS'!J7,0)</f>
        <v>-4.3181168490336042E-2</v>
      </c>
      <c r="K5" s="23">
        <f>IFERROR('Historical FS'!K7,0)</f>
        <v>0.11472967306158344</v>
      </c>
      <c r="L5" s="23">
        <f>IFERROR('Historical FS'!L7,0)</f>
        <v>0.24245815155859707</v>
      </c>
      <c r="M5" s="22"/>
      <c r="N5" s="23">
        <f>IFERROR(AVERAGE(D5:L5),0)</f>
        <v>5.0095267008938835E-2</v>
      </c>
      <c r="O5" s="23">
        <f>IFERROR(MEDIAN(C5:L5),0)</f>
        <v>3.75690010654397E-2</v>
      </c>
    </row>
    <row r="6" spans="2:15" x14ac:dyDescent="0.25">
      <c r="B6" t="s">
        <v>90</v>
      </c>
      <c r="D6" s="24">
        <f>IFERROR('Historical FS'!D18/'Historical FS'!C18-1,0)</f>
        <v>0.12582115468924693</v>
      </c>
      <c r="E6" s="24">
        <f>IFERROR('Historical FS'!E18/'Historical FS'!D18-1,0)</f>
        <v>-2.1494113584437979E-2</v>
      </c>
      <c r="F6" s="24">
        <f>IFERROR('Historical FS'!F18/'Historical FS'!E18-1,0)</f>
        <v>-0.22936587208052905</v>
      </c>
      <c r="G6" s="24">
        <f>IFERROR('Historical FS'!G18/'Historical FS'!F18-1,0)</f>
        <v>6.3165689322506102E-2</v>
      </c>
      <c r="H6" s="24">
        <f>IFERROR('Historical FS'!H18/'Historical FS'!G18-1,0)</f>
        <v>-0.21595203460649259</v>
      </c>
      <c r="I6" s="24">
        <f>IFERROR('Historical FS'!I18/'Historical FS'!H18-1,0)</f>
        <v>-0.27072537547138131</v>
      </c>
      <c r="J6" s="24">
        <f>IFERROR('Historical FS'!J18/'Historical FS'!I18-1,0)</f>
        <v>0.79503554497758966</v>
      </c>
      <c r="K6" s="24">
        <f>IFERROR('Historical FS'!K18/'Historical FS'!J18-1,0)</f>
        <v>-0.234374182150762</v>
      </c>
      <c r="L6" s="24">
        <f>IFERROR('Historical FS'!L18/'Historical FS'!K18-1,0)</f>
        <v>0.28704223973294352</v>
      </c>
      <c r="N6" s="24">
        <f t="shared" ref="N6:N9" si="0">IFERROR(AVERAGE(D6:L6),0)</f>
        <v>3.3239227869853699E-2</v>
      </c>
      <c r="O6" s="24">
        <f t="shared" ref="O6:O40" si="1">IFERROR(MEDIAN(C6:L6),0)</f>
        <v>-2.1494113584437979E-2</v>
      </c>
    </row>
    <row r="7" spans="2:15" x14ac:dyDescent="0.25">
      <c r="B7" t="s">
        <v>91</v>
      </c>
      <c r="D7" s="24">
        <f>IFERROR('Historical FS'!D27/'Historical FS'!C27-1,0)</f>
        <v>0.103163815795007</v>
      </c>
      <c r="E7" s="24">
        <f>IFERROR('Historical FS'!E27/'Historical FS'!D27-1,0)</f>
        <v>-0.19978245260625749</v>
      </c>
      <c r="F7" s="24">
        <f>IFERROR('Historical FS'!F27/'Historical FS'!E27-1,0)</f>
        <v>-0.55668251823863213</v>
      </c>
      <c r="G7" s="24">
        <f>IFERROR('Historical FS'!G27/'Historical FS'!F27-1,0)</f>
        <v>-0.29861436616351744</v>
      </c>
      <c r="H7" s="24">
        <f>IFERROR('Historical FS'!H27/'Historical FS'!G27-1,0)</f>
        <v>-1.897095149646705</v>
      </c>
      <c r="I7" s="24">
        <f>IFERROR('Historical FS'!I27/'Historical FS'!H27-1,0)</f>
        <v>1.2800251873039095</v>
      </c>
      <c r="J7" s="24">
        <f>IFERROR('Historical FS'!J27/'Historical FS'!I27-1,0)</f>
        <v>-1.0602479570180365</v>
      </c>
      <c r="K7" s="24">
        <f>IFERROR('Historical FS'!K27/'Historical FS'!J27-1,0)</f>
        <v>-15.64914925025267</v>
      </c>
      <c r="L7" s="24">
        <f>IFERROR('Historical FS'!L27/'Historical FS'!K27-1,0)</f>
        <v>-0.65313668793078505</v>
      </c>
      <c r="N7" s="24">
        <f t="shared" si="0"/>
        <v>-2.1035021531952989</v>
      </c>
      <c r="O7" s="24">
        <f t="shared" si="1"/>
        <v>-0.55668251823863213</v>
      </c>
    </row>
    <row r="8" spans="2:15" x14ac:dyDescent="0.25">
      <c r="B8" t="s">
        <v>92</v>
      </c>
      <c r="D8" s="24">
        <f>IFERROR('Historical FS'!D33/'Historical FS'!C33-1,0)</f>
        <v>-6.4185676009415382E-2</v>
      </c>
      <c r="E8" s="24">
        <f>IFERROR('Historical FS'!E33/'Historical FS'!D33-1,0)</f>
        <v>3.1824673563310757E-2</v>
      </c>
      <c r="F8" s="24">
        <f>IFERROR('Historical FS'!F33/'Historical FS'!E33-1,0)</f>
        <v>-0.69539895165986787</v>
      </c>
      <c r="G8" s="24">
        <f>IFERROR('Historical FS'!G33/'Historical FS'!F33-1,0)</f>
        <v>-0.79011124197155724</v>
      </c>
      <c r="H8" s="24">
        <f>IFERROR('Historical FS'!H33/'Historical FS'!G33-1,0)</f>
        <v>-3.5528470983790919</v>
      </c>
      <c r="I8" s="24">
        <f>IFERROR('Historical FS'!I33/'Historical FS'!H33-1,0)</f>
        <v>3.9286702707513577</v>
      </c>
      <c r="J8" s="24">
        <f>IFERROR('Historical FS'!J33/'Historical FS'!I33-1,0)</f>
        <v>-0.82862505348950144</v>
      </c>
      <c r="K8" s="24">
        <f>IFERROR('Historical FS'!K33/'Historical FS'!J33-1,0)</f>
        <v>6.1952157445306248</v>
      </c>
      <c r="L8" s="24">
        <f>IFERROR('Historical FS'!L33/'Historical FS'!K33-1,0)</f>
        <v>-0.7090436533357708</v>
      </c>
      <c r="N8" s="24">
        <f t="shared" si="0"/>
        <v>0.39061100155556538</v>
      </c>
      <c r="O8" s="24">
        <f t="shared" si="1"/>
        <v>-0.69539895165986787</v>
      </c>
    </row>
    <row r="9" spans="2:15" x14ac:dyDescent="0.25">
      <c r="B9" s="25" t="s">
        <v>93</v>
      </c>
      <c r="C9" s="25"/>
      <c r="D9" s="26">
        <f>IFERROR('Historical FS'!D41/'Historical FS'!C41-1,0)</f>
        <v>-1</v>
      </c>
      <c r="E9" s="26">
        <f>IFERROR('Historical FS'!E41/'Historical FS'!D41-1,0)</f>
        <v>0</v>
      </c>
      <c r="F9" s="26">
        <f>IFERROR('Historical FS'!F41/'Historical FS'!E41-1,0)</f>
        <v>-1</v>
      </c>
      <c r="G9" s="26">
        <f>IFERROR('Historical FS'!G41/'Historical FS'!F41-1,0)</f>
        <v>0</v>
      </c>
      <c r="H9" s="26">
        <f>IFERROR('Historical FS'!H41/'Historical FS'!G41-1,0)</f>
        <v>0</v>
      </c>
      <c r="I9" s="26">
        <f>IFERROR('Historical FS'!I41/'Historical FS'!H41-1,0)</f>
        <v>0</v>
      </c>
      <c r="J9" s="26">
        <f>IFERROR('Historical FS'!J41/'Historical FS'!I41-1,0)</f>
        <v>0</v>
      </c>
      <c r="K9" s="26">
        <f>IFERROR('Historical FS'!K41/'Historical FS'!J41-1,0)</f>
        <v>0</v>
      </c>
      <c r="L9" s="26">
        <f>IFERROR('Historical FS'!L41/'Historical FS'!K41-1,0)</f>
        <v>0</v>
      </c>
      <c r="M9" s="25"/>
      <c r="N9" s="26">
        <f t="shared" si="0"/>
        <v>-0.22222222222222221</v>
      </c>
      <c r="O9" s="26">
        <f t="shared" si="1"/>
        <v>0</v>
      </c>
    </row>
    <row r="11" spans="2:15" x14ac:dyDescent="0.25">
      <c r="B11" s="22" t="s">
        <v>94</v>
      </c>
      <c r="C11" s="23">
        <f>IFERROR('Historical FS'!C13,0)</f>
        <v>0.22635301098646982</v>
      </c>
      <c r="D11" s="23">
        <f>IFERROR('Historical FS'!D13,0)</f>
        <v>0.22914703499762759</v>
      </c>
      <c r="E11" s="23">
        <f>IFERROR('Historical FS'!E13,0)</f>
        <v>0.24734524196690946</v>
      </c>
      <c r="F11" s="23">
        <f>IFERROR('Historical FS'!F13,0)</f>
        <v>0.23819078253229964</v>
      </c>
      <c r="G11" s="23">
        <f>IFERROR('Historical FS'!G13,0)</f>
        <v>0.21649990080619999</v>
      </c>
      <c r="H11" s="23">
        <f>IFERROR('Historical FS'!H13,0)</f>
        <v>0.19571167496416494</v>
      </c>
      <c r="I11" s="23">
        <f>IFERROR('Historical FS'!I13,0)</f>
        <v>0.19417127271491774</v>
      </c>
      <c r="J11" s="23">
        <f>IFERROR('Historical FS'!J13,0)</f>
        <v>0.2180538622208833</v>
      </c>
      <c r="K11" s="23">
        <f>IFERROR('Historical FS'!K13,0)</f>
        <v>0.19807108271747378</v>
      </c>
      <c r="L11" s="23">
        <f>IFERROR('Historical FS'!L13,0)</f>
        <v>0.20685017994636876</v>
      </c>
      <c r="M11" s="22"/>
      <c r="N11" s="23">
        <f>IFERROR(AVERAGE(C11:L11),0)</f>
        <v>0.21703940438533151</v>
      </c>
      <c r="O11" s="23">
        <f t="shared" si="1"/>
        <v>0.21727688151354163</v>
      </c>
    </row>
    <row r="12" spans="2:15" x14ac:dyDescent="0.25">
      <c r="B12" t="s">
        <v>95</v>
      </c>
      <c r="C12" s="24">
        <f>IFERROR('Historical FS'!C19,0)</f>
        <v>0.14969210207836775</v>
      </c>
      <c r="D12" s="24">
        <f>IFERROR('Historical FS'!D19,0)</f>
        <v>0.14910625508580397</v>
      </c>
      <c r="E12" s="24">
        <f>IFERROR('Historical FS'!E19,0)</f>
        <v>0.14061845347443788</v>
      </c>
      <c r="F12" s="24">
        <f>IFERROR('Historical FS'!F19,0)</f>
        <v>0.10971268723777329</v>
      </c>
      <c r="G12" s="24">
        <f>IFERROR('Historical FS'!G19,0)</f>
        <v>0.10789788444182975</v>
      </c>
      <c r="H12" s="24">
        <f>IFERROR('Historical FS'!H19,0)</f>
        <v>8.1686628795807431E-2</v>
      </c>
      <c r="I12" s="24">
        <f>IFERROR('Historical FS'!I19,0)</f>
        <v>6.8898034485042198E-2</v>
      </c>
      <c r="J12" s="24">
        <f>IFERROR('Historical FS'!J19,0)</f>
        <v>0.12925583904385496</v>
      </c>
      <c r="K12" s="24">
        <f>IFERROR('Historical FS'!K19,0)</f>
        <v>8.877632835227646E-2</v>
      </c>
      <c r="L12" s="24">
        <f>IFERROR('Historical FS'!L19,0)</f>
        <v>9.1961958102532049E-2</v>
      </c>
      <c r="N12" s="24">
        <f t="shared" ref="N12:N40" si="2">IFERROR(AVERAGE(C12:L12),0)</f>
        <v>0.11176061710977256</v>
      </c>
      <c r="O12" s="24">
        <f t="shared" si="1"/>
        <v>0.10880528583980152</v>
      </c>
    </row>
    <row r="13" spans="2:15" x14ac:dyDescent="0.25">
      <c r="B13" t="s">
        <v>96</v>
      </c>
      <c r="C13" s="24">
        <f>IFERROR(('Historical FS'!C18-'Historical FS'!C24)/'Historical FS'!C6,0)</f>
        <v>0.10211238357890337</v>
      </c>
      <c r="D13" s="24">
        <f>IFERROR(('Historical FS'!D18-'Historical FS'!D24)/'Historical FS'!D6,0)</f>
        <v>9.8229670900837146E-2</v>
      </c>
      <c r="E13" s="24">
        <f>IFERROR(('Historical FS'!E18-'Historical FS'!E24)/'Historical FS'!E6,0)</f>
        <v>7.941702777851016E-2</v>
      </c>
      <c r="F13" s="24">
        <f>IFERROR(('Historical FS'!F18-'Historical FS'!F24)/'Historical FS'!F6,0)</f>
        <v>4.3322300645279484E-2</v>
      </c>
      <c r="G13" s="24">
        <f>IFERROR(('Historical FS'!G18-'Historical FS'!G24)/'Historical FS'!G6,0)</f>
        <v>3.3970412259310953E-2</v>
      </c>
      <c r="H13" s="24">
        <f>IFERROR(('Historical FS'!H18-'Historical FS'!H24)/'Historical FS'!H6,0)</f>
        <v>3.5560233478087663E-3</v>
      </c>
      <c r="I13" s="24">
        <f>IFERROR(('Historical FS'!I18-'Historical FS'!I24)/'Historical FS'!I6,0)</f>
        <v>-1.3170363258273456E-2</v>
      </c>
      <c r="J13" s="24">
        <f>IFERROR(('Historical FS'!J18-'Historical FS'!J24)/'Historical FS'!J6,0)</f>
        <v>3.4991608110258483E-2</v>
      </c>
      <c r="K13" s="24">
        <f>IFERROR(('Historical FS'!K18-'Historical FS'!K24)/'Historical FS'!K6,0)</f>
        <v>-4.1514992694289269E-4</v>
      </c>
      <c r="L13" s="24">
        <f>IFERROR(('Historical FS'!L18-'Historical FS'!L24)/'Historical FS'!L6,0)</f>
        <v>2.0104346955433228E-2</v>
      </c>
      <c r="N13" s="24">
        <f t="shared" si="2"/>
        <v>4.0211826039112518E-2</v>
      </c>
      <c r="O13" s="24">
        <f t="shared" si="1"/>
        <v>3.4481010184784722E-2</v>
      </c>
    </row>
    <row r="14" spans="2:15" x14ac:dyDescent="0.25">
      <c r="B14" t="s">
        <v>97</v>
      </c>
      <c r="C14" s="24">
        <f>IFERROR('Historical FS'!C28,0)</f>
        <v>8.1713958368390432E-2</v>
      </c>
      <c r="D14" s="24">
        <f>IFERROR('Historical FS'!D28,0)</f>
        <v>7.9756085085905037E-2</v>
      </c>
      <c r="E14" s="24">
        <f>IFERROR('Historical FS'!E28,0)</f>
        <v>6.1511300676516931E-2</v>
      </c>
      <c r="F14" s="24">
        <f>IFERROR('Historical FS'!F28,0)</f>
        <v>2.7608071132565179E-2</v>
      </c>
      <c r="G14" s="24">
        <f>IFERROR('Historical FS'!G28,0)</f>
        <v>1.7912163958707913E-2</v>
      </c>
      <c r="H14" s="24">
        <f>IFERROR('Historical FS'!H28,0)</f>
        <v>-1.5516078776333117E-2</v>
      </c>
      <c r="I14" s="24">
        <f>IFERROR('Historical FS'!I28,0)</f>
        <v>-4.0915360088026265E-2</v>
      </c>
      <c r="J14" s="24">
        <f>IFERROR('Historical FS'!J28,0)</f>
        <v>2.5763151547420113E-3</v>
      </c>
      <c r="K14" s="24">
        <f>IFERROR('Historical FS'!K28,0)</f>
        <v>-3.3856482095653805E-2</v>
      </c>
      <c r="L14" s="24">
        <f>IFERROR('Historical FS'!L28,0)</f>
        <v>-9.4518849588445895E-3</v>
      </c>
      <c r="N14" s="24">
        <f t="shared" si="2"/>
        <v>1.7133808845796978E-2</v>
      </c>
      <c r="O14" s="24">
        <f t="shared" si="1"/>
        <v>1.0244239556724962E-2</v>
      </c>
    </row>
    <row r="15" spans="2:15" x14ac:dyDescent="0.25">
      <c r="B15" s="25" t="s">
        <v>98</v>
      </c>
      <c r="C15" s="26">
        <f>IFERROR('Historical FS'!C34,0)</f>
        <v>6.124960626397391E-2</v>
      </c>
      <c r="D15" s="26">
        <f>IFERROR('Historical FS'!D34,0)</f>
        <v>5.0713146858982282E-2</v>
      </c>
      <c r="E15" s="26">
        <f>IFERROR('Historical FS'!E34,0)</f>
        <v>5.0432381990407359E-2</v>
      </c>
      <c r="F15" s="26">
        <f>IFERROR('Historical FS'!F34,0)</f>
        <v>1.5552749314395296E-2</v>
      </c>
      <c r="G15" s="26">
        <f>IFERROR('Historical FS'!G34,0)</f>
        <v>3.01961430487095E-3</v>
      </c>
      <c r="H15" s="26">
        <f>IFERROR('Historical FS'!H34,0)</f>
        <v>-7.4434056747998256E-3</v>
      </c>
      <c r="I15" s="26">
        <f>IFERROR('Historical FS'!I34,0)</f>
        <v>-4.2429333632923408E-2</v>
      </c>
      <c r="J15" s="26">
        <f>IFERROR('Historical FS'!J34,0)</f>
        <v>-7.5994791724005731E-3</v>
      </c>
      <c r="K15" s="26">
        <f>IFERROR('Historical FS'!K34,0)</f>
        <v>-4.9052154538339235E-2</v>
      </c>
      <c r="L15" s="26">
        <f>IFERROR('Historical FS'!L34,0)</f>
        <v>-1.1486934720964945E-2</v>
      </c>
      <c r="M15" s="25"/>
      <c r="N15" s="26">
        <f t="shared" si="2"/>
        <v>6.2956190993201811E-3</v>
      </c>
      <c r="O15" s="26">
        <f t="shared" si="1"/>
        <v>-2.2118956849644378E-3</v>
      </c>
    </row>
    <row r="17" spans="2:15" x14ac:dyDescent="0.25">
      <c r="B17" s="22" t="s">
        <v>99</v>
      </c>
      <c r="C17" s="23">
        <f>IFERROR('Historical FS'!C16,0)</f>
        <v>7.6660908908102038E-2</v>
      </c>
      <c r="D17" s="23">
        <f>IFERROR('Historical FS'!D16,0)</f>
        <v>8.0040779911823637E-2</v>
      </c>
      <c r="E17" s="23">
        <f>IFERROR('Historical FS'!E16,0)</f>
        <v>0.10672678849247161</v>
      </c>
      <c r="F17" s="23">
        <f>IFERROR('Historical FS'!F16,0)</f>
        <v>0.12847809529452636</v>
      </c>
      <c r="G17" s="23">
        <f>IFERROR('Historical FS'!G16,0)</f>
        <v>0.10860201636437025</v>
      </c>
      <c r="H17" s="23">
        <f>IFERROR('Historical FS'!H16,0)</f>
        <v>0.11402504616835751</v>
      </c>
      <c r="I17" s="23">
        <f>IFERROR('Historical FS'!I16,0)</f>
        <v>0.12527323822987554</v>
      </c>
      <c r="J17" s="23">
        <f>IFERROR('Historical FS'!J16,0)</f>
        <v>8.8798023177028354E-2</v>
      </c>
      <c r="K17" s="23">
        <f>IFERROR('Historical FS'!K16,0)</f>
        <v>0.10929475436519734</v>
      </c>
      <c r="L17" s="23">
        <f>IFERROR('Historical FS'!L16,0)</f>
        <v>0.11488822184383672</v>
      </c>
      <c r="M17" s="22"/>
      <c r="N17" s="23">
        <f t="shared" si="2"/>
        <v>0.10527878727555892</v>
      </c>
      <c r="O17" s="23">
        <f t="shared" si="1"/>
        <v>0.1089483853647838</v>
      </c>
    </row>
    <row r="18" spans="2:15" x14ac:dyDescent="0.25">
      <c r="B18" t="s">
        <v>100</v>
      </c>
      <c r="C18" s="24">
        <f>IFERROR('Historical FS'!C25,0)</f>
        <v>4.757971849946438E-2</v>
      </c>
      <c r="D18" s="24">
        <f>IFERROR('Historical FS'!D25,0)</f>
        <v>5.0876584184966822E-2</v>
      </c>
      <c r="E18" s="24">
        <f>IFERROR('Historical FS'!E25,0)</f>
        <v>6.1201425695927715E-2</v>
      </c>
      <c r="F18" s="24">
        <f>IFERROR('Historical FS'!F25,0)</f>
        <v>6.63903865924938E-2</v>
      </c>
      <c r="G18" s="24">
        <f>IFERROR('Historical FS'!G25,0)</f>
        <v>7.3927472182518786E-2</v>
      </c>
      <c r="H18" s="24">
        <f>IFERROR('Historical FS'!H25,0)</f>
        <v>7.8130605447998658E-2</v>
      </c>
      <c r="I18" s="24">
        <f>IFERROR('Historical FS'!I25,0)</f>
        <v>8.206839774331566E-2</v>
      </c>
      <c r="J18" s="24">
        <f>IFERROR('Historical FS'!J25,0)</f>
        <v>9.4264230933596482E-2</v>
      </c>
      <c r="K18" s="24">
        <f>IFERROR('Historical FS'!K25,0)</f>
        <v>8.9191478279219347E-2</v>
      </c>
      <c r="L18" s="24">
        <f>IFERROR('Historical FS'!L25,0)</f>
        <v>7.1857611147098821E-2</v>
      </c>
      <c r="N18" s="24">
        <f t="shared" si="2"/>
        <v>7.1548791070660034E-2</v>
      </c>
      <c r="O18" s="24">
        <f t="shared" si="1"/>
        <v>7.2892541664808796E-2</v>
      </c>
    </row>
    <row r="19" spans="2:15" x14ac:dyDescent="0.25">
      <c r="B19" s="25" t="s">
        <v>101</v>
      </c>
      <c r="C19" s="26">
        <f>C13</f>
        <v>0.10211238357890337</v>
      </c>
      <c r="D19" s="26">
        <f t="shared" ref="D19:L19" si="3">D13</f>
        <v>9.8229670900837146E-2</v>
      </c>
      <c r="E19" s="26">
        <f t="shared" si="3"/>
        <v>7.941702777851016E-2</v>
      </c>
      <c r="F19" s="26">
        <f t="shared" si="3"/>
        <v>4.3322300645279484E-2</v>
      </c>
      <c r="G19" s="26">
        <f t="shared" si="3"/>
        <v>3.3970412259310953E-2</v>
      </c>
      <c r="H19" s="26">
        <f t="shared" si="3"/>
        <v>3.5560233478087663E-3</v>
      </c>
      <c r="I19" s="26">
        <f t="shared" si="3"/>
        <v>-1.3170363258273456E-2</v>
      </c>
      <c r="J19" s="26">
        <f t="shared" si="3"/>
        <v>3.4991608110258483E-2</v>
      </c>
      <c r="K19" s="26">
        <f t="shared" si="3"/>
        <v>-4.1514992694289269E-4</v>
      </c>
      <c r="L19" s="26">
        <f t="shared" si="3"/>
        <v>2.0104346955433228E-2</v>
      </c>
      <c r="M19" s="25"/>
      <c r="N19" s="26">
        <f t="shared" si="2"/>
        <v>4.0211826039112518E-2</v>
      </c>
      <c r="O19" s="26">
        <f t="shared" si="1"/>
        <v>3.4481010184784722E-2</v>
      </c>
    </row>
    <row r="21" spans="2:15" x14ac:dyDescent="0.25">
      <c r="B21" s="22" t="s">
        <v>102</v>
      </c>
      <c r="C21" s="23">
        <f>IFERROR(('Historical FS'!C18-'Historical FS'!C24)/(SUM('Historical FS'!C47:C49)),0)</f>
        <v>0.18832478532145183</v>
      </c>
      <c r="D21" s="23">
        <f>IFERROR(('Historical FS'!D18-'Historical FS'!D24)/(SUM('Historical FS'!D47:D49)),0)</f>
        <v>0.19904181268509033</v>
      </c>
      <c r="E21" s="23">
        <f>IFERROR(('Historical FS'!E18-'Historical FS'!E24)/(SUM('Historical FS'!E47:E49)),0)</f>
        <v>0.1462081011853561</v>
      </c>
      <c r="F21" s="23">
        <f>IFERROR(('Historical FS'!F18-'Historical FS'!F24)/(SUM('Historical FS'!F47:F49)),0)</f>
        <v>8.5490986154773282E-2</v>
      </c>
      <c r="G21" s="23">
        <f>IFERROR(('Historical FS'!G18-'Historical FS'!G24)/(SUM('Historical FS'!G47:G49)),0)</f>
        <v>5.3716113570365424E-2</v>
      </c>
      <c r="H21" s="23">
        <f>IFERROR(('Historical FS'!H18-'Historical FS'!H24)/(SUM('Historical FS'!H47:H49)),0)</f>
        <v>6.4542733637543747E-3</v>
      </c>
      <c r="I21" s="23">
        <f>IFERROR(('Historical FS'!I18-'Historical FS'!I24)/(SUM('Historical FS'!I47:I49)),0)</f>
        <v>-1.8387082646096023E-2</v>
      </c>
      <c r="J21" s="23">
        <f>IFERROR(('Historical FS'!J18-'Historical FS'!J24)/(SUM('Historical FS'!J47:J49)),0)</f>
        <v>4.4284324706251613E-2</v>
      </c>
      <c r="K21" s="23">
        <f>IFERROR(('Historical FS'!K18-'Historical FS'!K24)/(SUM('Historical FS'!K47:K49)),0)</f>
        <v>-6.0520306054739361E-4</v>
      </c>
      <c r="L21" s="23">
        <f>IFERROR(('Historical FS'!L18-'Historical FS'!L24)/(SUM('Historical FS'!L47:L49)),0)</f>
        <v>3.8762956416083731E-2</v>
      </c>
      <c r="M21" s="22"/>
      <c r="N21" s="23">
        <f t="shared" si="2"/>
        <v>7.4329106769648337E-2</v>
      </c>
      <c r="O21" s="23">
        <f t="shared" si="1"/>
        <v>4.9000219138308515E-2</v>
      </c>
    </row>
    <row r="22" spans="2:15" x14ac:dyDescent="0.25">
      <c r="B22" t="s">
        <v>103</v>
      </c>
      <c r="C22" s="24">
        <f>IFERROR('Historical FS'!C44,0)</f>
        <v>0.95485720817027164</v>
      </c>
      <c r="D22" s="24">
        <f>IFERROR('Historical FS'!D44,0)</f>
        <v>1</v>
      </c>
      <c r="E22" s="24">
        <f>IFERROR('Historical FS'!E44,0)</f>
        <v>0.99506765991253665</v>
      </c>
      <c r="F22" s="24">
        <f>IFERROR('Historical FS'!F44,0)</f>
        <v>1</v>
      </c>
      <c r="G22" s="24">
        <f>IFERROR('Historical FS'!G44,0)</f>
        <v>1</v>
      </c>
      <c r="H22" s="24">
        <f>IFERROR('Historical FS'!H44,0)</f>
        <v>0</v>
      </c>
      <c r="I22" s="24">
        <f>IFERROR('Historical FS'!I44,0)</f>
        <v>0</v>
      </c>
      <c r="J22" s="24">
        <f>IFERROR('Historical FS'!J44,0)</f>
        <v>0</v>
      </c>
      <c r="K22" s="24">
        <f>IFERROR('Historical FS'!K44,0)</f>
        <v>0</v>
      </c>
      <c r="L22" s="24">
        <f>IFERROR('Historical FS'!L44,0)</f>
        <v>0</v>
      </c>
      <c r="N22" s="24">
        <f t="shared" si="2"/>
        <v>0.49499248680828084</v>
      </c>
      <c r="O22" s="24">
        <f t="shared" si="1"/>
        <v>0.47742860408513582</v>
      </c>
    </row>
    <row r="23" spans="2:15" x14ac:dyDescent="0.25">
      <c r="B23" t="s">
        <v>104</v>
      </c>
      <c r="C23" s="24">
        <f>IFERROR('Historical FS'!C33/SUM('Historical FS'!C47:C48),0)</f>
        <v>0.21738140295975247</v>
      </c>
      <c r="D23" s="24">
        <f>IFERROR('Historical FS'!D33/SUM('Historical FS'!D47:D48),0)</f>
        <v>0.2372052002491202</v>
      </c>
      <c r="E23" s="24">
        <f>IFERROR('Historical FS'!E33/SUM('Historical FS'!E47:E48),0)</f>
        <v>0.17441316864171685</v>
      </c>
      <c r="F23" s="24">
        <f>IFERROR('Historical FS'!F33/SUM('Historical FS'!F47:F48),0)</f>
        <v>7.2241189530689517E-2</v>
      </c>
      <c r="G23" s="24">
        <f>IFERROR('Historical FS'!G33/SUM('Historical FS'!G47:G48),0)</f>
        <v>9.2254980749341738E-3</v>
      </c>
      <c r="H23" s="24">
        <f>IFERROR('Historical FS'!H33/SUM('Historical FS'!H47:H48),0)</f>
        <v>-3.7345736658758885E-2</v>
      </c>
      <c r="I23" s="24">
        <f>IFERROR('Historical FS'!I33/SUM('Historical FS'!I47:I48),0)</f>
        <v>-0.1780542775131683</v>
      </c>
      <c r="J23" s="24">
        <f>IFERROR('Historical FS'!J33/SUM('Historical FS'!J47:J48),0)</f>
        <v>-3.4360591904822733E-2</v>
      </c>
      <c r="K23" s="24">
        <f>IFERROR('Historical FS'!K33/SUM('Historical FS'!K47:K48),0)</f>
        <v>-0.30651638060341208</v>
      </c>
      <c r="L23" s="24">
        <f>IFERROR('Historical FS'!L33/SUM('Historical FS'!L47:L48),0)</f>
        <v>-8.7686298356707396E-2</v>
      </c>
      <c r="N23" s="24">
        <f t="shared" si="2"/>
        <v>6.6503174419343929E-3</v>
      </c>
      <c r="O23" s="24">
        <f t="shared" si="1"/>
        <v>-1.2567546914944279E-2</v>
      </c>
    </row>
    <row r="24" spans="2:15" x14ac:dyDescent="0.25">
      <c r="B24" t="s">
        <v>105</v>
      </c>
      <c r="C24" s="27">
        <f>IFERROR(C22*C23,0)</f>
        <v>0.20756819953828606</v>
      </c>
      <c r="D24" s="27">
        <f t="shared" ref="D24:L24" si="4">IFERROR(D22*D23,0)</f>
        <v>0.2372052002491202</v>
      </c>
      <c r="E24" s="27">
        <f t="shared" si="4"/>
        <v>0.17355290357824379</v>
      </c>
      <c r="F24" s="27">
        <f t="shared" si="4"/>
        <v>7.2241189530689517E-2</v>
      </c>
      <c r="G24" s="27">
        <f t="shared" si="4"/>
        <v>9.2254980749341738E-3</v>
      </c>
      <c r="H24" s="27">
        <f t="shared" si="4"/>
        <v>0</v>
      </c>
      <c r="I24" s="27">
        <f t="shared" si="4"/>
        <v>0</v>
      </c>
      <c r="J24" s="27">
        <f t="shared" si="4"/>
        <v>0</v>
      </c>
      <c r="K24" s="27">
        <f t="shared" si="4"/>
        <v>0</v>
      </c>
      <c r="L24" s="27">
        <f t="shared" si="4"/>
        <v>0</v>
      </c>
      <c r="N24" s="24">
        <f t="shared" si="2"/>
        <v>6.9979299097127384E-2</v>
      </c>
      <c r="O24" s="24">
        <f t="shared" si="1"/>
        <v>4.6127490374670869E-3</v>
      </c>
    </row>
    <row r="25" spans="2:15" x14ac:dyDescent="0.25">
      <c r="B25" s="25" t="s">
        <v>106</v>
      </c>
      <c r="C25" s="28">
        <f>('Historical FS'!C18-'Historical FS'!C24)/'Historical FS'!C21</f>
        <v>5.0058954318824904</v>
      </c>
      <c r="D25" s="28">
        <f>('Historical FS'!D18-'Historical FS'!D24)/'Historical FS'!D21</f>
        <v>5.3173039541375138</v>
      </c>
      <c r="E25" s="28">
        <f>('Historical FS'!E18-'Historical FS'!E24)/'Historical FS'!E21</f>
        <v>4.4352863933500721</v>
      </c>
      <c r="F25" s="28">
        <f>('Historical FS'!F18-'Historical FS'!F24)/'Historical FS'!F21</f>
        <v>2.7568835373205922</v>
      </c>
      <c r="G25" s="28">
        <f>('Historical FS'!G18-'Historical FS'!G24)/'Historical FS'!G21</f>
        <v>2.1154494328024094</v>
      </c>
      <c r="H25" s="28">
        <f>('Historical FS'!H18-'Historical FS'!H24)/'Historical FS'!H21</f>
        <v>0.18645156808947008</v>
      </c>
      <c r="I25" s="28">
        <f>('Historical FS'!I18-'Historical FS'!I24)/'Historical FS'!I21</f>
        <v>-0.47469326953211261</v>
      </c>
      <c r="J25" s="28">
        <f>('Historical FS'!J18-'Historical FS'!J24)/'Historical FS'!J21</f>
        <v>1.079478385658198</v>
      </c>
      <c r="K25" s="28">
        <f>('Historical FS'!K18-'Historical FS'!K24)/'Historical FS'!K21</f>
        <v>-1.2414275987824557E-2</v>
      </c>
      <c r="L25" s="28">
        <f>('Historical FS'!L18-'Historical FS'!L24)/'Historical FS'!L21</f>
        <v>0.68020669934320532</v>
      </c>
      <c r="M25" s="25"/>
      <c r="N25" s="26">
        <f t="shared" si="2"/>
        <v>2.1089847857064017</v>
      </c>
      <c r="O25" s="26">
        <f t="shared" si="1"/>
        <v>1.5974639092303038</v>
      </c>
    </row>
    <row r="27" spans="2:15" x14ac:dyDescent="0.25">
      <c r="B27" s="22" t="s">
        <v>107</v>
      </c>
      <c r="C27" s="29">
        <f>'Historical FS'!C6/'Historical FS'!C59</f>
        <v>22.018970648453838</v>
      </c>
      <c r="D27" s="29">
        <f>'Historical FS'!D6/'Historical FS'!D59</f>
        <v>20.92016821419486</v>
      </c>
      <c r="E27" s="29">
        <f>'Historical FS'!E6/'Historical FS'!E59</f>
        <v>20.119918266350599</v>
      </c>
      <c r="F27" s="29">
        <f>'Historical FS'!F6/'Historical FS'!F59</f>
        <v>19.160353236640844</v>
      </c>
      <c r="G27" s="29">
        <f>'Historical FS'!G6/'Historical FS'!G59</f>
        <v>14.655712224718874</v>
      </c>
      <c r="H27" s="29">
        <f>'Historical FS'!H6/'Historical FS'!H59</f>
        <v>15.894698773489607</v>
      </c>
      <c r="I27" s="29">
        <f>'Historical FS'!I6/'Historical FS'!I59</f>
        <v>23.366617170976728</v>
      </c>
      <c r="J27" s="29">
        <f>'Historical FS'!J6/'Historical FS'!J59</f>
        <v>19.701330853658153</v>
      </c>
      <c r="K27" s="29">
        <f>'Historical FS'!K6/'Historical FS'!K59</f>
        <v>22.379917570317598</v>
      </c>
      <c r="L27" s="29">
        <f>'Historical FS'!L6/'Historical FS'!L59</f>
        <v>21.982947610142858</v>
      </c>
      <c r="M27" s="22"/>
      <c r="N27" s="23">
        <f t="shared" si="2"/>
        <v>20.020063456894395</v>
      </c>
      <c r="O27" s="29">
        <f t="shared" si="1"/>
        <v>20.520043240272727</v>
      </c>
    </row>
    <row r="28" spans="2:15" x14ac:dyDescent="0.25">
      <c r="B28" t="s">
        <v>108</v>
      </c>
      <c r="C28" s="30">
        <f>IFERROR('Historical FS'!C6/'Historical FS'!C50,0)</f>
        <v>2.5258516302731193</v>
      </c>
      <c r="D28" s="30">
        <f>IFERROR('Historical FS'!D6/'Historical FS'!D50,0)</f>
        <v>2.4493010585757142</v>
      </c>
      <c r="E28" s="30">
        <f>IFERROR('Historical FS'!E6/'Historical FS'!E50,0)</f>
        <v>2.3769603927858673</v>
      </c>
      <c r="F28" s="30">
        <f>IFERROR('Historical FS'!F6/'Historical FS'!F50,0)</f>
        <v>1.9842807783040648</v>
      </c>
      <c r="G28" s="30">
        <f>IFERROR('Historical FS'!G6/'Historical FS'!G50,0)</f>
        <v>2.0414780318629697</v>
      </c>
      <c r="H28" s="30">
        <f>IFERROR('Historical FS'!H6/'Historical FS'!H50,0)</f>
        <v>2.1667847518227492</v>
      </c>
      <c r="I28" s="30">
        <f>IFERROR('Historical FS'!I6/'Historical FS'!I50,0)</f>
        <v>1.9602534811345065</v>
      </c>
      <c r="J28" s="30">
        <f>IFERROR('Historical FS'!J6/'Historical FS'!J50,0)</f>
        <v>1.7323684804395676</v>
      </c>
      <c r="K28" s="30">
        <f>IFERROR('Historical FS'!K6/'Historical FS'!K50,0)</f>
        <v>2.0170312149360217</v>
      </c>
      <c r="L28" s="30">
        <f>IFERROR('Historical FS'!L6/'Historical FS'!L50,0)</f>
        <v>2.2286057258733614</v>
      </c>
      <c r="N28" s="24">
        <f t="shared" si="2"/>
        <v>2.1482915546007941</v>
      </c>
      <c r="O28" s="30">
        <f t="shared" si="1"/>
        <v>2.1041313918428592</v>
      </c>
    </row>
    <row r="29" spans="2:15" x14ac:dyDescent="0.25">
      <c r="B29" t="s">
        <v>109</v>
      </c>
      <c r="C29" s="30">
        <f>IFERROR('Historical FS'!C6/'Historical FS'!C60,0)</f>
        <v>8.5378093637574715</v>
      </c>
      <c r="D29" s="30">
        <f>IFERROR('Historical FS'!D6/'Historical FS'!D60,0)</f>
        <v>8.9900219797938927</v>
      </c>
      <c r="E29" s="30">
        <f>IFERROR('Historical FS'!E6/'Historical FS'!E60,0)</f>
        <v>8.3613381173839922</v>
      </c>
      <c r="F29" s="30">
        <f>IFERROR('Historical FS'!F6/'Historical FS'!F60,0)</f>
        <v>7.6867643466738649</v>
      </c>
      <c r="G29" s="30">
        <f>IFERROR('Historical FS'!G6/'Historical FS'!G60,0)</f>
        <v>6.9190051742350009</v>
      </c>
      <c r="H29" s="30">
        <f>IFERROR('Historical FS'!H6/'Historical FS'!H60,0)</f>
        <v>7.7392856309817084</v>
      </c>
      <c r="I29" s="30">
        <f>IFERROR('Historical FS'!I6/'Historical FS'!I60,0)</f>
        <v>6.9698269049637886</v>
      </c>
      <c r="J29" s="30">
        <f>IFERROR('Historical FS'!J6/'Historical FS'!J60,0)</f>
        <v>6.9217098811563442</v>
      </c>
      <c r="K29" s="30">
        <f>IFERROR('Historical FS'!K6/'Historical FS'!K60,0)</f>
        <v>7.9015588385356104</v>
      </c>
      <c r="L29" s="30">
        <f>IFERROR('Historical FS'!L6/'Historical FS'!L60,0)</f>
        <v>8.4888641723217457</v>
      </c>
      <c r="N29" s="24">
        <f t="shared" si="2"/>
        <v>7.8516184409803413</v>
      </c>
      <c r="O29" s="30">
        <f t="shared" si="1"/>
        <v>7.8204222347586594</v>
      </c>
    </row>
    <row r="30" spans="2:15" x14ac:dyDescent="0.25">
      <c r="B30" t="s">
        <v>110</v>
      </c>
      <c r="C30" s="30">
        <f>IFERROR('Historical FS'!C6/'Historical FS'!C53,0)</f>
        <v>3.3699237549186467</v>
      </c>
      <c r="D30" s="30">
        <f>IFERROR('Historical FS'!D6/'Historical FS'!D53,0)</f>
        <v>2.9742370802544178</v>
      </c>
      <c r="E30" s="30">
        <f>IFERROR('Historical FS'!E6/'Historical FS'!E53,0)</f>
        <v>2.546312771514708</v>
      </c>
      <c r="F30" s="30">
        <f>IFERROR('Historical FS'!F6/'Historical FS'!F53,0)</f>
        <v>2.8109343484246239</v>
      </c>
      <c r="G30" s="30">
        <f>IFERROR('Historical FS'!G6/'Historical FS'!G53,0)</f>
        <v>2.4012948768781421</v>
      </c>
      <c r="H30" s="30">
        <f>IFERROR('Historical FS'!H6/'Historical FS'!H53,0)</f>
        <v>2.7144319562092578</v>
      </c>
      <c r="I30" s="30">
        <f>IFERROR('Historical FS'!I6/'Historical FS'!I53,0)</f>
        <v>2.0539205744067566</v>
      </c>
      <c r="J30" s="30">
        <f>IFERROR('Historical FS'!J6/'Historical FS'!J53,0)</f>
        <v>1.8008727134726064</v>
      </c>
      <c r="K30" s="30">
        <f>IFERROR('Historical FS'!K6/'Historical FS'!K53,0)</f>
        <v>2.0053488717943728</v>
      </c>
      <c r="L30" s="30">
        <f>IFERROR('Historical FS'!L6/'Historical FS'!L53,0)</f>
        <v>2.6193791539294131</v>
      </c>
      <c r="N30" s="24">
        <f t="shared" si="2"/>
        <v>2.5296656101802943</v>
      </c>
      <c r="O30" s="30">
        <f t="shared" si="1"/>
        <v>2.5828459627220606</v>
      </c>
    </row>
    <row r="31" spans="2:15" x14ac:dyDescent="0.25">
      <c r="B31" s="25" t="s">
        <v>111</v>
      </c>
      <c r="C31" s="28">
        <f>IFERROR('Historical FS'!C6/SUM('Historical FS'!C47:C48),0)</f>
        <v>3.549106944832932</v>
      </c>
      <c r="D31" s="28">
        <f>IFERROR('Historical FS'!D6/SUM('Historical FS'!D47:D48),0)</f>
        <v>4.6773906756114965</v>
      </c>
      <c r="E31" s="28">
        <f>IFERROR('Historical FS'!E6/SUM('Historical FS'!E47:E48),0)</f>
        <v>3.4583567493379874</v>
      </c>
      <c r="F31" s="28">
        <f>IFERROR('Historical FS'!F6/SUM('Historical FS'!F47:F48),0)</f>
        <v>4.6449144180459854</v>
      </c>
      <c r="G31" s="28">
        <f>IFERROR('Historical FS'!G6/SUM('Historical FS'!G47:G48),0)</f>
        <v>3.0551908765475422</v>
      </c>
      <c r="H31" s="28">
        <f>IFERROR('Historical FS'!H6/SUM('Historical FS'!H47:H48),0)</f>
        <v>5.0172915853821474</v>
      </c>
      <c r="I31" s="28">
        <f>IFERROR('Historical FS'!I6/SUM('Historical FS'!I47:I48),0)</f>
        <v>4.196490075795241</v>
      </c>
      <c r="J31" s="28">
        <f>IFERROR('Historical FS'!J6/SUM('Historical FS'!J47:J48),0)</f>
        <v>4.5214403678625628</v>
      </c>
      <c r="K31" s="28">
        <f>IFERROR('Historical FS'!K6/SUM('Historical FS'!K47:K48),0)</f>
        <v>6.2487852671963351</v>
      </c>
      <c r="L31" s="28">
        <f>IFERROR('Historical FS'!L6/SUM('Historical FS'!L47:L48),0)</f>
        <v>7.6335680916398054</v>
      </c>
      <c r="M31" s="25"/>
      <c r="N31" s="26">
        <f t="shared" si="2"/>
        <v>4.700253505225203</v>
      </c>
      <c r="O31" s="28">
        <f t="shared" si="1"/>
        <v>4.5831773929542745</v>
      </c>
    </row>
    <row r="33" spans="2:15" x14ac:dyDescent="0.25">
      <c r="B33" s="22" t="s">
        <v>112</v>
      </c>
      <c r="C33" s="31">
        <f>IFERROR(365/C27,0)</f>
        <v>16.576615039251624</v>
      </c>
      <c r="D33" s="31">
        <f t="shared" ref="D33:L33" si="5">IFERROR(365/D27,0)</f>
        <v>17.447278447423685</v>
      </c>
      <c r="E33" s="31">
        <f t="shared" si="5"/>
        <v>18.141226776772818</v>
      </c>
      <c r="F33" s="31">
        <f t="shared" si="5"/>
        <v>19.049753180019717</v>
      </c>
      <c r="G33" s="31">
        <f t="shared" si="5"/>
        <v>24.904964999543136</v>
      </c>
      <c r="H33" s="31">
        <f t="shared" si="5"/>
        <v>22.963631157878556</v>
      </c>
      <c r="I33" s="31">
        <f t="shared" si="5"/>
        <v>15.620575170519771</v>
      </c>
      <c r="J33" s="31">
        <f t="shared" si="5"/>
        <v>18.52666719376608</v>
      </c>
      <c r="K33" s="31">
        <f t="shared" si="5"/>
        <v>16.309264717046954</v>
      </c>
      <c r="L33" s="31">
        <f t="shared" si="5"/>
        <v>16.603778823163378</v>
      </c>
      <c r="M33" s="22"/>
      <c r="N33" s="23">
        <f t="shared" si="2"/>
        <v>18.614375550538572</v>
      </c>
      <c r="O33" s="31">
        <f t="shared" si="1"/>
        <v>17.794252612098251</v>
      </c>
    </row>
    <row r="34" spans="2:15" x14ac:dyDescent="0.25">
      <c r="B34" t="s">
        <v>113</v>
      </c>
      <c r="C34" s="32">
        <f t="shared" ref="C34:L36" si="6">IFERROR(365/C28,0)</f>
        <v>144.50571665626009</v>
      </c>
      <c r="D34" s="32">
        <f t="shared" si="6"/>
        <v>149.02210519283818</v>
      </c>
      <c r="E34" s="32">
        <f t="shared" si="6"/>
        <v>153.55745981623585</v>
      </c>
      <c r="F34" s="32">
        <f t="shared" si="6"/>
        <v>183.94574194885871</v>
      </c>
      <c r="G34" s="32">
        <f t="shared" si="6"/>
        <v>178.79202925682029</v>
      </c>
      <c r="H34" s="32">
        <f t="shared" si="6"/>
        <v>168.45235766633192</v>
      </c>
      <c r="I34" s="32">
        <f t="shared" si="6"/>
        <v>186.20040903524091</v>
      </c>
      <c r="J34" s="32">
        <f t="shared" si="6"/>
        <v>210.69420514242194</v>
      </c>
      <c r="K34" s="32">
        <f t="shared" si="6"/>
        <v>180.95902398395825</v>
      </c>
      <c r="L34" s="32">
        <f t="shared" si="6"/>
        <v>163.77953074537726</v>
      </c>
      <c r="N34" s="24">
        <f t="shared" si="2"/>
        <v>171.99085794443434</v>
      </c>
      <c r="O34" s="32">
        <f t="shared" si="1"/>
        <v>173.6221934615761</v>
      </c>
    </row>
    <row r="35" spans="2:15" x14ac:dyDescent="0.25">
      <c r="B35" t="s">
        <v>114</v>
      </c>
      <c r="C35" s="32">
        <f t="shared" si="6"/>
        <v>42.751013105235728</v>
      </c>
      <c r="D35" s="32">
        <f t="shared" si="6"/>
        <v>40.600568143256986</v>
      </c>
      <c r="E35" s="32">
        <f t="shared" si="6"/>
        <v>43.653299851746382</v>
      </c>
      <c r="F35" s="32">
        <f t="shared" si="6"/>
        <v>47.484218786795374</v>
      </c>
      <c r="G35" s="32">
        <f t="shared" si="6"/>
        <v>52.753248596949661</v>
      </c>
      <c r="H35" s="32">
        <f t="shared" si="6"/>
        <v>47.161975588398164</v>
      </c>
      <c r="I35" s="32">
        <f t="shared" si="6"/>
        <v>52.368588915752468</v>
      </c>
      <c r="J35" s="32">
        <f t="shared" si="6"/>
        <v>52.732634893247351</v>
      </c>
      <c r="K35" s="32">
        <f t="shared" si="6"/>
        <v>46.193416698982041</v>
      </c>
      <c r="L35" s="32">
        <f t="shared" si="6"/>
        <v>42.997507392107408</v>
      </c>
      <c r="N35" s="24">
        <f t="shared" si="2"/>
        <v>46.869647197247154</v>
      </c>
      <c r="O35" s="32">
        <f t="shared" si="1"/>
        <v>46.677696143690099</v>
      </c>
    </row>
    <row r="36" spans="2:15" x14ac:dyDescent="0.25">
      <c r="B36" s="25" t="s">
        <v>118</v>
      </c>
      <c r="C36" s="33">
        <f t="shared" si="6"/>
        <v>108.31105584132466</v>
      </c>
      <c r="D36" s="33">
        <f t="shared" si="6"/>
        <v>122.72054653046612</v>
      </c>
      <c r="E36" s="33">
        <f t="shared" si="6"/>
        <v>143.34452706800622</v>
      </c>
      <c r="F36" s="33">
        <f t="shared" si="6"/>
        <v>129.85006220602864</v>
      </c>
      <c r="G36" s="33">
        <f t="shared" si="6"/>
        <v>152.0013237501787</v>
      </c>
      <c r="H36" s="33">
        <f t="shared" si="6"/>
        <v>134.46643934656871</v>
      </c>
      <c r="I36" s="33">
        <f t="shared" si="6"/>
        <v>177.70891657065397</v>
      </c>
      <c r="J36" s="33">
        <f t="shared" si="6"/>
        <v>202.67951047810249</v>
      </c>
      <c r="K36" s="33">
        <f t="shared" si="6"/>
        <v>182.01321731784276</v>
      </c>
      <c r="L36" s="33">
        <f t="shared" si="6"/>
        <v>139.34599710486816</v>
      </c>
      <c r="M36" s="25"/>
      <c r="N36" s="26">
        <f t="shared" si="2"/>
        <v>149.24415962140407</v>
      </c>
      <c r="O36" s="33">
        <f t="shared" si="1"/>
        <v>141.34526208643717</v>
      </c>
    </row>
    <row r="38" spans="2:15" x14ac:dyDescent="0.25">
      <c r="B38" s="22" t="s">
        <v>115</v>
      </c>
      <c r="C38" s="23">
        <f>IFERROR('Historical FS'!#REF!/'Historical FS'!C6,0)</f>
        <v>0</v>
      </c>
      <c r="D38" s="23">
        <f>IFERROR('Historical FS'!#REF!/'Historical FS'!D6,0)</f>
        <v>0</v>
      </c>
      <c r="E38" s="23">
        <f>IFERROR('Historical FS'!#REF!/'Historical FS'!E6,0)</f>
        <v>0</v>
      </c>
      <c r="F38" s="23">
        <f>IFERROR('Historical FS'!#REF!/'Historical FS'!F6,0)</f>
        <v>0</v>
      </c>
      <c r="G38" s="23">
        <f>IFERROR('Historical FS'!#REF!/'Historical FS'!G6,0)</f>
        <v>0</v>
      </c>
      <c r="H38" s="23">
        <f>IFERROR('Historical FS'!#REF!/'Historical FS'!H6,0)</f>
        <v>0</v>
      </c>
      <c r="I38" s="23">
        <f>IFERROR('Historical FS'!#REF!/'Historical FS'!I6,0)</f>
        <v>0</v>
      </c>
      <c r="J38" s="23">
        <f>IFERROR('Historical FS'!#REF!/'Historical FS'!J6,0)</f>
        <v>0</v>
      </c>
      <c r="K38" s="23">
        <f>IFERROR('Historical FS'!#REF!/'Historical FS'!K6,0)</f>
        <v>0</v>
      </c>
      <c r="L38" s="23">
        <f>IFERROR('Historical FS'!#REF!/'Historical FS'!L6,0)</f>
        <v>0</v>
      </c>
      <c r="M38" s="22"/>
      <c r="N38" s="23">
        <f t="shared" si="2"/>
        <v>0</v>
      </c>
      <c r="O38" s="23">
        <f t="shared" si="1"/>
        <v>0</v>
      </c>
    </row>
    <row r="39" spans="2:15" x14ac:dyDescent="0.25">
      <c r="B39" t="s">
        <v>116</v>
      </c>
      <c r="C39" s="24">
        <f>IFERROR('Historical FS'!#REF!/'Historical FS'!C64,0)</f>
        <v>0</v>
      </c>
      <c r="D39" s="24">
        <f>IFERROR('Historical FS'!#REF!/'Historical FS'!D64,0)</f>
        <v>0</v>
      </c>
      <c r="E39" s="24">
        <f>IFERROR('Historical FS'!#REF!/'Historical FS'!E64,0)</f>
        <v>0</v>
      </c>
      <c r="F39" s="24">
        <f>IFERROR('Historical FS'!#REF!/'Historical FS'!F64,0)</f>
        <v>0</v>
      </c>
      <c r="G39" s="24">
        <f>IFERROR('Historical FS'!#REF!/'Historical FS'!G64,0)</f>
        <v>0</v>
      </c>
      <c r="H39" s="24">
        <f>IFERROR('Historical FS'!#REF!/'Historical FS'!H64,0)</f>
        <v>0</v>
      </c>
      <c r="I39" s="24">
        <f>IFERROR('Historical FS'!#REF!/'Historical FS'!I64,0)</f>
        <v>0</v>
      </c>
      <c r="J39" s="24">
        <f>IFERROR('Historical FS'!#REF!/'Historical FS'!J64,0)</f>
        <v>0</v>
      </c>
      <c r="K39" s="24">
        <f>IFERROR('Historical FS'!#REF!/'Historical FS'!K64,0)</f>
        <v>0</v>
      </c>
      <c r="L39" s="24">
        <f>IFERROR('Historical FS'!#REF!/'Historical FS'!L64,0)</f>
        <v>0</v>
      </c>
      <c r="N39" s="24">
        <f t="shared" si="2"/>
        <v>0</v>
      </c>
      <c r="O39" s="24">
        <f t="shared" si="1"/>
        <v>0</v>
      </c>
    </row>
    <row r="40" spans="2:15" x14ac:dyDescent="0.25">
      <c r="B40" s="25" t="s">
        <v>117</v>
      </c>
      <c r="C40" s="26">
        <f>IFERROR('Historical FS'!#REF!/'Historical FS'!C49,0)</f>
        <v>0</v>
      </c>
      <c r="D40" s="26">
        <f>IFERROR('Historical FS'!#REF!/'Historical FS'!D49,0)</f>
        <v>0</v>
      </c>
      <c r="E40" s="26">
        <f>IFERROR('Historical FS'!#REF!/'Historical FS'!E49,0)</f>
        <v>0</v>
      </c>
      <c r="F40" s="26">
        <f>IFERROR('Historical FS'!#REF!/'Historical FS'!F49,0)</f>
        <v>0</v>
      </c>
      <c r="G40" s="26">
        <f>IFERROR('Historical FS'!#REF!/'Historical FS'!G49,0)</f>
        <v>0</v>
      </c>
      <c r="H40" s="26">
        <f>IFERROR('Historical FS'!#REF!/'Historical FS'!H49,0)</f>
        <v>0</v>
      </c>
      <c r="I40" s="26">
        <f>IFERROR('Historical FS'!#REF!/'Historical FS'!I49,0)</f>
        <v>0</v>
      </c>
      <c r="J40" s="26">
        <f>IFERROR('Historical FS'!#REF!/'Historical FS'!J49,0)</f>
        <v>0</v>
      </c>
      <c r="K40" s="26">
        <f>IFERROR('Historical FS'!#REF!/'Historical FS'!K49,0)</f>
        <v>0</v>
      </c>
      <c r="L40" s="26">
        <f>IFERROR('Historical FS'!#REF!/'Historical FS'!L49,0)</f>
        <v>0</v>
      </c>
      <c r="M40" s="25"/>
      <c r="N40" s="26">
        <f t="shared" si="2"/>
        <v>0</v>
      </c>
      <c r="O40" s="26">
        <f t="shared" si="1"/>
        <v>0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5F0900E7-7F5D-4081-8F46-08727BCF311D}">
          <x14:colorSeries theme="4" tint="-0.249977111117893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Analisis'!C11:L11</xm:f>
              <xm:sqref>M11</xm:sqref>
            </x14:sparkline>
            <x14:sparkline>
              <xm:f>'Ratio Analisis'!C12:L12</xm:f>
              <xm:sqref>M12</xm:sqref>
            </x14:sparkline>
            <x14:sparkline>
              <xm:f>'Ratio Analisis'!C13:L13</xm:f>
              <xm:sqref>M13</xm:sqref>
            </x14:sparkline>
            <x14:sparkline>
              <xm:f>'Ratio Analisis'!C14:L14</xm:f>
              <xm:sqref>M14</xm:sqref>
            </x14:sparkline>
            <x14:sparkline>
              <xm:f>'Ratio Analisis'!C15:L15</xm:f>
              <xm:sqref>M15</xm:sqref>
            </x14:sparkline>
            <x14:sparkline>
              <xm:f>'Ratio Analisis'!C16:L16</xm:f>
              <xm:sqref>M16</xm:sqref>
            </x14:sparkline>
            <x14:sparkline>
              <xm:f>'Ratio Analisis'!C17:L17</xm:f>
              <xm:sqref>M17</xm:sqref>
            </x14:sparkline>
            <x14:sparkline>
              <xm:f>'Ratio Analisis'!C18:L18</xm:f>
              <xm:sqref>M18</xm:sqref>
            </x14:sparkline>
            <x14:sparkline>
              <xm:f>'Ratio Analisis'!C19:L19</xm:f>
              <xm:sqref>M19</xm:sqref>
            </x14:sparkline>
            <x14:sparkline>
              <xm:f>'Ratio Analisis'!C20:L20</xm:f>
              <xm:sqref>M20</xm:sqref>
            </x14:sparkline>
            <x14:sparkline>
              <xm:f>'Ratio Analisis'!C21:L21</xm:f>
              <xm:sqref>M21</xm:sqref>
            </x14:sparkline>
            <x14:sparkline>
              <xm:f>'Ratio Analisis'!C22:L22</xm:f>
              <xm:sqref>M22</xm:sqref>
            </x14:sparkline>
            <x14:sparkline>
              <xm:f>'Ratio Analisis'!C23:L23</xm:f>
              <xm:sqref>M23</xm:sqref>
            </x14:sparkline>
            <x14:sparkline>
              <xm:f>'Ratio Analisis'!C24:L24</xm:f>
              <xm:sqref>M24</xm:sqref>
            </x14:sparkline>
            <x14:sparkline>
              <xm:f>'Ratio Analisis'!C25:L25</xm:f>
              <xm:sqref>M25</xm:sqref>
            </x14:sparkline>
            <x14:sparkline>
              <xm:f>'Ratio Analisis'!C26:L26</xm:f>
              <xm:sqref>M26</xm:sqref>
            </x14:sparkline>
            <x14:sparkline>
              <xm:f>'Ratio Analisis'!C27:L27</xm:f>
              <xm:sqref>M27</xm:sqref>
            </x14:sparkline>
            <x14:sparkline>
              <xm:f>'Ratio Analisis'!C28:L28</xm:f>
              <xm:sqref>M28</xm:sqref>
            </x14:sparkline>
            <x14:sparkline>
              <xm:f>'Ratio Analisis'!C29:L29</xm:f>
              <xm:sqref>M29</xm:sqref>
            </x14:sparkline>
            <x14:sparkline>
              <xm:f>'Ratio Analisis'!C30:L30</xm:f>
              <xm:sqref>M30</xm:sqref>
            </x14:sparkline>
            <x14:sparkline>
              <xm:f>'Ratio Analisis'!C31:L31</xm:f>
              <xm:sqref>M31</xm:sqref>
            </x14:sparkline>
            <x14:sparkline>
              <xm:f>'Ratio Analisis'!C32:L32</xm:f>
              <xm:sqref>M32</xm:sqref>
            </x14:sparkline>
            <x14:sparkline>
              <xm:f>'Ratio Analisis'!C33:L33</xm:f>
              <xm:sqref>M33</xm:sqref>
            </x14:sparkline>
            <x14:sparkline>
              <xm:f>'Ratio Analisis'!C34:L34</xm:f>
              <xm:sqref>M34</xm:sqref>
            </x14:sparkline>
            <x14:sparkline>
              <xm:f>'Ratio Analisis'!C35:L35</xm:f>
              <xm:sqref>M35</xm:sqref>
            </x14:sparkline>
            <x14:sparkline>
              <xm:f>'Ratio Analisis'!C36:L36</xm:f>
              <xm:sqref>M36</xm:sqref>
            </x14:sparkline>
            <x14:sparkline>
              <xm:f>'Ratio Analisis'!C37:L37</xm:f>
              <xm:sqref>M37</xm:sqref>
            </x14:sparkline>
            <x14:sparkline>
              <xm:f>'Ratio Analisis'!C38:L38</xm:f>
              <xm:sqref>M38</xm:sqref>
            </x14:sparkline>
            <x14:sparkline>
              <xm:f>'Ratio Analisis'!C39:L39</xm:f>
              <xm:sqref>M39</xm:sqref>
            </x14:sparkline>
            <x14:sparkline>
              <xm:f>'Ratio Analisis'!C40:L40</xm:f>
              <xm:sqref>M40</xm:sqref>
            </x14:sparkline>
          </x14:sparklines>
        </x14:sparklineGroup>
        <x14:sparklineGroup displayEmptyCellsAs="gap" markers="1" xr2:uid="{998C35AF-5015-44BC-B6FD-E9CDB5F462D4}">
          <x14:colorSeries theme="4" tint="-0.249977111117893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Analisis'!D5:L5</xm:f>
              <xm:sqref>M5</xm:sqref>
            </x14:sparkline>
            <x14:sparkline>
              <xm:f>'Ratio Analisis'!D6:L6</xm:f>
              <xm:sqref>M6</xm:sqref>
            </x14:sparkline>
            <x14:sparkline>
              <xm:f>'Ratio Analisis'!D7:L7</xm:f>
              <xm:sqref>M7</xm:sqref>
            </x14:sparkline>
            <x14:sparkline>
              <xm:f>'Ratio Analisis'!D8:L8</xm:f>
              <xm:sqref>M8</xm:sqref>
            </x14:sparkline>
            <x14:sparkline>
              <xm:f>'Ratio Analisis'!D9:L9</xm:f>
              <xm:sqref>M9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2B53-A1C5-4AED-B552-234264D53943}">
  <sheetPr>
    <tabColor rgb="FFFF0000"/>
  </sheetPr>
  <dimension ref="A1:K93"/>
  <sheetViews>
    <sheetView topLeftCell="A10" workbookViewId="0">
      <selection activeCell="B66" sqref="B66"/>
    </sheetView>
  </sheetViews>
  <sheetFormatPr defaultRowHeight="15" x14ac:dyDescent="0.25"/>
  <cols>
    <col min="1" max="1" width="27.7109375" bestFit="1" customWidth="1"/>
    <col min="2" max="2" width="18.5703125" bestFit="1" customWidth="1"/>
    <col min="3" max="11" width="11" bestFit="1" customWidth="1"/>
  </cols>
  <sheetData>
    <row r="1" spans="1:11" x14ac:dyDescent="0.25">
      <c r="A1" s="1" t="s">
        <v>41</v>
      </c>
      <c r="B1" s="1" t="s">
        <v>42</v>
      </c>
      <c r="C1" s="1"/>
      <c r="D1" s="1"/>
      <c r="E1" s="58" t="s">
        <v>43</v>
      </c>
      <c r="F1" s="58"/>
      <c r="G1" s="58"/>
      <c r="H1" s="58"/>
      <c r="I1" s="58"/>
      <c r="J1" s="58"/>
      <c r="K1" s="58"/>
    </row>
    <row r="2" spans="1:11" x14ac:dyDescent="0.25">
      <c r="A2" s="1" t="s">
        <v>44</v>
      </c>
      <c r="B2" s="2">
        <v>2.1</v>
      </c>
      <c r="E2" s="59" t="s">
        <v>45</v>
      </c>
      <c r="F2" s="59"/>
      <c r="G2" s="59"/>
      <c r="H2" s="59"/>
      <c r="I2" s="59"/>
      <c r="J2" s="59"/>
      <c r="K2" s="59"/>
    </row>
    <row r="3" spans="1:11" x14ac:dyDescent="0.25">
      <c r="A3" s="1" t="s">
        <v>46</v>
      </c>
      <c r="B3" s="2">
        <v>2.1</v>
      </c>
    </row>
    <row r="4" spans="1:11" x14ac:dyDescent="0.25">
      <c r="A4" s="1"/>
    </row>
    <row r="5" spans="1:11" x14ac:dyDescent="0.25">
      <c r="A5" s="1" t="s">
        <v>47</v>
      </c>
    </row>
    <row r="6" spans="1:11" x14ac:dyDescent="0.25">
      <c r="A6" s="2" t="s">
        <v>48</v>
      </c>
      <c r="B6" s="2" t="s">
        <v>43</v>
      </c>
    </row>
    <row r="7" spans="1:11" x14ac:dyDescent="0.25">
      <c r="A7" s="2" t="s">
        <v>49</v>
      </c>
      <c r="B7">
        <v>2</v>
      </c>
    </row>
    <row r="8" spans="1:11" x14ac:dyDescent="0.25">
      <c r="A8" s="2" t="s">
        <v>50</v>
      </c>
      <c r="B8">
        <v>634.25</v>
      </c>
    </row>
    <row r="9" spans="1:11" x14ac:dyDescent="0.25">
      <c r="A9" s="2" t="s">
        <v>51</v>
      </c>
      <c r="B9">
        <v>232521.9</v>
      </c>
    </row>
    <row r="15" spans="1:11" x14ac:dyDescent="0.25">
      <c r="A15" s="1" t="s">
        <v>0</v>
      </c>
    </row>
    <row r="16" spans="1:11" x14ac:dyDescent="0.25">
      <c r="A16" s="5" t="s">
        <v>1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x14ac:dyDescent="0.25">
      <c r="A17" s="3" t="s">
        <v>2</v>
      </c>
      <c r="B17">
        <v>232833.66</v>
      </c>
      <c r="C17">
        <v>263158.98</v>
      </c>
      <c r="D17">
        <v>273045.59999999998</v>
      </c>
      <c r="E17">
        <v>269692.51</v>
      </c>
      <c r="F17">
        <v>291550.48</v>
      </c>
      <c r="G17">
        <v>301938.40000000002</v>
      </c>
      <c r="H17">
        <v>261067.97</v>
      </c>
      <c r="I17">
        <v>249794.75</v>
      </c>
      <c r="J17">
        <v>278453.62</v>
      </c>
      <c r="K17">
        <v>345966.97</v>
      </c>
    </row>
    <row r="18" spans="1:11" x14ac:dyDescent="0.25">
      <c r="A18" s="2" t="s">
        <v>3</v>
      </c>
      <c r="B18">
        <v>146426.99</v>
      </c>
      <c r="C18">
        <v>163250.35999999999</v>
      </c>
      <c r="D18">
        <v>166134.01</v>
      </c>
      <c r="E18">
        <v>173294.07999999999</v>
      </c>
      <c r="F18">
        <v>187896.58</v>
      </c>
      <c r="G18">
        <v>194267.91</v>
      </c>
      <c r="H18">
        <v>164899.82</v>
      </c>
      <c r="I18">
        <v>153607.35999999999</v>
      </c>
      <c r="J18">
        <v>179295.33</v>
      </c>
      <c r="K18">
        <v>231251.26</v>
      </c>
    </row>
    <row r="19" spans="1:11" x14ac:dyDescent="0.25">
      <c r="A19" s="2" t="s">
        <v>4</v>
      </c>
      <c r="B19">
        <v>2840.58</v>
      </c>
      <c r="C19">
        <v>3330.35</v>
      </c>
      <c r="D19">
        <v>2750.99</v>
      </c>
      <c r="E19">
        <v>7399.92</v>
      </c>
      <c r="F19">
        <v>2046.58</v>
      </c>
      <c r="G19">
        <v>-2053.2800000000002</v>
      </c>
      <c r="H19">
        <v>-2231.19</v>
      </c>
      <c r="I19">
        <v>-4684.16</v>
      </c>
      <c r="J19">
        <v>-1590.49</v>
      </c>
      <c r="K19">
        <v>4781.62</v>
      </c>
    </row>
    <row r="20" spans="1:11" x14ac:dyDescent="0.25">
      <c r="A20" s="2" t="s">
        <v>5</v>
      </c>
      <c r="B20">
        <v>1128.69</v>
      </c>
      <c r="C20">
        <v>1121.75</v>
      </c>
      <c r="D20">
        <v>1143.6300000000001</v>
      </c>
      <c r="E20">
        <v>1159.82</v>
      </c>
      <c r="F20">
        <v>1308.08</v>
      </c>
      <c r="G20">
        <v>1585.93</v>
      </c>
      <c r="H20">
        <v>1264.95</v>
      </c>
      <c r="I20">
        <v>1112.8699999999999</v>
      </c>
      <c r="J20">
        <v>2178.29</v>
      </c>
      <c r="K20">
        <v>2513.33</v>
      </c>
    </row>
    <row r="21" spans="1:11" x14ac:dyDescent="0.25">
      <c r="A21" s="2" t="s">
        <v>6</v>
      </c>
      <c r="B21">
        <v>13806.04</v>
      </c>
      <c r="C21">
        <v>16173.17</v>
      </c>
      <c r="D21">
        <v>12101.53</v>
      </c>
      <c r="E21">
        <v>10067.370000000001</v>
      </c>
      <c r="F21">
        <v>10971.66</v>
      </c>
      <c r="G21">
        <v>11694.54</v>
      </c>
      <c r="H21">
        <v>11541.51</v>
      </c>
      <c r="I21">
        <v>8273.17</v>
      </c>
      <c r="J21">
        <v>9427.3799999999992</v>
      </c>
      <c r="K21">
        <v>11765.97</v>
      </c>
    </row>
    <row r="22" spans="1:11" x14ac:dyDescent="0.25">
      <c r="A22" s="2" t="s">
        <v>7</v>
      </c>
      <c r="B22">
        <v>21609.919999999998</v>
      </c>
      <c r="C22">
        <v>25641.95</v>
      </c>
      <c r="D22">
        <v>28880.89</v>
      </c>
      <c r="E22">
        <v>28332.89</v>
      </c>
      <c r="F22">
        <v>30300.09</v>
      </c>
      <c r="G22">
        <v>33243.870000000003</v>
      </c>
      <c r="H22">
        <v>30438.6</v>
      </c>
      <c r="I22">
        <v>27648.48</v>
      </c>
      <c r="J22">
        <v>30808.52</v>
      </c>
      <c r="K22">
        <v>33654.699999999997</v>
      </c>
    </row>
    <row r="23" spans="1:11" x14ac:dyDescent="0.25">
      <c r="A23" s="2" t="s">
        <v>8</v>
      </c>
      <c r="B23">
        <v>22357.79</v>
      </c>
      <c r="C23">
        <v>23603.01</v>
      </c>
      <c r="D23">
        <v>21991.9</v>
      </c>
      <c r="E23">
        <v>30039.38</v>
      </c>
      <c r="F23">
        <v>31004.58</v>
      </c>
      <c r="G23">
        <v>32719.8</v>
      </c>
      <c r="H23">
        <v>29248.32</v>
      </c>
      <c r="I23">
        <v>23015.79</v>
      </c>
      <c r="J23">
        <v>29205.4</v>
      </c>
      <c r="K23">
        <v>34839.19</v>
      </c>
    </row>
    <row r="24" spans="1:11" x14ac:dyDescent="0.25">
      <c r="A24" s="2" t="s">
        <v>9</v>
      </c>
      <c r="B24">
        <v>-4508.55</v>
      </c>
      <c r="C24">
        <v>-2539.56</v>
      </c>
      <c r="D24">
        <v>7149.38</v>
      </c>
      <c r="E24">
        <v>4610.2</v>
      </c>
      <c r="F24">
        <v>658.39</v>
      </c>
      <c r="G24">
        <v>1708.74</v>
      </c>
      <c r="H24">
        <v>3456.51</v>
      </c>
      <c r="I24">
        <v>-834.51</v>
      </c>
      <c r="J24">
        <v>1228.1199999999999</v>
      </c>
      <c r="K24">
        <v>4908.34</v>
      </c>
    </row>
    <row r="25" spans="1:11" x14ac:dyDescent="0.25">
      <c r="A25" s="3" t="s">
        <v>10</v>
      </c>
      <c r="B25">
        <v>-156.79</v>
      </c>
      <c r="C25">
        <v>714.03</v>
      </c>
      <c r="D25">
        <v>-2669.62</v>
      </c>
      <c r="E25">
        <v>1869.1</v>
      </c>
      <c r="F25">
        <v>5932.73</v>
      </c>
      <c r="G25">
        <v>-26686.25</v>
      </c>
      <c r="H25">
        <v>101.71</v>
      </c>
      <c r="I25">
        <v>-11117.83</v>
      </c>
      <c r="J25">
        <v>2424.0500000000002</v>
      </c>
      <c r="K25">
        <v>6327.59</v>
      </c>
    </row>
    <row r="26" spans="1:11" x14ac:dyDescent="0.25">
      <c r="A26" s="3" t="s">
        <v>11</v>
      </c>
      <c r="B26">
        <v>11078.16</v>
      </c>
      <c r="C26">
        <v>13388.63</v>
      </c>
      <c r="D26">
        <v>16710.78</v>
      </c>
      <c r="E26">
        <v>17904.990000000002</v>
      </c>
      <c r="F26">
        <v>21553.59</v>
      </c>
      <c r="G26">
        <v>23590.63</v>
      </c>
      <c r="H26">
        <v>21425.43</v>
      </c>
      <c r="I26">
        <v>23546.71</v>
      </c>
      <c r="J26">
        <v>24835.69</v>
      </c>
      <c r="K26">
        <v>24860.36</v>
      </c>
    </row>
    <row r="27" spans="1:11" x14ac:dyDescent="0.25">
      <c r="A27" s="3" t="s">
        <v>12</v>
      </c>
      <c r="B27">
        <v>4749.4399999999996</v>
      </c>
      <c r="C27">
        <v>4861.49</v>
      </c>
      <c r="D27">
        <v>4889.08</v>
      </c>
      <c r="E27">
        <v>4238.01</v>
      </c>
      <c r="F27">
        <v>4681.79</v>
      </c>
      <c r="G27">
        <v>5758.6</v>
      </c>
      <c r="H27">
        <v>7243.33</v>
      </c>
      <c r="I27">
        <v>8097.17</v>
      </c>
      <c r="J27">
        <v>9311.86</v>
      </c>
      <c r="K27">
        <v>10225.48</v>
      </c>
    </row>
    <row r="28" spans="1:11" x14ac:dyDescent="0.25">
      <c r="A28" s="3" t="s">
        <v>13</v>
      </c>
      <c r="B28">
        <v>18868.97</v>
      </c>
      <c r="C28">
        <v>21702.560000000001</v>
      </c>
      <c r="D28">
        <v>14125.77</v>
      </c>
      <c r="E28">
        <v>9314.7900000000009</v>
      </c>
      <c r="F28">
        <v>11155.03</v>
      </c>
      <c r="G28">
        <v>-31371.15</v>
      </c>
      <c r="H28">
        <v>-10579.98</v>
      </c>
      <c r="I28">
        <v>-10474.280000000001</v>
      </c>
      <c r="J28">
        <v>-7003.41</v>
      </c>
      <c r="K28">
        <v>3057.55</v>
      </c>
    </row>
    <row r="29" spans="1:11" x14ac:dyDescent="0.25">
      <c r="A29" s="3" t="s">
        <v>14</v>
      </c>
      <c r="B29">
        <v>4764.79</v>
      </c>
      <c r="C29">
        <v>7642.91</v>
      </c>
      <c r="D29">
        <v>3025.05</v>
      </c>
      <c r="E29">
        <v>3251.23</v>
      </c>
      <c r="F29">
        <v>4341.93</v>
      </c>
      <c r="G29">
        <v>-2437.4499999999998</v>
      </c>
      <c r="H29">
        <v>395.25</v>
      </c>
      <c r="I29">
        <v>2541.86</v>
      </c>
      <c r="J29">
        <v>4231.29</v>
      </c>
      <c r="K29">
        <v>704.06</v>
      </c>
    </row>
    <row r="30" spans="1:11" x14ac:dyDescent="0.25">
      <c r="A30" s="3" t="s">
        <v>15</v>
      </c>
      <c r="B30">
        <v>13991.02</v>
      </c>
      <c r="C30">
        <v>13986.29</v>
      </c>
      <c r="D30">
        <v>11579.31</v>
      </c>
      <c r="E30">
        <v>7454.36</v>
      </c>
      <c r="F30">
        <v>8988.91</v>
      </c>
      <c r="G30">
        <v>-28826.23</v>
      </c>
      <c r="H30">
        <v>-12070.85</v>
      </c>
      <c r="I30">
        <v>-13451.39</v>
      </c>
      <c r="J30">
        <v>-11441.47</v>
      </c>
      <c r="K30">
        <v>2414.29</v>
      </c>
    </row>
    <row r="31" spans="1:11" x14ac:dyDescent="0.25">
      <c r="A31" s="3" t="s">
        <v>16</v>
      </c>
      <c r="B31">
        <v>643.78</v>
      </c>
      <c r="C31" s="3"/>
      <c r="D31">
        <v>67.92</v>
      </c>
      <c r="E31" s="3"/>
      <c r="F31" s="3"/>
      <c r="G31" s="3"/>
      <c r="H31" s="3"/>
      <c r="I31" s="3"/>
      <c r="J31" s="3"/>
      <c r="K31">
        <v>766.02</v>
      </c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52</v>
      </c>
    </row>
    <row r="41" spans="1:11" x14ac:dyDescent="0.25">
      <c r="A41" s="5" t="s">
        <v>1</v>
      </c>
      <c r="B41" s="4">
        <v>44286</v>
      </c>
      <c r="C41" s="4">
        <v>44377</v>
      </c>
      <c r="D41" s="4">
        <v>44469</v>
      </c>
      <c r="E41" s="4">
        <v>44561</v>
      </c>
      <c r="F41" s="4">
        <v>44651</v>
      </c>
      <c r="G41" s="4">
        <v>44742</v>
      </c>
      <c r="H41" s="4">
        <v>44834</v>
      </c>
      <c r="I41" s="4">
        <v>44926</v>
      </c>
      <c r="J41" s="4">
        <v>45016</v>
      </c>
      <c r="K41" s="4">
        <v>45107</v>
      </c>
    </row>
    <row r="42" spans="1:11" x14ac:dyDescent="0.25">
      <c r="A42" s="3" t="s">
        <v>2</v>
      </c>
      <c r="B42">
        <v>88627.9</v>
      </c>
      <c r="C42">
        <v>66406.45</v>
      </c>
      <c r="D42">
        <v>61378.82</v>
      </c>
      <c r="E42">
        <v>72229.289999999994</v>
      </c>
      <c r="F42">
        <v>78439.06</v>
      </c>
      <c r="G42">
        <v>71934.66</v>
      </c>
      <c r="H42">
        <v>79611.37</v>
      </c>
      <c r="I42">
        <v>88488.59</v>
      </c>
      <c r="J42">
        <v>105932.35</v>
      </c>
      <c r="K42">
        <v>102236.08</v>
      </c>
    </row>
    <row r="43" spans="1:11" x14ac:dyDescent="0.25">
      <c r="A43" s="3" t="s">
        <v>53</v>
      </c>
      <c r="B43">
        <v>75254.17</v>
      </c>
      <c r="C43">
        <v>61163.78</v>
      </c>
      <c r="D43">
        <v>57262.21</v>
      </c>
      <c r="E43">
        <v>65151.27</v>
      </c>
      <c r="F43">
        <v>70156.27</v>
      </c>
      <c r="G43">
        <v>69521.929999999993</v>
      </c>
      <c r="H43">
        <v>74039.06</v>
      </c>
      <c r="I43">
        <v>77668.350000000006</v>
      </c>
      <c r="J43">
        <v>92817.95</v>
      </c>
      <c r="K43">
        <v>89018.36</v>
      </c>
    </row>
    <row r="44" spans="1:11" x14ac:dyDescent="0.25">
      <c r="A44" s="3" t="s">
        <v>10</v>
      </c>
      <c r="B44">
        <v>-12655.05</v>
      </c>
      <c r="C44">
        <v>584.12</v>
      </c>
      <c r="D44">
        <v>862.46</v>
      </c>
      <c r="E44">
        <v>788.73</v>
      </c>
      <c r="F44">
        <v>188.74</v>
      </c>
      <c r="G44">
        <v>2380.98</v>
      </c>
      <c r="H44">
        <v>1351.14</v>
      </c>
      <c r="I44">
        <v>1129.98</v>
      </c>
      <c r="J44">
        <v>1361.61</v>
      </c>
      <c r="K44">
        <v>683.56</v>
      </c>
    </row>
    <row r="45" spans="1:11" x14ac:dyDescent="0.25">
      <c r="A45" s="3" t="s">
        <v>11</v>
      </c>
      <c r="B45">
        <v>6217.12</v>
      </c>
      <c r="C45">
        <v>6202.13</v>
      </c>
      <c r="D45">
        <v>6123.32</v>
      </c>
      <c r="E45">
        <v>6078.13</v>
      </c>
      <c r="F45">
        <v>6432.11</v>
      </c>
      <c r="G45">
        <v>5841.04</v>
      </c>
      <c r="H45">
        <v>5897.34</v>
      </c>
      <c r="I45">
        <v>6071.78</v>
      </c>
      <c r="J45">
        <v>7050.2</v>
      </c>
      <c r="K45">
        <v>6633.18</v>
      </c>
    </row>
    <row r="46" spans="1:11" x14ac:dyDescent="0.25">
      <c r="A46" s="3" t="s">
        <v>12</v>
      </c>
      <c r="B46">
        <v>2144.83</v>
      </c>
      <c r="C46">
        <v>2203.3000000000002</v>
      </c>
      <c r="D46">
        <v>2327.3000000000002</v>
      </c>
      <c r="E46">
        <v>2400.7399999999998</v>
      </c>
      <c r="F46">
        <v>2380.52</v>
      </c>
      <c r="G46">
        <v>2420.7199999999998</v>
      </c>
      <c r="H46">
        <v>2487.2600000000002</v>
      </c>
      <c r="I46">
        <v>2675.83</v>
      </c>
      <c r="J46">
        <v>2641.67</v>
      </c>
      <c r="K46">
        <v>2615.39</v>
      </c>
    </row>
    <row r="47" spans="1:11" x14ac:dyDescent="0.25">
      <c r="A47" s="3" t="s">
        <v>13</v>
      </c>
      <c r="B47">
        <v>-7643.27</v>
      </c>
      <c r="C47">
        <v>-2578.64</v>
      </c>
      <c r="D47">
        <v>-3471.55</v>
      </c>
      <c r="E47">
        <v>-612.12</v>
      </c>
      <c r="F47">
        <v>-341.1</v>
      </c>
      <c r="G47">
        <v>-3468.05</v>
      </c>
      <c r="H47">
        <v>-1461.15</v>
      </c>
      <c r="I47">
        <v>3202.61</v>
      </c>
      <c r="J47">
        <v>4784.1400000000003</v>
      </c>
      <c r="K47">
        <v>4652.71</v>
      </c>
    </row>
    <row r="48" spans="1:11" x14ac:dyDescent="0.25">
      <c r="A48" s="3" t="s">
        <v>14</v>
      </c>
      <c r="B48">
        <v>-132.41999999999999</v>
      </c>
      <c r="C48">
        <v>1741.96</v>
      </c>
      <c r="D48">
        <v>1005.06</v>
      </c>
      <c r="E48">
        <v>726.05</v>
      </c>
      <c r="F48">
        <v>758.22</v>
      </c>
      <c r="G48">
        <v>1518.96</v>
      </c>
      <c r="H48">
        <v>-457.08</v>
      </c>
      <c r="I48">
        <v>262.83</v>
      </c>
      <c r="J48">
        <v>-620.65</v>
      </c>
      <c r="K48">
        <v>1563.01</v>
      </c>
    </row>
    <row r="49" spans="1:11" x14ac:dyDescent="0.25">
      <c r="A49" s="3" t="s">
        <v>15</v>
      </c>
      <c r="B49">
        <v>-7605.4</v>
      </c>
      <c r="C49">
        <v>-4450.92</v>
      </c>
      <c r="D49">
        <v>-4441.57</v>
      </c>
      <c r="E49">
        <v>-1516.14</v>
      </c>
      <c r="F49">
        <v>-1032.8399999999999</v>
      </c>
      <c r="G49">
        <v>-5006.6000000000004</v>
      </c>
      <c r="H49">
        <v>-944.61</v>
      </c>
      <c r="I49">
        <v>2957.71</v>
      </c>
      <c r="J49">
        <v>5407.79</v>
      </c>
      <c r="K49">
        <v>3202.8</v>
      </c>
    </row>
    <row r="50" spans="1:11" x14ac:dyDescent="0.25">
      <c r="A50" s="3" t="s">
        <v>54</v>
      </c>
      <c r="B50">
        <v>13373.73</v>
      </c>
      <c r="C50">
        <v>5242.67</v>
      </c>
      <c r="D50">
        <v>4116.6099999999997</v>
      </c>
      <c r="E50">
        <v>7078.02</v>
      </c>
      <c r="F50">
        <v>8282.7900000000009</v>
      </c>
      <c r="G50">
        <v>2412.73</v>
      </c>
      <c r="H50">
        <v>5572.31</v>
      </c>
      <c r="I50">
        <v>10820.24</v>
      </c>
      <c r="J50">
        <v>13114.4</v>
      </c>
      <c r="K50">
        <v>13217.72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17</v>
      </c>
    </row>
    <row r="56" spans="1:11" x14ac:dyDescent="0.25">
      <c r="A56" s="5" t="s">
        <v>1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25">
      <c r="A57" s="3" t="s">
        <v>18</v>
      </c>
      <c r="B57">
        <v>643.78</v>
      </c>
      <c r="C57">
        <v>643.78</v>
      </c>
      <c r="D57">
        <v>679.18</v>
      </c>
      <c r="E57">
        <v>679.22</v>
      </c>
      <c r="F57">
        <v>679.22</v>
      </c>
      <c r="G57">
        <v>679.22</v>
      </c>
      <c r="H57">
        <v>719.54</v>
      </c>
      <c r="I57">
        <v>765.81</v>
      </c>
      <c r="J57">
        <v>765.88</v>
      </c>
      <c r="K57">
        <v>766.02</v>
      </c>
    </row>
    <row r="58" spans="1:11" x14ac:dyDescent="0.25">
      <c r="A58" s="3" t="s">
        <v>19</v>
      </c>
      <c r="B58">
        <v>64959.67</v>
      </c>
      <c r="C58">
        <v>55618.14</v>
      </c>
      <c r="D58">
        <v>78273.23</v>
      </c>
      <c r="E58">
        <v>57382.67</v>
      </c>
      <c r="F58">
        <v>94748.69</v>
      </c>
      <c r="G58">
        <v>59500.34</v>
      </c>
      <c r="H58">
        <v>61491.49</v>
      </c>
      <c r="I58">
        <v>54480.91</v>
      </c>
      <c r="J58">
        <v>43795.360000000001</v>
      </c>
      <c r="K58">
        <v>44555.77</v>
      </c>
    </row>
    <row r="59" spans="1:11" x14ac:dyDescent="0.25">
      <c r="A59" s="3" t="s">
        <v>20</v>
      </c>
      <c r="B59">
        <v>60642.28</v>
      </c>
      <c r="C59">
        <v>73610.39</v>
      </c>
      <c r="D59">
        <v>69359.960000000006</v>
      </c>
      <c r="E59">
        <v>78603.98</v>
      </c>
      <c r="F59">
        <v>88950.47</v>
      </c>
      <c r="G59">
        <v>106175.34</v>
      </c>
      <c r="H59">
        <v>124787.64</v>
      </c>
      <c r="I59">
        <v>142130.57</v>
      </c>
      <c r="J59">
        <v>146449.03</v>
      </c>
      <c r="K59">
        <v>134113.44</v>
      </c>
    </row>
    <row r="60" spans="1:11" x14ac:dyDescent="0.25">
      <c r="A60" s="3" t="s">
        <v>21</v>
      </c>
      <c r="B60">
        <v>92180.26</v>
      </c>
      <c r="C60">
        <v>107442.48</v>
      </c>
      <c r="D60">
        <v>114871.75</v>
      </c>
      <c r="E60">
        <v>135914.49</v>
      </c>
      <c r="F60">
        <v>142813.43</v>
      </c>
      <c r="G60">
        <v>139348.59</v>
      </c>
      <c r="H60">
        <v>133180.72</v>
      </c>
      <c r="I60">
        <v>144192.62</v>
      </c>
      <c r="J60">
        <v>138051.22</v>
      </c>
      <c r="K60">
        <v>155239.20000000001</v>
      </c>
    </row>
    <row r="61" spans="1:11" x14ac:dyDescent="0.25">
      <c r="A61" s="1" t="s">
        <v>22</v>
      </c>
      <c r="B61">
        <v>218425.99</v>
      </c>
      <c r="C61">
        <v>237314.79</v>
      </c>
      <c r="D61">
        <v>263184.12</v>
      </c>
      <c r="E61">
        <v>272580.36</v>
      </c>
      <c r="F61">
        <v>327191.81</v>
      </c>
      <c r="G61">
        <v>305703.49</v>
      </c>
      <c r="H61">
        <v>320179.39</v>
      </c>
      <c r="I61">
        <v>341569.91</v>
      </c>
      <c r="J61">
        <v>329061.49</v>
      </c>
      <c r="K61">
        <v>334674.43</v>
      </c>
    </row>
    <row r="62" spans="1:11" x14ac:dyDescent="0.25">
      <c r="A62" s="3" t="s">
        <v>23</v>
      </c>
      <c r="B62">
        <v>69091.67</v>
      </c>
      <c r="C62">
        <v>88479.49</v>
      </c>
      <c r="D62">
        <v>107231.76</v>
      </c>
      <c r="E62">
        <v>95944.08</v>
      </c>
      <c r="F62">
        <v>121413.86</v>
      </c>
      <c r="G62">
        <v>111234.47</v>
      </c>
      <c r="H62">
        <v>127107.14</v>
      </c>
      <c r="I62">
        <v>138707.60999999999</v>
      </c>
      <c r="J62">
        <v>138855.45000000001</v>
      </c>
      <c r="K62">
        <v>132079.76</v>
      </c>
    </row>
    <row r="63" spans="1:11" x14ac:dyDescent="0.25">
      <c r="A63" s="3" t="s">
        <v>24</v>
      </c>
      <c r="B63">
        <v>33262.559999999998</v>
      </c>
      <c r="C63">
        <v>28640.09</v>
      </c>
      <c r="D63">
        <v>25918.94</v>
      </c>
      <c r="E63">
        <v>33698.839999999997</v>
      </c>
      <c r="F63">
        <v>40033.5</v>
      </c>
      <c r="G63">
        <v>31883.84</v>
      </c>
      <c r="H63">
        <v>35622.29</v>
      </c>
      <c r="I63">
        <v>20963.93</v>
      </c>
      <c r="J63">
        <v>10251.09</v>
      </c>
      <c r="K63">
        <v>14274.5</v>
      </c>
    </row>
    <row r="64" spans="1:11" x14ac:dyDescent="0.25">
      <c r="A64" s="3" t="s">
        <v>25</v>
      </c>
      <c r="B64">
        <v>10686.67</v>
      </c>
      <c r="C64">
        <v>15336.74</v>
      </c>
      <c r="D64">
        <v>23767.02</v>
      </c>
      <c r="E64">
        <v>20337.919999999998</v>
      </c>
      <c r="F64">
        <v>20812.75</v>
      </c>
      <c r="G64">
        <v>15770.72</v>
      </c>
      <c r="H64">
        <v>16308.48</v>
      </c>
      <c r="I64">
        <v>24620.28</v>
      </c>
      <c r="J64">
        <v>29379.53</v>
      </c>
      <c r="K64">
        <v>26379.16</v>
      </c>
    </row>
    <row r="65" spans="1:11" x14ac:dyDescent="0.25">
      <c r="A65" s="3" t="s">
        <v>26</v>
      </c>
      <c r="B65">
        <v>105385.09</v>
      </c>
      <c r="C65">
        <v>104858.47</v>
      </c>
      <c r="D65">
        <v>106266.4</v>
      </c>
      <c r="E65">
        <v>122599.52</v>
      </c>
      <c r="F65">
        <v>144931.70000000001</v>
      </c>
      <c r="G65">
        <v>146814.46</v>
      </c>
      <c r="H65">
        <v>141141.48000000001</v>
      </c>
      <c r="I65">
        <v>157278.09</v>
      </c>
      <c r="J65">
        <v>150575.42000000001</v>
      </c>
      <c r="K65">
        <v>161941.01</v>
      </c>
    </row>
    <row r="66" spans="1:11" x14ac:dyDescent="0.25">
      <c r="A66" s="1" t="s">
        <v>22</v>
      </c>
      <c r="B66">
        <v>218425.99</v>
      </c>
      <c r="C66">
        <v>237314.79</v>
      </c>
      <c r="D66">
        <v>263184.12</v>
      </c>
      <c r="E66">
        <v>272580.36</v>
      </c>
      <c r="F66">
        <v>327191.81</v>
      </c>
      <c r="G66">
        <v>305703.49</v>
      </c>
      <c r="H66">
        <v>320179.39</v>
      </c>
      <c r="I66">
        <v>341569.91</v>
      </c>
      <c r="J66">
        <v>329061.49</v>
      </c>
      <c r="K66">
        <v>334674.43</v>
      </c>
    </row>
    <row r="67" spans="1:11" x14ac:dyDescent="0.25">
      <c r="A67" s="3" t="s">
        <v>27</v>
      </c>
      <c r="B67">
        <v>10574.23</v>
      </c>
      <c r="C67">
        <v>12579.2</v>
      </c>
      <c r="D67">
        <v>13570.91</v>
      </c>
      <c r="E67">
        <v>14075.55</v>
      </c>
      <c r="F67">
        <v>19893.3</v>
      </c>
      <c r="G67">
        <v>18996.169999999998</v>
      </c>
      <c r="H67">
        <v>11172.69</v>
      </c>
      <c r="I67">
        <v>12679.08</v>
      </c>
      <c r="J67">
        <v>12442.12</v>
      </c>
      <c r="K67">
        <v>15737.97</v>
      </c>
    </row>
    <row r="68" spans="1:11" x14ac:dyDescent="0.25">
      <c r="A68" s="3" t="s">
        <v>28</v>
      </c>
      <c r="B68">
        <v>27270.89</v>
      </c>
      <c r="C68">
        <v>29272.34</v>
      </c>
      <c r="D68">
        <v>32655.73</v>
      </c>
      <c r="E68">
        <v>35085.31</v>
      </c>
      <c r="F68">
        <v>42137.63</v>
      </c>
      <c r="G68">
        <v>39013.730000000003</v>
      </c>
      <c r="H68">
        <v>37456.879999999997</v>
      </c>
      <c r="I68">
        <v>36088.589999999997</v>
      </c>
      <c r="J68">
        <v>35240.339999999997</v>
      </c>
      <c r="K68">
        <v>40755.39</v>
      </c>
    </row>
    <row r="69" spans="1:11" x14ac:dyDescent="0.25">
      <c r="A69" s="2" t="s">
        <v>29</v>
      </c>
      <c r="B69">
        <v>29711.79</v>
      </c>
      <c r="C69">
        <v>32115.759999999998</v>
      </c>
      <c r="D69">
        <v>30460.400000000001</v>
      </c>
      <c r="E69">
        <v>36077.879999999997</v>
      </c>
      <c r="F69">
        <v>34613.910000000003</v>
      </c>
      <c r="G69">
        <v>32648.82</v>
      </c>
      <c r="H69">
        <v>33726.97</v>
      </c>
      <c r="I69">
        <v>46792.46</v>
      </c>
      <c r="J69">
        <v>40669.19</v>
      </c>
      <c r="K69">
        <v>37015.56</v>
      </c>
    </row>
    <row r="70" spans="1:11" x14ac:dyDescent="0.25">
      <c r="A70" s="2" t="s">
        <v>30</v>
      </c>
      <c r="B70">
        <v>3218930000</v>
      </c>
      <c r="C70">
        <v>3218930067</v>
      </c>
      <c r="D70">
        <v>3395930306</v>
      </c>
      <c r="E70">
        <v>3396100719</v>
      </c>
      <c r="F70">
        <v>3396100719</v>
      </c>
      <c r="G70">
        <v>3396100719</v>
      </c>
      <c r="H70">
        <v>3597726185</v>
      </c>
      <c r="I70">
        <v>3829060661</v>
      </c>
      <c r="J70">
        <v>3829414903</v>
      </c>
      <c r="K70">
        <v>3830097221</v>
      </c>
    </row>
    <row r="71" spans="1:11" x14ac:dyDescent="0.25">
      <c r="A71" s="2" t="s">
        <v>31</v>
      </c>
    </row>
    <row r="72" spans="1:11" x14ac:dyDescent="0.25">
      <c r="A72" s="2" t="s">
        <v>32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33</v>
      </c>
    </row>
    <row r="81" spans="1:11" x14ac:dyDescent="0.25">
      <c r="A81" s="5" t="s">
        <v>1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x14ac:dyDescent="0.25">
      <c r="A82" s="3" t="s">
        <v>34</v>
      </c>
      <c r="B82">
        <v>36151.160000000003</v>
      </c>
      <c r="C82">
        <v>35531.26</v>
      </c>
      <c r="D82">
        <v>37899.54</v>
      </c>
      <c r="E82">
        <v>30199.25</v>
      </c>
      <c r="F82">
        <v>23857.42</v>
      </c>
      <c r="G82">
        <v>18890.75</v>
      </c>
      <c r="H82">
        <v>26632.94</v>
      </c>
      <c r="I82">
        <v>29000.51</v>
      </c>
      <c r="J82">
        <v>14282.83</v>
      </c>
      <c r="K82">
        <v>35388.01</v>
      </c>
    </row>
    <row r="83" spans="1:11" x14ac:dyDescent="0.25">
      <c r="A83" s="3" t="s">
        <v>35</v>
      </c>
      <c r="B83">
        <v>-27990.91</v>
      </c>
      <c r="C83">
        <v>-36232.35</v>
      </c>
      <c r="D83">
        <v>-36693.9</v>
      </c>
      <c r="E83">
        <v>-39571.4</v>
      </c>
      <c r="F83">
        <v>-25139.14</v>
      </c>
      <c r="G83">
        <v>-20878.07</v>
      </c>
      <c r="H83">
        <v>-33114.550000000003</v>
      </c>
      <c r="I83">
        <v>-25672.5</v>
      </c>
      <c r="J83">
        <v>-4443.66</v>
      </c>
      <c r="K83">
        <v>-15417.17</v>
      </c>
    </row>
    <row r="84" spans="1:11" x14ac:dyDescent="0.25">
      <c r="A84" s="3" t="s">
        <v>36</v>
      </c>
      <c r="B84">
        <v>-3883.24</v>
      </c>
      <c r="C84">
        <v>5201.4399999999996</v>
      </c>
      <c r="D84">
        <v>-3795.12</v>
      </c>
      <c r="E84">
        <v>6205.3</v>
      </c>
      <c r="F84">
        <v>2011.71</v>
      </c>
      <c r="G84">
        <v>8830.3700000000008</v>
      </c>
      <c r="H84">
        <v>3389.61</v>
      </c>
      <c r="I84">
        <v>9904.2000000000007</v>
      </c>
      <c r="J84">
        <v>-3380.17</v>
      </c>
      <c r="K84">
        <v>-26242.9</v>
      </c>
    </row>
    <row r="85" spans="1:11" x14ac:dyDescent="0.25">
      <c r="A85" s="3" t="s">
        <v>37</v>
      </c>
      <c r="B85">
        <v>4277.01</v>
      </c>
      <c r="C85">
        <v>4500.3500000000004</v>
      </c>
      <c r="D85">
        <v>-2589.48</v>
      </c>
      <c r="E85">
        <v>-3166.85</v>
      </c>
      <c r="F85">
        <v>729.99</v>
      </c>
      <c r="G85">
        <v>6843.05</v>
      </c>
      <c r="H85">
        <v>-3092</v>
      </c>
      <c r="I85">
        <v>13232.21</v>
      </c>
      <c r="J85">
        <v>6459</v>
      </c>
      <c r="K85">
        <v>-6272.06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x14ac:dyDescent="0.25">
      <c r="A90" s="1" t="s">
        <v>38</v>
      </c>
      <c r="B90">
        <v>394.42</v>
      </c>
      <c r="C90">
        <v>544.37</v>
      </c>
      <c r="D90">
        <v>386.6</v>
      </c>
      <c r="E90">
        <v>465.85</v>
      </c>
      <c r="F90">
        <v>326.85000000000002</v>
      </c>
      <c r="G90">
        <v>174.25</v>
      </c>
      <c r="H90">
        <v>71.05</v>
      </c>
      <c r="I90">
        <v>301.8</v>
      </c>
      <c r="J90">
        <v>433.75</v>
      </c>
      <c r="K90">
        <v>420.8</v>
      </c>
    </row>
    <row r="92" spans="1:11" x14ac:dyDescent="0.25">
      <c r="A92" s="1" t="s">
        <v>39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 t="s">
        <v>40</v>
      </c>
      <c r="B93" s="2">
        <v>288.74</v>
      </c>
      <c r="C93" s="2">
        <v>288.74</v>
      </c>
      <c r="D93" s="2">
        <v>288.72000000000003</v>
      </c>
      <c r="E93" s="2">
        <v>288.73</v>
      </c>
      <c r="F93" s="2">
        <v>288.73</v>
      </c>
      <c r="G93" s="2">
        <v>288.73</v>
      </c>
      <c r="H93" s="2">
        <v>308.89999999999998</v>
      </c>
      <c r="I93" s="2">
        <v>332.03</v>
      </c>
      <c r="J93" s="2">
        <v>332.07</v>
      </c>
      <c r="K93" s="2">
        <v>332.13</v>
      </c>
    </row>
  </sheetData>
  <mergeCells count="2">
    <mergeCell ref="E1:K1"/>
    <mergeCell ref="E2:K2"/>
  </mergeCells>
  <hyperlinks>
    <hyperlink ref="E1:K1" r:id="rId1" display="https://www.screener.in/excel/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Historical FS</vt:lpstr>
      <vt:lpstr>Forecasting</vt:lpstr>
      <vt:lpstr>Ratio Analisis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2023-09-29T07:18:02Z</dcterms:created>
  <dcterms:modified xsi:type="dcterms:W3CDTF">2023-10-08T07:28:01Z</dcterms:modified>
</cp:coreProperties>
</file>