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90" windowWidth="17565" windowHeight="7020"/>
  </bookViews>
  <sheets>
    <sheet name="Vehicle Data" sheetId="1" r:id="rId1"/>
    <sheet name="Acceleration Dynamics" sheetId="7" r:id="rId2"/>
    <sheet name="Braking Dynamics" sheetId="3" r:id="rId3"/>
    <sheet name="Low Speed Steering" sheetId="4" r:id="rId4"/>
    <sheet name="High Speed Steering" sheetId="5" r:id="rId5"/>
    <sheet name="Acceleration (dpk)" sheetId="2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J7" i="7" l="1"/>
  <c r="H6" i="7"/>
  <c r="E6" i="7"/>
  <c r="F6" i="7" s="1"/>
  <c r="I6" i="7" s="1"/>
  <c r="E7" i="7"/>
  <c r="F7" i="7" s="1"/>
  <c r="I7" i="7" s="1"/>
  <c r="E8" i="7"/>
  <c r="F8" i="7" s="1"/>
  <c r="E9" i="7"/>
  <c r="F9" i="7" s="1"/>
  <c r="E10" i="7"/>
  <c r="F10" i="7" s="1"/>
  <c r="E11" i="7"/>
  <c r="F11" i="7" s="1"/>
  <c r="L8" i="7" l="1"/>
  <c r="K8" i="3"/>
  <c r="K7" i="3"/>
  <c r="K19" i="3"/>
  <c r="K18" i="3"/>
  <c r="K6" i="3"/>
  <c r="J6" i="7"/>
  <c r="I21" i="7"/>
  <c r="I20" i="7"/>
  <c r="H10" i="7" s="1"/>
  <c r="J11" i="7"/>
  <c r="C11" i="7"/>
  <c r="J10" i="7"/>
  <c r="C10" i="7"/>
  <c r="J9" i="7"/>
  <c r="D9" i="7"/>
  <c r="D10" i="7" s="1"/>
  <c r="C9" i="7"/>
  <c r="J8" i="7"/>
  <c r="D8" i="7"/>
  <c r="C8" i="7"/>
  <c r="H7" i="7"/>
  <c r="D7" i="7"/>
  <c r="C7" i="7"/>
  <c r="D6" i="7"/>
  <c r="C6" i="7"/>
  <c r="G6" i="7" l="1"/>
  <c r="H9" i="7"/>
  <c r="H11" i="7"/>
  <c r="H8" i="7"/>
  <c r="L9" i="7"/>
  <c r="D11" i="7"/>
  <c r="L6" i="7" l="1"/>
  <c r="L10" i="7"/>
  <c r="L7" i="7"/>
  <c r="G9" i="7"/>
  <c r="G10" i="7"/>
  <c r="I10" i="7"/>
  <c r="G7" i="7"/>
  <c r="G8" i="7"/>
  <c r="I8" i="7"/>
  <c r="K8" i="7" s="1"/>
  <c r="L11" i="7"/>
  <c r="I9" i="7" l="1"/>
  <c r="K9" i="7" s="1"/>
  <c r="M9" i="7" s="1"/>
  <c r="K6" i="7"/>
  <c r="M6" i="7" s="1"/>
  <c r="M8" i="7"/>
  <c r="K7" i="7"/>
  <c r="K10" i="7"/>
  <c r="M10" i="7" s="1"/>
  <c r="M7" i="7" l="1"/>
  <c r="N7" i="7" s="1"/>
  <c r="N9" i="7"/>
  <c r="N8" i="7"/>
  <c r="N10" i="7"/>
  <c r="N6" i="7"/>
  <c r="G11" i="7"/>
  <c r="I11" i="7"/>
  <c r="K11" i="7" l="1"/>
  <c r="M11" i="7" s="1"/>
  <c r="N11" i="7" l="1"/>
  <c r="K10" i="3" l="1"/>
  <c r="H12" i="1" l="1"/>
  <c r="K11" i="3" s="1"/>
  <c r="L7" i="5" s="1"/>
  <c r="J7" i="4"/>
  <c r="C13" i="2"/>
  <c r="C12" i="2"/>
  <c r="L8" i="5" l="1"/>
  <c r="L10" i="5" s="1"/>
  <c r="L11" i="5"/>
  <c r="K12" i="3"/>
  <c r="J10" i="4"/>
  <c r="J9" i="4"/>
  <c r="J11" i="4" s="1"/>
  <c r="J13" i="4" s="1"/>
  <c r="D11" i="2"/>
  <c r="D12" i="2" s="1"/>
  <c r="D10" i="2"/>
  <c r="D9" i="2"/>
  <c r="C11" i="2"/>
  <c r="C10" i="2"/>
  <c r="C9" i="2"/>
  <c r="D8" i="2"/>
  <c r="C8" i="2"/>
  <c r="G21" i="2"/>
  <c r="G22" i="2"/>
  <c r="L9" i="5" l="1"/>
  <c r="K14" i="3"/>
  <c r="K13" i="3"/>
  <c r="F12" i="2"/>
  <c r="H8" i="2"/>
  <c r="H12" i="2"/>
  <c r="H9" i="2"/>
  <c r="H13" i="2"/>
  <c r="H10" i="2"/>
  <c r="H11" i="2"/>
  <c r="F11" i="2"/>
  <c r="F9" i="2"/>
  <c r="F10" i="2"/>
  <c r="D13" i="2"/>
  <c r="F13" i="2" s="1"/>
  <c r="F8" i="2"/>
  <c r="I8" i="2" l="1"/>
  <c r="K15" i="3"/>
  <c r="K16" i="3" s="1"/>
  <c r="I12" i="2"/>
  <c r="G9" i="2"/>
  <c r="I9" i="2"/>
  <c r="G12" i="2"/>
  <c r="G11" i="2"/>
  <c r="I11" i="2"/>
  <c r="G8" i="2"/>
  <c r="G13" i="2"/>
  <c r="I13" i="2"/>
  <c r="G10" i="2"/>
  <c r="I10" i="2"/>
</calcChain>
</file>

<file path=xl/sharedStrings.xml><?xml version="1.0" encoding="utf-8"?>
<sst xmlns="http://schemas.openxmlformats.org/spreadsheetml/2006/main" count="244" uniqueCount="145">
  <si>
    <t xml:space="preserve">Attributes </t>
  </si>
  <si>
    <t xml:space="preserve">Mahindra XUV 500 W8 AWD </t>
  </si>
  <si>
    <t xml:space="preserve">Sports Utility Vehicle – 7 Seater  </t>
  </si>
  <si>
    <t xml:space="preserve">Front Engine -AWD </t>
  </si>
  <si>
    <t xml:space="preserve">Steel </t>
  </si>
  <si>
    <t xml:space="preserve">Disc Brake with ABS </t>
  </si>
  <si>
    <t>Disc &amp; Calliper Type</t>
  </si>
  <si>
    <t>Power Assisted (Hydraulic) Rack and Pinion</t>
  </si>
  <si>
    <t xml:space="preserve">MacPherson type with anti-roll bar  </t>
  </si>
  <si>
    <t xml:space="preserve">Multi-link type with anti-roll bar  </t>
  </si>
  <si>
    <t xml:space="preserve">140 bhp@ 3750 RPM </t>
  </si>
  <si>
    <t xml:space="preserve">330 Nm @ 2800 RPM  </t>
  </si>
  <si>
    <t xml:space="preserve"> 6 Gear Manual </t>
  </si>
  <si>
    <r>
      <t>Vehicle Configuration</t>
    </r>
    <r>
      <rPr>
        <b/>
        <sz val="11"/>
        <color rgb="FF000000"/>
        <rFont val="Calibri"/>
        <family val="2"/>
        <scheme val="minor"/>
      </rPr>
      <t xml:space="preserve"> </t>
    </r>
  </si>
  <si>
    <r>
      <t>Curb Weight</t>
    </r>
    <r>
      <rPr>
        <b/>
        <sz val="11"/>
        <color rgb="FF000000"/>
        <rFont val="Calibri"/>
        <family val="2"/>
        <scheme val="minor"/>
      </rPr>
      <t xml:space="preserve"> </t>
    </r>
  </si>
  <si>
    <r>
      <t>Distribution</t>
    </r>
    <r>
      <rPr>
        <b/>
        <sz val="11"/>
        <color rgb="FF000000"/>
        <rFont val="Calibri"/>
        <family val="2"/>
        <scheme val="minor"/>
      </rPr>
      <t xml:space="preserve"> </t>
    </r>
  </si>
  <si>
    <r>
      <t>Front</t>
    </r>
    <r>
      <rPr>
        <b/>
        <sz val="11"/>
        <color rgb="FF000000"/>
        <rFont val="Calibri"/>
        <family val="2"/>
        <scheme val="minor"/>
      </rPr>
      <t xml:space="preserve"> </t>
    </r>
  </si>
  <si>
    <r>
      <t>Rear</t>
    </r>
    <r>
      <rPr>
        <b/>
        <sz val="11"/>
        <color rgb="FF000000"/>
        <rFont val="Calibri"/>
        <family val="2"/>
        <scheme val="minor"/>
      </rPr>
      <t xml:space="preserve"> </t>
    </r>
  </si>
  <si>
    <r>
      <t>Wheelbase</t>
    </r>
    <r>
      <rPr>
        <b/>
        <sz val="11"/>
        <color rgb="FF000000"/>
        <rFont val="Calibri"/>
        <family val="2"/>
        <scheme val="minor"/>
      </rPr>
      <t xml:space="preserve"> </t>
    </r>
  </si>
  <si>
    <r>
      <t>Layout</t>
    </r>
    <r>
      <rPr>
        <b/>
        <sz val="11"/>
        <color rgb="FF000000"/>
        <rFont val="Calibri"/>
        <family val="2"/>
        <scheme val="minor"/>
      </rPr>
      <t xml:space="preserve"> </t>
    </r>
  </si>
  <si>
    <r>
      <t>Body/Frame</t>
    </r>
    <r>
      <rPr>
        <b/>
        <sz val="11"/>
        <color rgb="FF000000"/>
        <rFont val="Calibri"/>
        <family val="2"/>
        <scheme val="minor"/>
      </rPr>
      <t xml:space="preserve"> </t>
    </r>
  </si>
  <si>
    <r>
      <t>Wheels (Diameters)</t>
    </r>
    <r>
      <rPr>
        <b/>
        <sz val="11"/>
        <color rgb="FF000000"/>
        <rFont val="Calibri"/>
        <family val="2"/>
        <scheme val="minor"/>
      </rPr>
      <t xml:space="preserve"> </t>
    </r>
  </si>
  <si>
    <r>
      <t>Brakes</t>
    </r>
    <r>
      <rPr>
        <b/>
        <sz val="11"/>
        <color rgb="FF000000"/>
        <rFont val="Calibri"/>
        <family val="2"/>
        <scheme val="minor"/>
      </rPr>
      <t xml:space="preserve"> </t>
    </r>
  </si>
  <si>
    <r>
      <t>Steering</t>
    </r>
    <r>
      <rPr>
        <b/>
        <sz val="11"/>
        <color rgb="FF000000"/>
        <rFont val="Calibri"/>
        <family val="2"/>
        <scheme val="minor"/>
      </rPr>
      <t xml:space="preserve"> </t>
    </r>
  </si>
  <si>
    <r>
      <t>Suspension</t>
    </r>
    <r>
      <rPr>
        <b/>
        <sz val="11"/>
        <color rgb="FF000000"/>
        <rFont val="Calibri"/>
        <family val="2"/>
        <scheme val="minor"/>
      </rPr>
      <t xml:space="preserve"> </t>
    </r>
  </si>
  <si>
    <r>
      <t>Maximum Installed Power</t>
    </r>
    <r>
      <rPr>
        <b/>
        <sz val="11"/>
        <color rgb="FF000000"/>
        <rFont val="Calibri"/>
        <family val="2"/>
        <scheme val="minor"/>
      </rPr>
      <t xml:space="preserve"> </t>
    </r>
  </si>
  <si>
    <r>
      <t>Maximum Installed Torque</t>
    </r>
    <r>
      <rPr>
        <b/>
        <sz val="11"/>
        <color rgb="FF000000"/>
        <rFont val="Calibri"/>
        <family val="2"/>
        <scheme val="minor"/>
      </rPr>
      <t xml:space="preserve"> </t>
    </r>
  </si>
  <si>
    <r>
      <t>Redline</t>
    </r>
    <r>
      <rPr>
        <b/>
        <sz val="11"/>
        <color rgb="FF000000"/>
        <rFont val="Calibri"/>
        <family val="2"/>
        <scheme val="minor"/>
      </rPr>
      <t xml:space="preserve"> </t>
    </r>
  </si>
  <si>
    <r>
      <t>Transmission</t>
    </r>
    <r>
      <rPr>
        <b/>
        <sz val="11"/>
        <color rgb="FF000000"/>
        <rFont val="Calibri"/>
        <family val="2"/>
        <scheme val="minor"/>
      </rPr>
      <t xml:space="preserve"> </t>
    </r>
  </si>
  <si>
    <r>
      <t>First Gear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</si>
  <si>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Second Gear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</si>
  <si>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Third Gear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</si>
  <si>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Fourth Gear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</si>
  <si>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Fifth Gear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</si>
  <si>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Sixth Gear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</si>
  <si>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Final Drive Ratio</t>
    </r>
    <r>
      <rPr>
        <b/>
        <sz val="11"/>
        <color rgb="FF000000"/>
        <rFont val="Calibri"/>
        <family val="2"/>
        <scheme val="minor"/>
      </rPr>
      <t xml:space="preserve"> </t>
    </r>
  </si>
  <si>
    <r>
      <t>0 to 100 kmph</t>
    </r>
    <r>
      <rPr>
        <b/>
        <sz val="11"/>
        <color rgb="FF000000"/>
        <rFont val="Calibri"/>
        <family val="2"/>
        <scheme val="minor"/>
      </rPr>
      <t xml:space="preserve"> </t>
    </r>
  </si>
  <si>
    <r>
      <t>Top Speed</t>
    </r>
    <r>
      <rPr>
        <b/>
        <sz val="11"/>
        <color rgb="FF000000"/>
        <rFont val="Calibri"/>
        <family val="2"/>
        <scheme val="minor"/>
      </rPr>
      <t xml:space="preserve"> </t>
    </r>
  </si>
  <si>
    <t>Tractive Force</t>
  </si>
  <si>
    <t>Tractive Moment</t>
  </si>
  <si>
    <t>Acceleration</t>
  </si>
  <si>
    <t>Gear Ratio</t>
  </si>
  <si>
    <t>Differential Ratio</t>
  </si>
  <si>
    <t>Time</t>
  </si>
  <si>
    <t>Distance</t>
  </si>
  <si>
    <t>Engine output Coefficeint Based on Experimental Data (BM)</t>
  </si>
  <si>
    <t>Engine output Coefficeint Based on Experimental Data (AM)</t>
  </si>
  <si>
    <t>Gear</t>
  </si>
  <si>
    <t>First</t>
  </si>
  <si>
    <t>Second</t>
  </si>
  <si>
    <t>Third</t>
  </si>
  <si>
    <t>Fourth</t>
  </si>
  <si>
    <t>Fifth</t>
  </si>
  <si>
    <t>Sixth</t>
  </si>
  <si>
    <t>Engine output Power based on Engine Power@Engine Speed Rating (bhp)</t>
  </si>
  <si>
    <t>Engine output Speed based on Engine Power@Engine Speed Rating (RPM)</t>
  </si>
  <si>
    <t>Engine output Speed based on Engine Torque@Engine Speed Rating (RPM)</t>
  </si>
  <si>
    <t>Engine output Power based on Engine Torque@Engine Speed Rating (bhp)</t>
  </si>
  <si>
    <t>Value</t>
  </si>
  <si>
    <t>Dynamic Tyre Rolling Radius</t>
  </si>
  <si>
    <t>Drive Train Efficiency</t>
  </si>
  <si>
    <t>Road Load</t>
  </si>
  <si>
    <t>Frontal Area</t>
  </si>
  <si>
    <t>Rolling Resistance Coefficient</t>
  </si>
  <si>
    <t>Ambient Air Density</t>
  </si>
  <si>
    <t>Vehicle Drag Coefficient</t>
  </si>
  <si>
    <t>Head Wind Speed</t>
  </si>
  <si>
    <t>Gross Weight</t>
  </si>
  <si>
    <t>Vehicle Speed</t>
  </si>
  <si>
    <t>Vehice Speed</t>
  </si>
  <si>
    <t>Percent Ackermann</t>
  </si>
  <si>
    <t>Turning Circle</t>
  </si>
  <si>
    <t>Curb to Curb Turning Circle</t>
  </si>
  <si>
    <t>Outside Front Wheel Steering Angle</t>
  </si>
  <si>
    <t>Inside Front Wheel Steering Angle</t>
  </si>
  <si>
    <t>degrees</t>
  </si>
  <si>
    <t>Scrub Radius</t>
  </si>
  <si>
    <t>Trackwidth</t>
  </si>
  <si>
    <t>m</t>
  </si>
  <si>
    <t>%</t>
  </si>
  <si>
    <t>Actual Outside Front Wheel Steering Angle</t>
  </si>
  <si>
    <t>Steering Deviation</t>
  </si>
  <si>
    <t>mm</t>
  </si>
  <si>
    <t>Tire Maximum Running Width</t>
  </si>
  <si>
    <t>Inside Vehicle Normal Force</t>
  </si>
  <si>
    <t>Outside Vehicle Normal Force</t>
  </si>
  <si>
    <t>Weight Transfer due to cornering Inertia force</t>
  </si>
  <si>
    <t>Cornering Acceleration in g's</t>
  </si>
  <si>
    <t xml:space="preserve">Vehicle's Height of Center of Gravity </t>
  </si>
  <si>
    <t>Impending Lift-off Condition</t>
  </si>
  <si>
    <t>Units</t>
  </si>
  <si>
    <t>-</t>
  </si>
  <si>
    <t>N</t>
  </si>
  <si>
    <t>inch</t>
  </si>
  <si>
    <t>bhp</t>
  </si>
  <si>
    <t>RPM</t>
  </si>
  <si>
    <t xml:space="preserve">2800 &lt; n &lt; 3750 </t>
  </si>
  <si>
    <t>sec</t>
  </si>
  <si>
    <t>kmph</t>
  </si>
  <si>
    <t>Vehicle Data</t>
  </si>
  <si>
    <t>Low Speed Steering</t>
  </si>
  <si>
    <t>Attribute</t>
  </si>
  <si>
    <t>High Speed Steering</t>
  </si>
  <si>
    <t>Acceleration Dynamics</t>
  </si>
  <si>
    <t>Speed (km/h)</t>
  </si>
  <si>
    <t>Braking Torque</t>
  </si>
  <si>
    <t>Deceleration</t>
  </si>
  <si>
    <t>Time to Stop</t>
  </si>
  <si>
    <t>Distance to Stop</t>
  </si>
  <si>
    <t>Weight Transfer due to Braking Inertia Force</t>
  </si>
  <si>
    <t>Vehicle System CG Height</t>
  </si>
  <si>
    <t>Front Tire Patch Ideal Braking Force</t>
  </si>
  <si>
    <t>Rear Tire Patch Ideal Braking Force</t>
  </si>
  <si>
    <t>Total Braking Force</t>
  </si>
  <si>
    <t>Dynamic Tire Rolling Radius</t>
  </si>
  <si>
    <t>kph</t>
  </si>
  <si>
    <t>N-m</t>
  </si>
  <si>
    <t>Distance between CG infront the rear axle</t>
  </si>
  <si>
    <t>Distance between CG behind the front axle</t>
  </si>
  <si>
    <t>The vertical raise of the front axle</t>
  </si>
  <si>
    <t>Angle of Inclination of Vehicle With ground</t>
  </si>
  <si>
    <t>Braking Dynamics</t>
  </si>
  <si>
    <t>Vehicle Drive off Parameter (a)</t>
  </si>
  <si>
    <t>Vehicle Drive off Parameter (b)</t>
  </si>
  <si>
    <t>Vehicle Drive off Parameter (c)</t>
  </si>
  <si>
    <t>Rotational Inertia Coefficient</t>
  </si>
  <si>
    <t>Initial Velocity</t>
  </si>
  <si>
    <t>Final Velocity</t>
  </si>
  <si>
    <t>Attributes Used</t>
  </si>
  <si>
    <t>Tractive Force (N)</t>
  </si>
  <si>
    <t>Tractive Moment (N-m)</t>
  </si>
  <si>
    <t>Road Load (N)</t>
  </si>
  <si>
    <t>Speed       (kph)</t>
  </si>
  <si>
    <t>Acceleration (m/s^2)</t>
  </si>
  <si>
    <t>Distance (m)</t>
  </si>
  <si>
    <t>Time     (sec)</t>
  </si>
  <si>
    <t>mps</t>
  </si>
  <si>
    <t>kg/m^3</t>
  </si>
  <si>
    <t>m^2</t>
  </si>
  <si>
    <t>kW/rpm</t>
  </si>
  <si>
    <t>kW/(rpm)^2</t>
  </si>
  <si>
    <t>Group#1</t>
  </si>
  <si>
    <t>Deepak Raina</t>
  </si>
  <si>
    <t>Nibodh Boddupalli</t>
  </si>
  <si>
    <t>Tushar Lohra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</si>
</sst>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Font="1" applyBorder="1"/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/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Border="1"/>
    <xf numFmtId="0" fontId="5" fillId="0" borderId="0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top"/>
    </xf>
    <xf numFmtId="0" fontId="6" fillId="0" borderId="0" xfId="0" applyFont="1" applyBorder="1" applyAlignment="1">
      <alignment horizontal="right" vertical="center" wrapText="1"/>
    </xf>
    <xf numFmtId="0" fontId="8" fillId="0" borderId="0" xfId="0" applyFont="1"/>
    <xf numFmtId="0" fontId="9" fillId="0" borderId="0" xfId="0" applyFont="1" applyBorder="1"/>
    <xf numFmtId="0" fontId="7" fillId="2" borderId="1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1" fillId="0" borderId="1" xfId="0" applyFont="1" applyBorder="1" applyAlignment="1">
      <alignment vertical="top" wrapText="1" readingOrder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justify" vertical="center"/>
    </xf>
    <xf numFmtId="0" fontId="1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0" fillId="0" borderId="0" xfId="0" applyFont="1"/>
    <xf numFmtId="0" fontId="19" fillId="2" borderId="1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justify"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left" vertical="top" wrapText="1" readingOrder="1"/>
    </xf>
    <xf numFmtId="0" fontId="1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0" fontId="1" fillId="0" borderId="4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K/Downloads/tusharXUV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Data"/>
      <sheetName val="Acceleration"/>
      <sheetName val="Braking"/>
      <sheetName val="Low Speed Steering"/>
      <sheetName val="High Speed Steering"/>
    </sheetNames>
    <sheetDataSet>
      <sheetData sheetId="0">
        <row r="5">
          <cell r="H5">
            <v>24525</v>
          </cell>
        </row>
        <row r="21">
          <cell r="H21">
            <v>140</v>
          </cell>
        </row>
        <row r="22">
          <cell r="H22">
            <v>3750</v>
          </cell>
        </row>
        <row r="24">
          <cell r="H24">
            <v>330</v>
          </cell>
        </row>
        <row r="25">
          <cell r="H25">
            <v>2800</v>
          </cell>
        </row>
        <row r="28">
          <cell r="H28">
            <v>3.2959999999999998</v>
          </cell>
        </row>
        <row r="29">
          <cell r="H29">
            <v>1.958</v>
          </cell>
        </row>
        <row r="30">
          <cell r="H30">
            <v>1.3480000000000001</v>
          </cell>
        </row>
        <row r="31">
          <cell r="H31">
            <v>1</v>
          </cell>
        </row>
        <row r="32">
          <cell r="H32">
            <v>0.72499999999999998</v>
          </cell>
        </row>
        <row r="33">
          <cell r="H33">
            <v>0.58199999999999996</v>
          </cell>
        </row>
        <row r="34">
          <cell r="H34">
            <v>3.165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4"/>
  <sheetViews>
    <sheetView tabSelected="1" workbookViewId="0">
      <selection activeCell="D5" sqref="D5"/>
    </sheetView>
  </sheetViews>
  <sheetFormatPr defaultRowHeight="15" x14ac:dyDescent="0.25"/>
  <cols>
    <col min="1" max="1" width="8.85546875" style="2"/>
    <col min="2" max="2" width="6.7109375" style="2" customWidth="1"/>
    <col min="3" max="3" width="8.85546875" style="2" hidden="1" customWidth="1"/>
    <col min="4" max="4" width="17.85546875" style="2" customWidth="1"/>
    <col min="5" max="5" width="17.85546875" customWidth="1"/>
    <col min="6" max="6" width="7.28515625" customWidth="1"/>
    <col min="7" max="7" width="45.28515625" customWidth="1"/>
    <col min="8" max="8" width="55.7109375" customWidth="1"/>
  </cols>
  <sheetData>
    <row r="3" spans="1:9" ht="18.75" x14ac:dyDescent="0.3">
      <c r="G3" s="84" t="s">
        <v>141</v>
      </c>
      <c r="H3" s="84"/>
    </row>
    <row r="4" spans="1:9" ht="18.75" x14ac:dyDescent="0.3">
      <c r="G4" s="84" t="s">
        <v>142</v>
      </c>
      <c r="H4" s="84"/>
    </row>
    <row r="5" spans="1:9" ht="18.75" x14ac:dyDescent="0.3">
      <c r="G5" s="84" t="s">
        <v>143</v>
      </c>
      <c r="H5" s="84"/>
    </row>
    <row r="6" spans="1:9" ht="18.75" x14ac:dyDescent="0.3">
      <c r="G6" s="84" t="s">
        <v>144</v>
      </c>
      <c r="H6" s="84"/>
    </row>
    <row r="7" spans="1:9" ht="15.75" thickBot="1" x14ac:dyDescent="0.3">
      <c r="G7" s="83"/>
    </row>
    <row r="8" spans="1:9" ht="27" thickBot="1" x14ac:dyDescent="0.45">
      <c r="G8" s="61" t="s">
        <v>99</v>
      </c>
      <c r="H8" s="62"/>
    </row>
    <row r="10" spans="1:9" s="20" customFormat="1" ht="28.5" customHeight="1" x14ac:dyDescent="0.4">
      <c r="A10" s="18"/>
      <c r="B10" s="18"/>
      <c r="C10" s="18"/>
      <c r="D10" s="18"/>
      <c r="E10" s="57" t="s">
        <v>0</v>
      </c>
      <c r="F10" s="57"/>
      <c r="G10" s="57"/>
      <c r="H10" s="19" t="s">
        <v>1</v>
      </c>
      <c r="I10" s="49" t="s">
        <v>90</v>
      </c>
    </row>
    <row r="11" spans="1:9" x14ac:dyDescent="0.25">
      <c r="E11" s="55" t="s">
        <v>13</v>
      </c>
      <c r="F11" s="55"/>
      <c r="G11" s="55"/>
      <c r="H11" s="7" t="s">
        <v>2</v>
      </c>
      <c r="I11" s="22" t="s">
        <v>91</v>
      </c>
    </row>
    <row r="12" spans="1:9" x14ac:dyDescent="0.25">
      <c r="E12" s="55" t="s">
        <v>67</v>
      </c>
      <c r="F12" s="55"/>
      <c r="G12" s="55"/>
      <c r="H12" s="7">
        <f>2205*9.8</f>
        <v>21609</v>
      </c>
      <c r="I12" s="5" t="s">
        <v>92</v>
      </c>
    </row>
    <row r="13" spans="1:9" x14ac:dyDescent="0.25">
      <c r="E13" s="55" t="s">
        <v>14</v>
      </c>
      <c r="F13" s="55"/>
      <c r="G13" s="55"/>
      <c r="H13" s="7">
        <v>17850</v>
      </c>
      <c r="I13" s="5" t="s">
        <v>92</v>
      </c>
    </row>
    <row r="14" spans="1:9" x14ac:dyDescent="0.25">
      <c r="E14" s="56" t="s">
        <v>15</v>
      </c>
      <c r="F14" s="56" t="s">
        <v>16</v>
      </c>
      <c r="G14" s="56"/>
      <c r="H14" s="7">
        <v>11452.77</v>
      </c>
      <c r="I14" s="5" t="s">
        <v>92</v>
      </c>
    </row>
    <row r="15" spans="1:9" x14ac:dyDescent="0.25">
      <c r="E15" s="56"/>
      <c r="F15" s="56" t="s">
        <v>17</v>
      </c>
      <c r="G15" s="56"/>
      <c r="H15" s="7">
        <v>10156.23</v>
      </c>
      <c r="I15" s="5" t="s">
        <v>92</v>
      </c>
    </row>
    <row r="16" spans="1:9" x14ac:dyDescent="0.25">
      <c r="E16" s="55" t="s">
        <v>18</v>
      </c>
      <c r="F16" s="55"/>
      <c r="G16" s="55"/>
      <c r="H16" s="7">
        <v>2700</v>
      </c>
      <c r="I16" s="5" t="s">
        <v>82</v>
      </c>
    </row>
    <row r="17" spans="5:9" x14ac:dyDescent="0.25">
      <c r="E17" s="55" t="s">
        <v>77</v>
      </c>
      <c r="F17" s="55"/>
      <c r="G17" s="55"/>
      <c r="H17" s="7">
        <v>2000</v>
      </c>
      <c r="I17" s="5" t="s">
        <v>82</v>
      </c>
    </row>
    <row r="18" spans="5:9" ht="21" customHeight="1" x14ac:dyDescent="0.25">
      <c r="E18" s="55" t="s">
        <v>19</v>
      </c>
      <c r="F18" s="55"/>
      <c r="G18" s="55"/>
      <c r="H18" s="7" t="s">
        <v>3</v>
      </c>
      <c r="I18" s="5" t="s">
        <v>91</v>
      </c>
    </row>
    <row r="19" spans="5:9" x14ac:dyDescent="0.25">
      <c r="E19" s="55" t="s">
        <v>20</v>
      </c>
      <c r="F19" s="55"/>
      <c r="G19" s="55"/>
      <c r="H19" s="7" t="s">
        <v>4</v>
      </c>
      <c r="I19" s="5" t="s">
        <v>91</v>
      </c>
    </row>
    <row r="20" spans="5:9" x14ac:dyDescent="0.25">
      <c r="E20" s="55" t="s">
        <v>21</v>
      </c>
      <c r="F20" s="56" t="s">
        <v>16</v>
      </c>
      <c r="G20" s="56"/>
      <c r="H20" s="7">
        <v>17</v>
      </c>
      <c r="I20" s="5" t="s">
        <v>93</v>
      </c>
    </row>
    <row r="21" spans="5:9" x14ac:dyDescent="0.25">
      <c r="E21" s="55"/>
      <c r="F21" s="56" t="s">
        <v>17</v>
      </c>
      <c r="G21" s="56"/>
      <c r="H21" s="7">
        <v>17</v>
      </c>
      <c r="I21" s="5" t="s">
        <v>93</v>
      </c>
    </row>
    <row r="22" spans="5:9" x14ac:dyDescent="0.25">
      <c r="E22" s="58" t="s">
        <v>59</v>
      </c>
      <c r="F22" s="59"/>
      <c r="G22" s="60"/>
      <c r="H22" s="9">
        <v>14.5</v>
      </c>
      <c r="I22" s="5" t="s">
        <v>93</v>
      </c>
    </row>
    <row r="23" spans="5:9" x14ac:dyDescent="0.25">
      <c r="E23" s="55" t="s">
        <v>22</v>
      </c>
      <c r="F23" s="56" t="s">
        <v>16</v>
      </c>
      <c r="G23" s="56"/>
      <c r="H23" s="7" t="s">
        <v>5</v>
      </c>
      <c r="I23" s="5" t="s">
        <v>91</v>
      </c>
    </row>
    <row r="24" spans="5:9" x14ac:dyDescent="0.25">
      <c r="E24" s="55"/>
      <c r="F24" s="56" t="s">
        <v>17</v>
      </c>
      <c r="G24" s="56"/>
      <c r="H24" s="7" t="s">
        <v>6</v>
      </c>
      <c r="I24" s="5" t="s">
        <v>91</v>
      </c>
    </row>
    <row r="25" spans="5:9" ht="20.25" customHeight="1" x14ac:dyDescent="0.25">
      <c r="E25" s="21" t="s">
        <v>23</v>
      </c>
      <c r="F25" s="54"/>
      <c r="G25" s="54"/>
      <c r="H25" s="8" t="s">
        <v>7</v>
      </c>
      <c r="I25" s="5" t="s">
        <v>91</v>
      </c>
    </row>
    <row r="26" spans="5:9" ht="15.75" customHeight="1" x14ac:dyDescent="0.25">
      <c r="E26" s="53" t="s">
        <v>24</v>
      </c>
      <c r="F26" s="54" t="s">
        <v>16</v>
      </c>
      <c r="G26" s="54"/>
      <c r="H26" s="8" t="s">
        <v>8</v>
      </c>
      <c r="I26" s="5" t="s">
        <v>91</v>
      </c>
    </row>
    <row r="27" spans="5:9" ht="17.25" customHeight="1" x14ac:dyDescent="0.25">
      <c r="E27" s="53"/>
      <c r="F27" s="54" t="s">
        <v>17</v>
      </c>
      <c r="G27" s="54"/>
      <c r="H27" s="8" t="s">
        <v>9</v>
      </c>
      <c r="I27" s="5" t="s">
        <v>91</v>
      </c>
    </row>
    <row r="28" spans="5:9" ht="17.25" customHeight="1" x14ac:dyDescent="0.25">
      <c r="E28" s="53" t="s">
        <v>25</v>
      </c>
      <c r="F28" s="53"/>
      <c r="G28" s="53"/>
      <c r="H28" s="8" t="s">
        <v>10</v>
      </c>
      <c r="I28" s="5" t="s">
        <v>91</v>
      </c>
    </row>
    <row r="29" spans="5:9" ht="17.25" customHeight="1" x14ac:dyDescent="0.25">
      <c r="E29" s="53" t="s">
        <v>54</v>
      </c>
      <c r="F29" s="53"/>
      <c r="G29" s="53"/>
      <c r="H29" s="8">
        <v>140</v>
      </c>
      <c r="I29" s="5" t="s">
        <v>94</v>
      </c>
    </row>
    <row r="30" spans="5:9" ht="17.25" customHeight="1" x14ac:dyDescent="0.25">
      <c r="E30" s="53" t="s">
        <v>55</v>
      </c>
      <c r="F30" s="53"/>
      <c r="G30" s="53"/>
      <c r="H30" s="8">
        <v>3750</v>
      </c>
      <c r="I30" s="5" t="s">
        <v>95</v>
      </c>
    </row>
    <row r="31" spans="5:9" ht="18.75" customHeight="1" x14ac:dyDescent="0.25">
      <c r="E31" s="53" t="s">
        <v>26</v>
      </c>
      <c r="F31" s="53"/>
      <c r="G31" s="53"/>
      <c r="H31" s="8" t="s">
        <v>11</v>
      </c>
      <c r="I31" s="5" t="s">
        <v>91</v>
      </c>
    </row>
    <row r="32" spans="5:9" ht="18.75" customHeight="1" x14ac:dyDescent="0.25">
      <c r="E32" s="53" t="s">
        <v>57</v>
      </c>
      <c r="F32" s="53"/>
      <c r="G32" s="53"/>
      <c r="H32" s="8">
        <v>130</v>
      </c>
      <c r="I32" s="5" t="s">
        <v>94</v>
      </c>
    </row>
    <row r="33" spans="5:10" ht="18.75" customHeight="1" x14ac:dyDescent="0.25">
      <c r="E33" s="53" t="s">
        <v>56</v>
      </c>
      <c r="F33" s="53"/>
      <c r="G33" s="53"/>
      <c r="H33" s="8">
        <v>2800</v>
      </c>
      <c r="I33" s="5" t="s">
        <v>95</v>
      </c>
    </row>
    <row r="34" spans="5:10" ht="16.5" customHeight="1" x14ac:dyDescent="0.25">
      <c r="E34" s="53" t="s">
        <v>27</v>
      </c>
      <c r="F34" s="53"/>
      <c r="G34" s="53"/>
      <c r="H34" s="1" t="s">
        <v>96</v>
      </c>
      <c r="I34" s="5" t="s">
        <v>95</v>
      </c>
    </row>
    <row r="35" spans="5:10" ht="18.75" customHeight="1" x14ac:dyDescent="0.25">
      <c r="E35" s="53" t="s">
        <v>28</v>
      </c>
      <c r="F35" s="53"/>
      <c r="G35" s="53"/>
      <c r="H35" s="8" t="s">
        <v>12</v>
      </c>
      <c r="I35" s="5" t="s">
        <v>91</v>
      </c>
    </row>
    <row r="36" spans="5:10" ht="16.5" customHeight="1" x14ac:dyDescent="0.25">
      <c r="E36" s="53" t="s">
        <v>29</v>
      </c>
      <c r="F36" s="53"/>
      <c r="G36" s="53"/>
      <c r="H36" s="8">
        <v>3.2959999999999998</v>
      </c>
      <c r="I36" s="5" t="s">
        <v>91</v>
      </c>
    </row>
    <row r="37" spans="5:10" ht="15.75" customHeight="1" x14ac:dyDescent="0.25">
      <c r="E37" s="53" t="s">
        <v>30</v>
      </c>
      <c r="F37" s="53"/>
      <c r="G37" s="53"/>
      <c r="H37" s="8">
        <v>1.958</v>
      </c>
      <c r="I37" s="5" t="s">
        <v>91</v>
      </c>
    </row>
    <row r="38" spans="5:10" ht="15" customHeight="1" x14ac:dyDescent="0.25">
      <c r="E38" s="53" t="s">
        <v>31</v>
      </c>
      <c r="F38" s="53"/>
      <c r="G38" s="53"/>
      <c r="H38" s="8">
        <v>1.3480000000000001</v>
      </c>
      <c r="I38" s="5" t="s">
        <v>91</v>
      </c>
    </row>
    <row r="39" spans="5:10" ht="18" customHeight="1" x14ac:dyDescent="0.25">
      <c r="E39" s="53" t="s">
        <v>32</v>
      </c>
      <c r="F39" s="53"/>
      <c r="G39" s="53"/>
      <c r="H39" s="8">
        <v>1</v>
      </c>
      <c r="I39" s="5" t="s">
        <v>91</v>
      </c>
    </row>
    <row r="40" spans="5:10" ht="18" customHeight="1" x14ac:dyDescent="0.25">
      <c r="E40" s="53" t="s">
        <v>33</v>
      </c>
      <c r="F40" s="53"/>
      <c r="G40" s="53"/>
      <c r="H40" s="8">
        <v>0.72499999999999998</v>
      </c>
      <c r="I40" s="5" t="s">
        <v>91</v>
      </c>
    </row>
    <row r="41" spans="5:10" ht="16.5" customHeight="1" x14ac:dyDescent="0.25">
      <c r="E41" s="53" t="s">
        <v>34</v>
      </c>
      <c r="F41" s="53"/>
      <c r="G41" s="53"/>
      <c r="H41" s="8">
        <v>0.58199999999999996</v>
      </c>
      <c r="I41" s="5" t="s">
        <v>91</v>
      </c>
    </row>
    <row r="42" spans="5:10" ht="14.25" customHeight="1" x14ac:dyDescent="0.25">
      <c r="E42" s="53" t="s">
        <v>35</v>
      </c>
      <c r="F42" s="53"/>
      <c r="G42" s="53"/>
      <c r="H42" s="8">
        <v>3.165</v>
      </c>
      <c r="I42" s="5" t="s">
        <v>91</v>
      </c>
    </row>
    <row r="43" spans="5:10" x14ac:dyDescent="0.25">
      <c r="E43" s="53" t="s">
        <v>36</v>
      </c>
      <c r="F43" s="53"/>
      <c r="G43" s="53"/>
      <c r="H43" s="8">
        <v>10</v>
      </c>
      <c r="I43" s="5" t="s">
        <v>97</v>
      </c>
    </row>
    <row r="44" spans="5:10" x14ac:dyDescent="0.25">
      <c r="E44" s="53" t="s">
        <v>37</v>
      </c>
      <c r="F44" s="53"/>
      <c r="G44" s="53"/>
      <c r="H44" s="10">
        <v>185</v>
      </c>
      <c r="I44" s="5" t="s">
        <v>98</v>
      </c>
    </row>
    <row r="45" spans="5:10" x14ac:dyDescent="0.25">
      <c r="E45" s="5" t="s">
        <v>118</v>
      </c>
      <c r="F45" s="5"/>
      <c r="G45" s="5"/>
      <c r="H45" s="46">
        <v>1.2689999999999999</v>
      </c>
      <c r="I45" s="47" t="s">
        <v>78</v>
      </c>
      <c r="J45" s="12"/>
    </row>
    <row r="46" spans="5:10" x14ac:dyDescent="0.25">
      <c r="E46" s="5" t="s">
        <v>117</v>
      </c>
      <c r="F46" s="5"/>
      <c r="G46" s="5"/>
      <c r="H46" s="46">
        <v>1.431</v>
      </c>
      <c r="I46" s="47" t="s">
        <v>78</v>
      </c>
      <c r="J46" s="12"/>
    </row>
    <row r="47" spans="5:10" x14ac:dyDescent="0.25">
      <c r="E47" s="50" t="s">
        <v>76</v>
      </c>
      <c r="F47" s="51"/>
      <c r="G47" s="52"/>
      <c r="H47" s="48">
        <v>5</v>
      </c>
      <c r="I47" s="47" t="s">
        <v>82</v>
      </c>
      <c r="J47" s="12"/>
    </row>
    <row r="48" spans="5:10" x14ac:dyDescent="0.25">
      <c r="E48" s="12"/>
      <c r="F48" s="12"/>
      <c r="G48" s="12"/>
      <c r="H48" s="12"/>
      <c r="I48" s="12"/>
      <c r="J48" s="12"/>
    </row>
    <row r="49" spans="5:10" x14ac:dyDescent="0.25">
      <c r="E49" s="12"/>
      <c r="F49" s="12"/>
      <c r="G49" s="12"/>
      <c r="H49" s="12"/>
      <c r="I49" s="12"/>
      <c r="J49" s="12"/>
    </row>
    <row r="50" spans="5:10" x14ac:dyDescent="0.25">
      <c r="E50" s="12"/>
      <c r="F50" s="12"/>
      <c r="G50" s="12"/>
      <c r="H50" s="12"/>
      <c r="I50" s="12"/>
      <c r="J50" s="12"/>
    </row>
    <row r="51" spans="5:10" x14ac:dyDescent="0.25">
      <c r="E51" s="12"/>
      <c r="F51" s="12"/>
      <c r="G51" s="12"/>
      <c r="H51" s="12"/>
      <c r="I51" s="12"/>
      <c r="J51" s="12"/>
    </row>
    <row r="52" spans="5:10" x14ac:dyDescent="0.25">
      <c r="E52" s="12"/>
      <c r="F52" s="12"/>
      <c r="G52" s="12"/>
      <c r="H52" s="12"/>
      <c r="I52" s="12"/>
      <c r="J52" s="12"/>
    </row>
    <row r="53" spans="5:10" x14ac:dyDescent="0.25">
      <c r="E53" s="12"/>
      <c r="F53" s="12"/>
      <c r="G53" s="12"/>
      <c r="H53" s="12"/>
      <c r="I53" s="12"/>
      <c r="J53" s="12"/>
    </row>
    <row r="54" spans="5:10" x14ac:dyDescent="0.25">
      <c r="E54" s="12"/>
      <c r="F54" s="12"/>
      <c r="G54" s="12"/>
      <c r="H54" s="12"/>
      <c r="I54" s="12"/>
      <c r="J54" s="12"/>
    </row>
    <row r="55" spans="5:10" x14ac:dyDescent="0.25">
      <c r="E55" s="12"/>
      <c r="F55" s="12"/>
      <c r="G55" s="12"/>
      <c r="H55" s="12"/>
      <c r="I55" s="12"/>
      <c r="J55" s="12"/>
    </row>
    <row r="56" spans="5:10" x14ac:dyDescent="0.25">
      <c r="E56" s="12"/>
      <c r="F56" s="12"/>
      <c r="G56" s="12"/>
      <c r="H56" s="12"/>
      <c r="I56" s="12"/>
      <c r="J56" s="12"/>
    </row>
    <row r="57" spans="5:10" x14ac:dyDescent="0.25">
      <c r="E57" s="12"/>
      <c r="F57" s="12"/>
      <c r="G57" s="12"/>
      <c r="H57" s="12"/>
      <c r="I57" s="12"/>
      <c r="J57" s="12"/>
    </row>
    <row r="58" spans="5:10" x14ac:dyDescent="0.25">
      <c r="E58" s="12"/>
      <c r="F58" s="12"/>
      <c r="G58" s="12"/>
      <c r="H58" s="12"/>
      <c r="I58" s="12"/>
      <c r="J58" s="12"/>
    </row>
    <row r="59" spans="5:10" x14ac:dyDescent="0.25">
      <c r="E59" s="12"/>
      <c r="F59" s="12"/>
      <c r="G59" s="12"/>
      <c r="H59" s="12"/>
      <c r="I59" s="12"/>
      <c r="J59" s="12"/>
    </row>
    <row r="60" spans="5:10" x14ac:dyDescent="0.25">
      <c r="E60" s="12"/>
      <c r="F60" s="12"/>
      <c r="G60" s="12"/>
      <c r="H60" s="12"/>
      <c r="I60" s="12"/>
      <c r="J60" s="12"/>
    </row>
    <row r="61" spans="5:10" x14ac:dyDescent="0.25">
      <c r="E61" s="12"/>
      <c r="F61" s="12"/>
      <c r="G61" s="12"/>
      <c r="H61" s="12"/>
      <c r="I61" s="12"/>
      <c r="J61" s="12"/>
    </row>
    <row r="62" spans="5:10" x14ac:dyDescent="0.25">
      <c r="E62" s="12"/>
      <c r="F62" s="12"/>
      <c r="G62" s="12"/>
      <c r="H62" s="12"/>
      <c r="I62" s="12"/>
      <c r="J62" s="12"/>
    </row>
    <row r="63" spans="5:10" x14ac:dyDescent="0.25">
      <c r="E63" s="12"/>
      <c r="F63" s="12"/>
      <c r="G63" s="12"/>
      <c r="H63" s="12"/>
      <c r="I63" s="12"/>
      <c r="J63" s="12"/>
    </row>
    <row r="64" spans="5:10" x14ac:dyDescent="0.25">
      <c r="E64" s="12"/>
      <c r="F64" s="12"/>
      <c r="G64" s="12"/>
      <c r="H64" s="12"/>
      <c r="I64" s="12"/>
      <c r="J64" s="12"/>
    </row>
    <row r="65" spans="5:10" x14ac:dyDescent="0.25">
      <c r="E65" s="12"/>
      <c r="F65" s="12"/>
      <c r="G65" s="12"/>
      <c r="H65" s="12"/>
      <c r="I65" s="12"/>
      <c r="J65" s="12"/>
    </row>
    <row r="66" spans="5:10" x14ac:dyDescent="0.25">
      <c r="E66" s="12"/>
      <c r="F66" s="12"/>
      <c r="G66" s="12"/>
      <c r="H66" s="12"/>
      <c r="I66" s="12"/>
      <c r="J66" s="12"/>
    </row>
    <row r="67" spans="5:10" x14ac:dyDescent="0.25">
      <c r="E67" s="12"/>
      <c r="F67" s="12"/>
      <c r="G67" s="12"/>
      <c r="H67" s="12"/>
      <c r="I67" s="12"/>
      <c r="J67" s="12"/>
    </row>
    <row r="68" spans="5:10" x14ac:dyDescent="0.25">
      <c r="E68" s="12"/>
      <c r="F68" s="12"/>
      <c r="G68" s="12"/>
      <c r="H68" s="12"/>
      <c r="I68" s="12"/>
      <c r="J68" s="12"/>
    </row>
    <row r="69" spans="5:10" x14ac:dyDescent="0.25">
      <c r="E69" s="12"/>
      <c r="F69" s="12"/>
      <c r="G69" s="12"/>
      <c r="H69" s="12"/>
      <c r="I69" s="12"/>
      <c r="J69" s="12"/>
    </row>
    <row r="70" spans="5:10" x14ac:dyDescent="0.25">
      <c r="E70" s="12"/>
      <c r="F70" s="12"/>
      <c r="G70" s="12"/>
      <c r="H70" s="12"/>
      <c r="I70" s="12"/>
      <c r="J70" s="12"/>
    </row>
    <row r="71" spans="5:10" x14ac:dyDescent="0.25">
      <c r="E71" s="12"/>
      <c r="F71" s="12"/>
      <c r="G71" s="12"/>
      <c r="H71" s="12"/>
      <c r="I71" s="12"/>
      <c r="J71" s="12"/>
    </row>
    <row r="72" spans="5:10" x14ac:dyDescent="0.25">
      <c r="E72" s="12"/>
      <c r="F72" s="12"/>
      <c r="G72" s="12"/>
      <c r="H72" s="12"/>
      <c r="I72" s="12"/>
      <c r="J72" s="12"/>
    </row>
    <row r="73" spans="5:10" x14ac:dyDescent="0.25">
      <c r="E73" s="12"/>
      <c r="F73" s="12"/>
      <c r="G73" s="12"/>
      <c r="H73" s="12"/>
      <c r="I73" s="12"/>
      <c r="J73" s="12"/>
    </row>
    <row r="74" spans="5:10" x14ac:dyDescent="0.25">
      <c r="E74" s="12"/>
      <c r="F74" s="12"/>
      <c r="G74" s="12"/>
      <c r="H74" s="12"/>
      <c r="I74" s="12"/>
      <c r="J74" s="12"/>
    </row>
  </sheetData>
  <mergeCells count="45">
    <mergeCell ref="G8:H8"/>
    <mergeCell ref="F20:G20"/>
    <mergeCell ref="F21:G21"/>
    <mergeCell ref="G3:H3"/>
    <mergeCell ref="G4:H4"/>
    <mergeCell ref="G5:H5"/>
    <mergeCell ref="G6:H6"/>
    <mergeCell ref="E23:E24"/>
    <mergeCell ref="F23:G23"/>
    <mergeCell ref="F24:G24"/>
    <mergeCell ref="E10:G10"/>
    <mergeCell ref="E11:G11"/>
    <mergeCell ref="E13:G13"/>
    <mergeCell ref="E16:G16"/>
    <mergeCell ref="F14:G14"/>
    <mergeCell ref="F15:G15"/>
    <mergeCell ref="E14:E15"/>
    <mergeCell ref="E18:G18"/>
    <mergeCell ref="E19:G19"/>
    <mergeCell ref="E20:E21"/>
    <mergeCell ref="E22:G22"/>
    <mergeCell ref="E12:G12"/>
    <mergeCell ref="E17:G17"/>
    <mergeCell ref="E28:G28"/>
    <mergeCell ref="E31:G31"/>
    <mergeCell ref="F25:G25"/>
    <mergeCell ref="F26:G26"/>
    <mergeCell ref="F27:G27"/>
    <mergeCell ref="E26:E27"/>
    <mergeCell ref="E47:G47"/>
    <mergeCell ref="E44:G44"/>
    <mergeCell ref="E29:G29"/>
    <mergeCell ref="E30:G30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D14" sqref="D14"/>
    </sheetView>
  </sheetViews>
  <sheetFormatPr defaultRowHeight="15" x14ac:dyDescent="0.25"/>
  <cols>
    <col min="1" max="1" width="5.42578125" customWidth="1"/>
    <col min="3" max="3" width="11" customWidth="1"/>
    <col min="4" max="4" width="13.42578125" customWidth="1"/>
    <col min="5" max="5" width="11.42578125" customWidth="1"/>
    <col min="6" max="6" width="15.140625" customWidth="1"/>
    <col min="7" max="7" width="16.5703125" customWidth="1"/>
    <col min="8" max="8" width="17" customWidth="1"/>
    <col min="9" max="9" width="13.7109375" customWidth="1"/>
    <col min="10" max="10" width="15.42578125" customWidth="1"/>
    <col min="11" max="11" width="14.5703125" customWidth="1"/>
    <col min="12" max="12" width="14.7109375" customWidth="1"/>
    <col min="13" max="14" width="12" customWidth="1"/>
  </cols>
  <sheetData>
    <row r="1" spans="2:14" ht="15.75" thickBot="1" x14ac:dyDescent="0.3"/>
    <row r="2" spans="2:14" ht="27" thickBot="1" x14ac:dyDescent="0.45">
      <c r="G2" s="63" t="s">
        <v>103</v>
      </c>
      <c r="H2" s="64"/>
      <c r="I2" s="65"/>
    </row>
    <row r="5" spans="2:14" s="44" customFormat="1" ht="48.75" customHeight="1" x14ac:dyDescent="0.25">
      <c r="B5" s="45" t="s">
        <v>47</v>
      </c>
      <c r="C5" s="45" t="s">
        <v>41</v>
      </c>
      <c r="D5" s="45" t="s">
        <v>42</v>
      </c>
      <c r="E5" s="45" t="s">
        <v>132</v>
      </c>
      <c r="F5" s="45" t="s">
        <v>129</v>
      </c>
      <c r="G5" s="45" t="s">
        <v>130</v>
      </c>
      <c r="H5" s="45" t="s">
        <v>131</v>
      </c>
      <c r="I5" s="45" t="s">
        <v>133</v>
      </c>
      <c r="J5" s="45" t="s">
        <v>122</v>
      </c>
      <c r="K5" s="45" t="s">
        <v>123</v>
      </c>
      <c r="L5" s="45" t="s">
        <v>124</v>
      </c>
      <c r="M5" s="45" t="s">
        <v>135</v>
      </c>
      <c r="N5" s="45" t="s">
        <v>134</v>
      </c>
    </row>
    <row r="6" spans="2:14" x14ac:dyDescent="0.25">
      <c r="B6" s="35" t="s">
        <v>48</v>
      </c>
      <c r="C6" s="36">
        <f>'[1]Vehicle Data'!H28</f>
        <v>3.2959999999999998</v>
      </c>
      <c r="D6" s="37">
        <f>'[1]Vehicle Data'!H34</f>
        <v>3.165</v>
      </c>
      <c r="E6" s="37">
        <f>2*0.83*'Vehicle Data'!$H$30/C6*D6*3.14*$I$22*0.0254/60*5/18</f>
        <v>32.003942604040247</v>
      </c>
      <c r="F6" s="37">
        <f>((30000/3.14)*(C6*D6/I22)*I23*I20)-((250000/(3.14^2))*((C6*D6/I22)^2)*I23*I21*E6)</f>
        <v>40498.333921888894</v>
      </c>
      <c r="G6" s="37">
        <f>F6*I22</f>
        <v>587225.84186738892</v>
      </c>
      <c r="H6" s="37">
        <f>$I$18*'[1]Vehicle Data'!$H$5+ 0.5*'Acceleration Dynamics'!$I18*'Acceleration Dynamics'!$I$20*('Acceleration Dynamics'!$I$15+'Acceleration Dynamics'!$I$16)^2</f>
        <v>3681.3286828571427</v>
      </c>
      <c r="I6" s="35">
        <f>((F6-H6)*9.81)/('[1]Vehicle Data'!$H$5*$I$18)</f>
        <v>98.178680637418012</v>
      </c>
      <c r="J6" s="37">
        <f>-1.25*1.06*$I$16*9.81/(7.2*'[1]Vehicle Data'!$H$5*$I$24)</f>
        <v>-6.7948717948717954E-5</v>
      </c>
      <c r="K6" s="37">
        <f>2*I6*E87-(9*10^5/3.14^2)*((C6*D6/$I$22)^2)*'Acceleration Dynamics'!$I$23*'Acceleration Dynamics'!$I$21*9.81/(1.3*'[1]Vehicle Data'!$H$5)</f>
        <v>-1.022738211992286E-3</v>
      </c>
      <c r="L6" s="35">
        <f>(1.08*10^5/3.14)*(C6*D6/$I$22)*$I$23*$I$21*9.18/(1.3*'[1]Vehicle Data'!$H$5)-3.6*$I$18*9.81*COS(30)/1.3-1.25*1.3*'Acceleration Dynamics'!$H$19*((E6)^2)*9.81/(7.2*1.3*'[1]Vehicle Data'!$H$5)-0.036*TAN(30)*COS(30)*9.81/1.3</f>
        <v>-0.35965134972655793</v>
      </c>
      <c r="M6" s="35">
        <f>(1/((J6^2-4*I6*K6)^0.5))*LN((2*K6+2*I6*$I$22*$I$23+J6*($I$22+$I$23)+((J6^2-4*I6*K6)^0.5)*($I$23-$I$22))/(2*K6+2*I6*$I$22*$I$23+J6*($I$22+$I$23)-((J6^2-4*I6*K6)^0.5)*($I$23-$I$22)))*-1700</f>
        <v>19.667839824035042</v>
      </c>
      <c r="N6" s="35">
        <f t="shared" ref="N6:N11" si="0">(1/(7.6*J6))*((LN((J6*$I$26^2+K6*$I$26^2+L6)/(J6*$I$25^2+K6*$I$25^2+L6))-K6*M6))*-1/1000</f>
        <v>6.6856016992831862</v>
      </c>
    </row>
    <row r="7" spans="2:14" x14ac:dyDescent="0.25">
      <c r="B7" s="35" t="s">
        <v>49</v>
      </c>
      <c r="C7" s="36">
        <f>'[1]Vehicle Data'!H29</f>
        <v>1.958</v>
      </c>
      <c r="D7" s="37">
        <f>'[1]Vehicle Data'!H34</f>
        <v>3.165</v>
      </c>
      <c r="E7" s="37">
        <f>2*0.83*'Vehicle Data'!$H$30/C7*D7*3.14*$I$22*0.0254/60*5/18</f>
        <v>53.873848224165812</v>
      </c>
      <c r="F7" s="37">
        <f>((30000/3.14)*(C7*D7/I22)*I23*I20)-((250000/(3.14^2))*((C7*D7/I22)^2)*I23*I21*E7)</f>
        <v>24058.172881995888</v>
      </c>
      <c r="G7" s="37">
        <f>F7*I23</f>
        <v>19968.283492056587</v>
      </c>
      <c r="H7" s="37">
        <f>$I$18*'[1]Vehicle Data'!$H$5+ 0.5*'Acceleration Dynamics'!$I19*'Acceleration Dynamics'!$I$20*('Acceleration Dynamics'!$I$15+'Acceleration Dynamics'!$I$16)^2</f>
        <v>6085.5206666666672</v>
      </c>
      <c r="I7" s="35">
        <f>((F7-H7)*9.81)/('[1]Vehicle Data'!$H$5*$I$18)</f>
        <v>47.927072574211259</v>
      </c>
      <c r="J7" s="37">
        <f>-1.25*1.06*$I$16*9.81/(7.2*'[1]Vehicle Data'!$H$5*$I$24)</f>
        <v>-6.7948717948717954E-5</v>
      </c>
      <c r="K7" s="37">
        <f>2*I7*E88-(9*10^5/3.14^2)*((C7*D7/$I$22)^2)*'Acceleration Dynamics'!$I$23*'Acceleration Dynamics'!$I$21*9.81/(1.3*'[1]Vehicle Data'!$H$5)</f>
        <v>-3.6092374201742713E-4</v>
      </c>
      <c r="L7" s="35">
        <f>(1.08*10^5/3.14)*(C7*D7/$I$22)*$I$23*$I$21*9.18/(1.3*'[1]Vehicle Data'!$H$5)-3.6*$I$18*9.81*COS(30)/1.3-1.25*1.3*'Acceleration Dynamics'!$H$19*((E7)^2)*9.81/(7.2*1.3*'[1]Vehicle Data'!$H$5)-0.036*TAN(30)*COS(30)*9.81/1.3</f>
        <v>-0.35985483128058332</v>
      </c>
      <c r="M7" s="35">
        <f>(1/((J7^2-4*I7*K7)^0.5))*LN((2*K7+2*I7*$I$22*$I$23+J7*($I$22+$I$23)+((J7^2-4*I7*K7)^0.5)*($I$23-$I$22))/(2*K7+2*I7*$I$22*$I$23+J7*($I$22+$I$23)-((J7^2-4*I7*K7)^0.5)*($I$23-$I$22)))*-800</f>
        <v>18.959792265187712</v>
      </c>
      <c r="N7" s="35">
        <f t="shared" si="0"/>
        <v>4.9586610877085224</v>
      </c>
    </row>
    <row r="8" spans="2:14" x14ac:dyDescent="0.25">
      <c r="B8" s="35" t="s">
        <v>50</v>
      </c>
      <c r="C8" s="36">
        <f>'[1]Vehicle Data'!H30</f>
        <v>1.3480000000000001</v>
      </c>
      <c r="D8" s="37">
        <f>'[1]Vehicle Data'!H34</f>
        <v>3.165</v>
      </c>
      <c r="E8" s="37">
        <f>2*0.83*'Vehicle Data'!$H$30/C8*D8*3.14*$I$22*0.0254/60*5/18</f>
        <v>78.252963518484165</v>
      </c>
      <c r="F8" s="37">
        <f>((30000/3.14)*(C8*D8/I22)*I23*I20)-((250000/(3.14^2))*((C8*D8/I22)^2)*I23*I21*E8)</f>
        <v>16563.032198636596</v>
      </c>
      <c r="G8" s="37">
        <f>F8*I22</f>
        <v>240163.96688023064</v>
      </c>
      <c r="H8" s="37">
        <f>$I$18*'[1]Vehicle Data'!$H$5+ 0.5*'Acceleration Dynamics'!$I20*'Acceleration Dynamics'!$I$20*('Acceleration Dynamics'!$I$15+'Acceleration Dynamics'!$I$16)^2</f>
        <v>3800.8731455963721</v>
      </c>
      <c r="I8" s="35">
        <f>((F8-H8)*9.81)/('[1]Vehicle Data'!$H$5*$I$18)</f>
        <v>34.0324241414406</v>
      </c>
      <c r="J8" s="37">
        <f>-1.25*1.06*$I$16*9.81/(7.2*'[1]Vehicle Data'!$H$5*$I$24)</f>
        <v>-6.7948717948717954E-5</v>
      </c>
      <c r="K8" s="37">
        <f>2*I8*E89-(9*10^5/3.14^2)*((C8*D8/$I$22)^2)*'Acceleration Dynamics'!$I$23*'Acceleration Dynamics'!$I$21*9.81/(1.3*'[1]Vehicle Data'!$H$5)</f>
        <v>-1.7106842656846769E-4</v>
      </c>
      <c r="L8" s="35">
        <f>(1.08*10^5/3.14)*(C8*D8/$I$22)*$I$23*$I$21*9.18/(1.3*'[1]Vehicle Data'!$H$5)-3.6*$I$18*9.81*COS(30)/1.3-1.25*1.3*'Acceleration Dynamics'!$H$19*((E8)^2)*9.81/(7.2*1.3*'[1]Vehicle Data'!$H$5)-0.036*TAN(30)*COS(30)*9.81/1.3</f>
        <v>-0.3599475994031211</v>
      </c>
      <c r="M8" s="35">
        <f>(1/((J8^2-4*I8*K8)^0.5))*LN((2*K8+2*I8*$I$22*$I$23+J8*($I$22+$I$23)+((J8^2-4*I8*K8)^0.5)*($I$23-$I$22))/(2*K8+2*I8*$I$22*$I$23+J8*($I$22+$I$23)-((J8^2-4*I8*K8)^0.5)*($I$23-$I$22)))*-450</f>
        <v>15.019093503526399</v>
      </c>
      <c r="N8" s="35">
        <f t="shared" si="0"/>
        <v>3.9374851120571539</v>
      </c>
    </row>
    <row r="9" spans="2:14" x14ac:dyDescent="0.25">
      <c r="B9" s="35" t="s">
        <v>51</v>
      </c>
      <c r="C9" s="36">
        <f>'[1]Vehicle Data'!H31</f>
        <v>1</v>
      </c>
      <c r="D9" s="37">
        <f>'[1]Vehicle Data'!H34</f>
        <v>3.165</v>
      </c>
      <c r="E9" s="37">
        <f>2*0.83*'Vehicle Data'!$H$30/C9*D9*3.14*$I$22*0.0254/60*5/18</f>
        <v>105.48499482291668</v>
      </c>
      <c r="F9" s="37">
        <f>((30000/3.14)*(C9*D9/I22)*I23*I20)-((250000/(3.14^2))*((C9*D9/I22)^2)*I23*I21*E9)</f>
        <v>12287.115874359495</v>
      </c>
      <c r="G9" s="37">
        <f>F9*I22</f>
        <v>178163.18017821267</v>
      </c>
      <c r="H9" s="37">
        <f>$I$18*'[1]Vehicle Data'!$H$5+ 0.5*'Acceleration Dynamics'!$I21*'Acceleration Dynamics'!$I$20*('Acceleration Dynamics'!$I$15+'Acceleration Dynamics'!$I$16)^2</f>
        <v>3678.7514571604715</v>
      </c>
      <c r="I9" s="35">
        <f>((F9-H9)*9.81)/('[1]Vehicle Data'!$H$5*$I$18)</f>
        <v>22.955638445864064</v>
      </c>
      <c r="J9" s="37">
        <f>-1.25*1.06*$I$16*9.81/(7.2*'[1]Vehicle Data'!$H$5*$I$24)</f>
        <v>-6.7948717948717954E-5</v>
      </c>
      <c r="K9" s="37">
        <f>2*I9*E90-(9*10^5/3.14^2)*((C9*D9/$I$22)^2)*'Acceleration Dynamics'!$I$23*'Acceleration Dynamics'!$I$21*9.81/(1.3*'[1]Vehicle Data'!$H$5)</f>
        <v>-9.4143442845576083E-5</v>
      </c>
      <c r="L9" s="35">
        <f>(1.08*10^5/3.14)*(C9*D9/$I$22)*$I$23*$I$21*9.18/(1.3*'[1]Vehicle Data'!$H$5)-3.6*$I$18*9.81*COS(30)/1.3-1.25*1.3*'Acceleration Dynamics'!$H$19*((E9)^2)*9.81/(7.2*1.3*'[1]Vehicle Data'!$H$5)-0.036*TAN(30)*COS(30)*9.81/1.3</f>
        <v>-0.36000052285663436</v>
      </c>
      <c r="M9" s="35">
        <f>(1/((J9^2-4*I9*K9)^0.5))*LN((2*K9+2*I9*$I$22*$I$23+J9*($I$22+$I$23)+((J9^2-4*I9*K9)^0.5)*($I$23-$I$22))/(2*K9+2*I9*$I$22*$I$23+J9*($I$22+$I$23)-((J9^2-4*I9*K9)^0.5)*($I$23-$I$22)))*-275</f>
        <v>13.607159344241962</v>
      </c>
      <c r="N9" s="35">
        <f t="shared" si="0"/>
        <v>3.3010457407451081</v>
      </c>
    </row>
    <row r="10" spans="2:14" x14ac:dyDescent="0.25">
      <c r="B10" s="35" t="s">
        <v>52</v>
      </c>
      <c r="C10" s="36">
        <f>'[1]Vehicle Data'!H32</f>
        <v>0.72499999999999998</v>
      </c>
      <c r="D10" s="37">
        <f>D9</f>
        <v>3.165</v>
      </c>
      <c r="E10" s="37">
        <f>2*0.83*'Vehicle Data'!$H$30/C10*D10*3.14*$I$22*0.0254/60*5/18</f>
        <v>145.49654458333333</v>
      </c>
      <c r="F10" s="37">
        <f>((30000/3.14)*(C10*D10/I22)*I23*I20)-((250000/(3.14^2))*((C10*D10/I22)^2)*I23*I21*E10)</f>
        <v>8908.1590089106321</v>
      </c>
      <c r="G10" s="37">
        <f>F10*I22</f>
        <v>129168.30562920417</v>
      </c>
      <c r="H10" s="37">
        <f>$I$18*'[1]Vehicle Data'!$H$5+ 0.5*'Acceleration Dynamics'!$I22*'Acceleration Dynamics'!$I$20*('Acceleration Dynamics'!$I$15+'Acceleration Dynamics'!$I$16)^2</f>
        <v>3928.0226761904764</v>
      </c>
      <c r="I10" s="35">
        <f>((F10-H10)*9.81)/('[1]Vehicle Data'!$H$5*$I$18)</f>
        <v>13.280363553920417</v>
      </c>
      <c r="J10" s="37">
        <f>-1.25*1.06*$I$16*9.81/(7.2*'[1]Vehicle Data'!$H$5*$I$24)</f>
        <v>-6.7948717948717954E-5</v>
      </c>
      <c r="K10" s="37">
        <f>2*I10*E91-(9*10^5/3.14^2)*((C10*D10/$I$22)^2)*'Acceleration Dynamics'!$I$23*'Acceleration Dynamics'!$I$21*9.81/(1.3*'[1]Vehicle Data'!$H$5)</f>
        <v>-4.9484147145705928E-5</v>
      </c>
      <c r="L10" s="35">
        <f>(1.08*10^5/3.14)*(C10*D10/$I$22)*$I$23*$I$21*9.18/(1.3*'[1]Vehicle Data'!$H$5)-3.6*$I$18*9.81*COS(30)/1.3-1.25*1.3*'Acceleration Dynamics'!$H$19*((E10)^2)*9.81/(7.2*1.3*'[1]Vehicle Data'!$H$5)-0.036*TAN(30)*COS(30)*9.81/1.3</f>
        <v>-0.36004234455122114</v>
      </c>
      <c r="M10" s="35">
        <f>(1/((J10^2-4*I10*K10)^0.5))*LN((2*K10+2*I10*$I$22*$I$23+J10*($I$22+$I$23)+((J10^2-4*I10*K10)^0.5)*($I$23-$I$22))/(2*K10+2*I10*$I$22*$I$23+J10*($I$22+$I$23)-((J10^2-4*I10*K10)^0.5)*($I$23-$I$22)))*-150</f>
        <v>12.82938861320793</v>
      </c>
      <c r="N10" s="35">
        <f t="shared" si="0"/>
        <v>2.8058799769580709</v>
      </c>
    </row>
    <row r="11" spans="2:14" x14ac:dyDescent="0.25">
      <c r="B11" s="35" t="s">
        <v>53</v>
      </c>
      <c r="C11" s="36">
        <f>'[1]Vehicle Data'!H33</f>
        <v>0.58199999999999996</v>
      </c>
      <c r="D11" s="37">
        <f>D10</f>
        <v>3.165</v>
      </c>
      <c r="E11" s="37">
        <f>2*0.83*'Vehicle Data'!$H$30/C11*D11*3.14*$I$22*0.0254/60*5/18</f>
        <v>181.24569557202173</v>
      </c>
      <c r="F11" s="37">
        <f>((30000/3.14)*(C11*D11/I22)*I23*I20)-((250000/(3.14^2))*((C11*D11/I22)^2)*I23*I21*E11)</f>
        <v>7151.1014388772246</v>
      </c>
      <c r="G11" s="37">
        <f>F11*I22</f>
        <v>103690.97086371976</v>
      </c>
      <c r="H11" s="37">
        <f>$I$18*'[1]Vehicle Data'!$H$5+ 0.5*'Acceleration Dynamics'!$I23*'Acceleration Dynamics'!$I$20*('Acceleration Dynamics'!$I$15+'Acceleration Dynamics'!$I$16)^2</f>
        <v>3693.0187118095237</v>
      </c>
      <c r="I11" s="35">
        <f>((F11-H11)*9.81)/('[1]Vehicle Data'!$H$5*$I$18)</f>
        <v>9.2215539388472028</v>
      </c>
      <c r="J11" s="37">
        <f>-1.25*1.06*$I$16*9.81/(7.2*'[1]Vehicle Data'!$H$5*$I$24)</f>
        <v>-6.7948717948717954E-5</v>
      </c>
      <c r="K11" s="37">
        <f>2*I11*E92-(9*10^5/3.14^2)*((C11*D11/$I$22)^2)*'Acceleration Dynamics'!$I$23*'Acceleration Dynamics'!$I$21*9.81/(1.3*'[1]Vehicle Data'!$H$5)</f>
        <v>-3.188864353442491E-5</v>
      </c>
      <c r="L11" s="35">
        <f>(1.08*10^5/3.14)*(C11*D11/$I$22)*$I$23*$I$21*9.18/(1.3*'[1]Vehicle Data'!$H$5)-3.6*$I$18*9.81*COS(30)/1.3-1.25*1.3*'Acceleration Dynamics'!$H$19*((E11)^2)*9.81/(7.2*1.3*'[1]Vehicle Data'!$H$5)-0.036*TAN(30)*COS(30)*9.81/1.3</f>
        <v>-0.36006409183240612</v>
      </c>
      <c r="M11" s="35">
        <f>(1/((J11^2-4*I11*K11)^0.5))*LN((2*K11+2*I11*$I$22*$I$23+J11*($I$22+$I$23)+((J11^2-4*I11*K11)^0.5)*($I$23-$I$22))/(2*K11+2*I11*$I$22*$I$23+J11*($I$22+$I$23)-((J11^2-4*I11*K11)^0.5)*($I$23-$I$22)))*-95</f>
        <v>11.70158584786785</v>
      </c>
      <c r="N11" s="35">
        <f t="shared" si="0"/>
        <v>2.5698040736345118</v>
      </c>
    </row>
    <row r="12" spans="2:14" x14ac:dyDescent="0.25">
      <c r="B12" s="2"/>
      <c r="C12" s="42"/>
      <c r="D12" s="43"/>
      <c r="E12" s="43"/>
      <c r="F12" s="43"/>
      <c r="G12" s="43"/>
      <c r="H12" s="43"/>
      <c r="I12" s="2"/>
      <c r="J12" s="43"/>
      <c r="K12" s="43"/>
      <c r="L12" s="2"/>
      <c r="M12" s="2"/>
      <c r="N12" s="2"/>
    </row>
    <row r="13" spans="2:14" x14ac:dyDescent="0.25">
      <c r="B13" s="2"/>
      <c r="C13" s="42"/>
      <c r="D13" s="43"/>
      <c r="E13" s="43"/>
      <c r="F13" s="43"/>
      <c r="G13" s="43"/>
      <c r="H13" s="43"/>
      <c r="I13" s="2"/>
      <c r="J13" s="43"/>
      <c r="K13" s="43"/>
      <c r="L13" s="2"/>
      <c r="M13" s="2"/>
      <c r="N13" s="2"/>
    </row>
    <row r="14" spans="2:14" ht="40.5" customHeight="1" x14ac:dyDescent="0.25">
      <c r="B14" s="2"/>
      <c r="C14" s="38"/>
      <c r="D14" s="39"/>
      <c r="E14" s="39"/>
      <c r="F14" s="66" t="s">
        <v>128</v>
      </c>
      <c r="G14" s="67"/>
      <c r="H14" s="68"/>
      <c r="I14" s="41" t="s">
        <v>58</v>
      </c>
      <c r="J14" s="41" t="s">
        <v>90</v>
      </c>
      <c r="K14" s="39"/>
      <c r="L14" s="40"/>
      <c r="M14" s="40"/>
      <c r="N14" s="40"/>
    </row>
    <row r="15" spans="2:14" ht="18.75" customHeight="1" x14ac:dyDescent="0.25">
      <c r="B15" s="2"/>
      <c r="C15" s="38"/>
      <c r="F15" s="50" t="s">
        <v>66</v>
      </c>
      <c r="G15" s="51"/>
      <c r="H15" s="52"/>
      <c r="I15" s="5">
        <v>1</v>
      </c>
      <c r="J15" s="5" t="s">
        <v>136</v>
      </c>
      <c r="K15" s="39"/>
      <c r="L15" s="40"/>
      <c r="M15" s="40"/>
      <c r="N15" s="40"/>
    </row>
    <row r="16" spans="2:14" x14ac:dyDescent="0.25">
      <c r="F16" s="50" t="s">
        <v>65</v>
      </c>
      <c r="G16" s="51"/>
      <c r="H16" s="52"/>
      <c r="I16" s="5">
        <v>1.2</v>
      </c>
      <c r="J16" s="5" t="s">
        <v>91</v>
      </c>
    </row>
    <row r="17" spans="6:10" x14ac:dyDescent="0.25">
      <c r="F17" s="50" t="s">
        <v>64</v>
      </c>
      <c r="G17" s="51"/>
      <c r="H17" s="52"/>
      <c r="I17" s="5">
        <v>1</v>
      </c>
      <c r="J17" s="5" t="s">
        <v>137</v>
      </c>
    </row>
    <row r="18" spans="6:10" x14ac:dyDescent="0.25">
      <c r="F18" s="50" t="s">
        <v>63</v>
      </c>
      <c r="G18" s="51"/>
      <c r="H18" s="52"/>
      <c r="I18" s="5">
        <v>0.15</v>
      </c>
      <c r="J18" s="5" t="s">
        <v>91</v>
      </c>
    </row>
    <row r="19" spans="6:10" x14ac:dyDescent="0.25">
      <c r="F19" s="50" t="s">
        <v>62</v>
      </c>
      <c r="G19" s="51"/>
      <c r="H19" s="52"/>
      <c r="I19" s="5">
        <v>140</v>
      </c>
      <c r="J19" s="5" t="s">
        <v>138</v>
      </c>
    </row>
    <row r="20" spans="6:10" ht="30" customHeight="1" x14ac:dyDescent="0.25">
      <c r="F20" s="69" t="s">
        <v>45</v>
      </c>
      <c r="G20" s="70"/>
      <c r="H20" s="71"/>
      <c r="I20" s="5">
        <f>('[1]Vehicle Data'!H24-'[1]Vehicle Data'!H21*('[1]Vehicle Data'!H25/'[1]Vehicle Data'!H22)^2)/('[1]Vehicle Data'!H21*(1-('[1]Vehicle Data'!H25/'[1]Vehicle Data'!H22)))</f>
        <v>7.1038095238095238</v>
      </c>
      <c r="J20" s="5" t="s">
        <v>139</v>
      </c>
    </row>
    <row r="21" spans="6:10" ht="32.25" customHeight="1" x14ac:dyDescent="0.25">
      <c r="F21" s="69" t="s">
        <v>46</v>
      </c>
      <c r="G21" s="70"/>
      <c r="H21" s="71"/>
      <c r="I21" s="5">
        <f>(('[1]Vehicle Data'!H24/'[1]Vehicle Data'!H25)-('[1]Vehicle Data'!H21/'[1]Vehicle Data'!H22))/('[1]Vehicle Data'!H22-'[1]Vehicle Data'!H25)</f>
        <v>8.4761904761904757E-5</v>
      </c>
      <c r="J21" s="5" t="s">
        <v>140</v>
      </c>
    </row>
    <row r="22" spans="6:10" x14ac:dyDescent="0.25">
      <c r="F22" s="50" t="s">
        <v>59</v>
      </c>
      <c r="G22" s="51"/>
      <c r="H22" s="52"/>
      <c r="I22" s="5">
        <v>14.5</v>
      </c>
      <c r="J22" s="5" t="s">
        <v>93</v>
      </c>
    </row>
    <row r="23" spans="6:10" x14ac:dyDescent="0.25">
      <c r="F23" s="50" t="s">
        <v>60</v>
      </c>
      <c r="G23" s="51"/>
      <c r="H23" s="52"/>
      <c r="I23" s="5">
        <v>0.83</v>
      </c>
      <c r="J23" s="5" t="s">
        <v>91</v>
      </c>
    </row>
    <row r="24" spans="6:10" x14ac:dyDescent="0.25">
      <c r="F24" s="50" t="s">
        <v>125</v>
      </c>
      <c r="G24" s="51"/>
      <c r="H24" s="52"/>
      <c r="I24" s="5">
        <v>1.3</v>
      </c>
      <c r="J24" s="5" t="s">
        <v>91</v>
      </c>
    </row>
    <row r="25" spans="6:10" x14ac:dyDescent="0.25">
      <c r="F25" s="50" t="s">
        <v>126</v>
      </c>
      <c r="G25" s="51"/>
      <c r="H25" s="52"/>
      <c r="I25" s="5">
        <v>2</v>
      </c>
      <c r="J25" s="5" t="s">
        <v>136</v>
      </c>
    </row>
    <row r="26" spans="6:10" x14ac:dyDescent="0.25">
      <c r="F26" s="50" t="s">
        <v>127</v>
      </c>
      <c r="G26" s="51"/>
      <c r="H26" s="52"/>
      <c r="I26" s="5">
        <v>100</v>
      </c>
      <c r="J26" s="5" t="s">
        <v>136</v>
      </c>
    </row>
  </sheetData>
  <mergeCells count="14">
    <mergeCell ref="F24:H24"/>
    <mergeCell ref="F25:H25"/>
    <mergeCell ref="F26:H26"/>
    <mergeCell ref="G2:I2"/>
    <mergeCell ref="F14:H14"/>
    <mergeCell ref="F15:H15"/>
    <mergeCell ref="F16:H16"/>
    <mergeCell ref="F17:H17"/>
    <mergeCell ref="F18:H18"/>
    <mergeCell ref="F20:H20"/>
    <mergeCell ref="F21:H21"/>
    <mergeCell ref="F22:H22"/>
    <mergeCell ref="F23:H23"/>
    <mergeCell ref="F19:H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9"/>
  <sheetViews>
    <sheetView workbookViewId="0">
      <selection activeCell="D13" sqref="D13"/>
    </sheetView>
  </sheetViews>
  <sheetFormatPr defaultRowHeight="15" x14ac:dyDescent="0.25"/>
  <cols>
    <col min="5" max="5" width="11.5703125" customWidth="1"/>
    <col min="8" max="8" width="14.28515625" customWidth="1"/>
    <col min="9" max="9" width="3.42578125" customWidth="1"/>
    <col min="10" max="10" width="9.140625" hidden="1" customWidth="1"/>
    <col min="12" max="12" width="9.140625" style="23"/>
  </cols>
  <sheetData>
    <row r="1" spans="5:12" ht="15.75" thickBot="1" x14ac:dyDescent="0.3"/>
    <row r="2" spans="5:12" ht="27" thickBot="1" x14ac:dyDescent="0.45">
      <c r="F2" s="63" t="s">
        <v>121</v>
      </c>
      <c r="G2" s="64"/>
      <c r="H2" s="65"/>
      <c r="I2" s="33"/>
      <c r="J2" s="34"/>
    </row>
    <row r="3" spans="5:12" ht="26.25" customHeight="1" x14ac:dyDescent="0.25"/>
    <row r="4" spans="5:12" ht="30" customHeight="1" x14ac:dyDescent="0.35">
      <c r="E4" s="74" t="s">
        <v>101</v>
      </c>
      <c r="F4" s="75"/>
      <c r="G4" s="75"/>
      <c r="H4" s="75"/>
      <c r="I4" s="75"/>
      <c r="J4" s="76"/>
      <c r="K4" s="30" t="s">
        <v>58</v>
      </c>
      <c r="L4" s="31" t="s">
        <v>90</v>
      </c>
    </row>
    <row r="5" spans="5:12" x14ac:dyDescent="0.25">
      <c r="E5" s="50" t="s">
        <v>68</v>
      </c>
      <c r="F5" s="51"/>
      <c r="G5" s="51"/>
      <c r="H5" s="51"/>
      <c r="I5" s="51"/>
      <c r="J5" s="52"/>
      <c r="K5" s="5">
        <v>60</v>
      </c>
      <c r="L5" s="22" t="s">
        <v>115</v>
      </c>
    </row>
    <row r="6" spans="5:12" x14ac:dyDescent="0.25">
      <c r="E6" s="50" t="s">
        <v>114</v>
      </c>
      <c r="F6" s="51"/>
      <c r="G6" s="51"/>
      <c r="H6" s="51"/>
      <c r="I6" s="51"/>
      <c r="J6" s="52"/>
      <c r="K6" s="5">
        <f>'Vehicle Data'!H22*0.0254</f>
        <v>0.36829999999999996</v>
      </c>
      <c r="L6" s="22" t="s">
        <v>78</v>
      </c>
    </row>
    <row r="7" spans="5:12" x14ac:dyDescent="0.25">
      <c r="E7" s="50" t="s">
        <v>118</v>
      </c>
      <c r="F7" s="51"/>
      <c r="G7" s="51"/>
      <c r="H7" s="51"/>
      <c r="I7" s="51"/>
      <c r="J7" s="52"/>
      <c r="K7" s="5">
        <f>'Vehicle Data'!H45</f>
        <v>1.2689999999999999</v>
      </c>
      <c r="L7" s="22" t="s">
        <v>78</v>
      </c>
    </row>
    <row r="8" spans="5:12" x14ac:dyDescent="0.25">
      <c r="E8" s="50" t="s">
        <v>117</v>
      </c>
      <c r="F8" s="51"/>
      <c r="G8" s="51"/>
      <c r="H8" s="51"/>
      <c r="I8" s="51"/>
      <c r="J8" s="52"/>
      <c r="K8" s="5">
        <f>'Vehicle Data'!H46</f>
        <v>1.431</v>
      </c>
      <c r="L8" s="22" t="s">
        <v>78</v>
      </c>
    </row>
    <row r="9" spans="5:12" x14ac:dyDescent="0.25">
      <c r="E9" s="50" t="s">
        <v>119</v>
      </c>
      <c r="F9" s="51"/>
      <c r="G9" s="51"/>
      <c r="H9" s="51"/>
      <c r="I9" s="51"/>
      <c r="J9" s="52"/>
      <c r="K9" s="5">
        <v>0.4</v>
      </c>
      <c r="L9" s="22" t="s">
        <v>78</v>
      </c>
    </row>
    <row r="10" spans="5:12" x14ac:dyDescent="0.25">
      <c r="E10" s="50" t="s">
        <v>120</v>
      </c>
      <c r="F10" s="51"/>
      <c r="G10" s="51"/>
      <c r="H10" s="51"/>
      <c r="I10" s="51"/>
      <c r="J10" s="52"/>
      <c r="K10" s="5">
        <f>DEGREES(ASIN(K9*1000/'Vehicle Data'!H16))</f>
        <v>8.5196242541430447</v>
      </c>
      <c r="L10" s="22" t="s">
        <v>91</v>
      </c>
    </row>
    <row r="11" spans="5:12" x14ac:dyDescent="0.25">
      <c r="E11" s="50" t="s">
        <v>110</v>
      </c>
      <c r="F11" s="51"/>
      <c r="G11" s="51"/>
      <c r="H11" s="51"/>
      <c r="I11" s="51"/>
      <c r="J11" s="52"/>
      <c r="K11" s="5">
        <f xml:space="preserve"> ('Vehicle Data'!H12*K8*COS(K10) - 'Vehicle Data'!H14* ('Vehicle Data'!H16/1000)* COS(K10))/('Vehicle Data'!H12*SIN(K10)) + K6</f>
        <v>0.36830000000000018</v>
      </c>
      <c r="L11" s="22" t="s">
        <v>78</v>
      </c>
    </row>
    <row r="12" spans="5:12" x14ac:dyDescent="0.25">
      <c r="E12" s="50" t="s">
        <v>109</v>
      </c>
      <c r="F12" s="51"/>
      <c r="G12" s="51"/>
      <c r="H12" s="51"/>
      <c r="I12" s="51"/>
      <c r="J12" s="52"/>
      <c r="K12" s="5">
        <f>'Vehicle Data'!H12*K11*1000/'Vehicle Data'!H16</f>
        <v>2947.6276666666681</v>
      </c>
      <c r="L12" s="22" t="s">
        <v>92</v>
      </c>
    </row>
    <row r="13" spans="5:12" x14ac:dyDescent="0.25">
      <c r="E13" s="50" t="s">
        <v>111</v>
      </c>
      <c r="F13" s="51"/>
      <c r="G13" s="51"/>
      <c r="H13" s="51"/>
      <c r="I13" s="51"/>
      <c r="J13" s="52"/>
      <c r="K13" s="5">
        <f>0.5*('Vehicle Data'!H14+K12)*K17</f>
        <v>6480.1789500000004</v>
      </c>
      <c r="L13" s="22" t="s">
        <v>92</v>
      </c>
    </row>
    <row r="14" spans="5:12" x14ac:dyDescent="0.25">
      <c r="E14" s="50" t="s">
        <v>112</v>
      </c>
      <c r="F14" s="51"/>
      <c r="G14" s="51"/>
      <c r="H14" s="51"/>
      <c r="I14" s="51"/>
      <c r="J14" s="52"/>
      <c r="K14" s="5">
        <f>0.5*('Vehicle Data'!H14-K12)*K17</f>
        <v>3827.31405</v>
      </c>
      <c r="L14" s="22" t="s">
        <v>92</v>
      </c>
    </row>
    <row r="15" spans="5:12" x14ac:dyDescent="0.25">
      <c r="E15" s="50" t="s">
        <v>113</v>
      </c>
      <c r="F15" s="51"/>
      <c r="G15" s="51"/>
      <c r="H15" s="51"/>
      <c r="I15" s="51"/>
      <c r="J15" s="52"/>
      <c r="K15" s="5">
        <f>K13+K14</f>
        <v>10307.493</v>
      </c>
      <c r="L15" s="22" t="s">
        <v>92</v>
      </c>
    </row>
    <row r="16" spans="5:12" x14ac:dyDescent="0.25">
      <c r="E16" s="50" t="s">
        <v>105</v>
      </c>
      <c r="F16" s="51"/>
      <c r="G16" s="51"/>
      <c r="H16" s="51"/>
      <c r="I16" s="51"/>
      <c r="J16" s="52"/>
      <c r="K16" s="5">
        <f>K15*K6</f>
        <v>3796.2496718999996</v>
      </c>
      <c r="L16" s="22" t="s">
        <v>116</v>
      </c>
    </row>
    <row r="17" spans="5:12" x14ac:dyDescent="0.25">
      <c r="E17" s="50" t="s">
        <v>106</v>
      </c>
      <c r="F17" s="51"/>
      <c r="G17" s="51"/>
      <c r="H17" s="51"/>
      <c r="I17" s="51"/>
      <c r="J17" s="52"/>
      <c r="K17" s="5">
        <v>0.9</v>
      </c>
      <c r="L17" s="22" t="s">
        <v>91</v>
      </c>
    </row>
    <row r="18" spans="5:12" x14ac:dyDescent="0.25">
      <c r="E18" s="50" t="s">
        <v>107</v>
      </c>
      <c r="F18" s="51"/>
      <c r="G18" s="51"/>
      <c r="H18" s="51"/>
      <c r="I18" s="51"/>
      <c r="J18" s="52"/>
      <c r="K18" s="5">
        <f>1.55+(K5/(35.3168*K17))</f>
        <v>3.4376757426116371</v>
      </c>
      <c r="L18" s="22" t="s">
        <v>97</v>
      </c>
    </row>
    <row r="19" spans="5:12" x14ac:dyDescent="0.25">
      <c r="E19" s="50" t="s">
        <v>108</v>
      </c>
      <c r="F19" s="51"/>
      <c r="G19" s="51"/>
      <c r="H19" s="51"/>
      <c r="I19" s="51"/>
      <c r="J19" s="52"/>
      <c r="K19" s="5">
        <f>(K5/3.6)*1.05+((K5)^2/(254.2752*K17))</f>
        <v>33.230987528473094</v>
      </c>
      <c r="L19" s="22" t="s">
        <v>78</v>
      </c>
    </row>
  </sheetData>
  <mergeCells count="17">
    <mergeCell ref="F2:H2"/>
    <mergeCell ref="E10:J10"/>
    <mergeCell ref="E11:J11"/>
    <mergeCell ref="E12:J12"/>
    <mergeCell ref="E13:J13"/>
    <mergeCell ref="E4:J4"/>
    <mergeCell ref="E5:J5"/>
    <mergeCell ref="E6:J6"/>
    <mergeCell ref="E7:J7"/>
    <mergeCell ref="E8:J8"/>
    <mergeCell ref="E9:J9"/>
    <mergeCell ref="E16:J16"/>
    <mergeCell ref="E17:J17"/>
    <mergeCell ref="E18:J18"/>
    <mergeCell ref="E19:J19"/>
    <mergeCell ref="E14:J14"/>
    <mergeCell ref="E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3"/>
  <sheetViews>
    <sheetView workbookViewId="0">
      <selection activeCell="G2" sqref="G2:J2"/>
    </sheetView>
  </sheetViews>
  <sheetFormatPr defaultRowHeight="15" x14ac:dyDescent="0.25"/>
  <cols>
    <col min="10" max="10" width="12.140625" customWidth="1"/>
    <col min="11" max="11" width="13.5703125" style="23" customWidth="1"/>
  </cols>
  <sheetData>
    <row r="1" spans="5:11" ht="15.75" thickBot="1" x14ac:dyDescent="0.3"/>
    <row r="2" spans="5:11" ht="24" thickBot="1" x14ac:dyDescent="0.4">
      <c r="G2" s="77" t="s">
        <v>100</v>
      </c>
      <c r="H2" s="78"/>
      <c r="I2" s="78"/>
      <c r="J2" s="79"/>
    </row>
    <row r="3" spans="5:11" s="24" customFormat="1" ht="23.25" x14ac:dyDescent="0.35">
      <c r="G3" s="25"/>
      <c r="H3" s="25"/>
      <c r="I3" s="25"/>
      <c r="J3" s="25"/>
      <c r="K3" s="26"/>
    </row>
    <row r="4" spans="5:11" s="17" customFormat="1" ht="24" customHeight="1" x14ac:dyDescent="0.35">
      <c r="E4" s="80" t="s">
        <v>101</v>
      </c>
      <c r="F4" s="81"/>
      <c r="G4" s="81"/>
      <c r="H4" s="81"/>
      <c r="I4" s="82"/>
      <c r="J4" s="28" t="s">
        <v>58</v>
      </c>
      <c r="K4" s="29" t="s">
        <v>90</v>
      </c>
    </row>
    <row r="5" spans="5:11" x14ac:dyDescent="0.25">
      <c r="E5" s="50" t="s">
        <v>76</v>
      </c>
      <c r="F5" s="51"/>
      <c r="G5" s="51"/>
      <c r="H5" s="51"/>
      <c r="I5" s="52"/>
      <c r="J5" s="5">
        <v>5</v>
      </c>
      <c r="K5" s="22" t="s">
        <v>82</v>
      </c>
    </row>
    <row r="6" spans="5:11" x14ac:dyDescent="0.25">
      <c r="E6" s="50" t="s">
        <v>74</v>
      </c>
      <c r="F6" s="51"/>
      <c r="G6" s="51"/>
      <c r="H6" s="51"/>
      <c r="I6" s="52"/>
      <c r="J6" s="5">
        <v>45</v>
      </c>
      <c r="K6" s="22" t="s">
        <v>75</v>
      </c>
    </row>
    <row r="7" spans="5:11" x14ac:dyDescent="0.25">
      <c r="E7" s="50" t="s">
        <v>73</v>
      </c>
      <c r="F7" s="51"/>
      <c r="G7" s="51"/>
      <c r="H7" s="51"/>
      <c r="I7" s="52"/>
      <c r="J7" s="5">
        <f>DEGREES(ATAN((((TAN(J6))^-1)+((('Vehicle Data'!H17/1000)-(2*(J5/1000)))/('Vehicle Data'!H16/1000)))^-1))</f>
        <v>36.439589885024297</v>
      </c>
      <c r="K7" s="22" t="s">
        <v>75</v>
      </c>
    </row>
    <row r="8" spans="5:11" x14ac:dyDescent="0.25">
      <c r="E8" s="50" t="s">
        <v>80</v>
      </c>
      <c r="F8" s="51"/>
      <c r="G8" s="51"/>
      <c r="H8" s="51"/>
      <c r="I8" s="52"/>
      <c r="J8" s="5">
        <v>40.5</v>
      </c>
      <c r="K8" s="22" t="s">
        <v>75</v>
      </c>
    </row>
    <row r="9" spans="5:11" x14ac:dyDescent="0.25">
      <c r="E9" s="50" t="s">
        <v>81</v>
      </c>
      <c r="F9" s="51"/>
      <c r="G9" s="51"/>
      <c r="H9" s="51"/>
      <c r="I9" s="52"/>
      <c r="J9" s="5">
        <f>J8-J7</f>
        <v>4.0604101149757028</v>
      </c>
      <c r="K9" s="22" t="s">
        <v>75</v>
      </c>
    </row>
    <row r="10" spans="5:11" x14ac:dyDescent="0.25">
      <c r="E10" s="50" t="s">
        <v>70</v>
      </c>
      <c r="F10" s="51"/>
      <c r="G10" s="51"/>
      <c r="H10" s="51"/>
      <c r="I10" s="52"/>
      <c r="J10" s="5">
        <f>((J6-40.5)/(J6-J7))*100</f>
        <v>52.567574912417292</v>
      </c>
      <c r="K10" s="22" t="s">
        <v>79</v>
      </c>
    </row>
    <row r="11" spans="5:11" x14ac:dyDescent="0.25">
      <c r="E11" s="50" t="s">
        <v>71</v>
      </c>
      <c r="F11" s="51"/>
      <c r="G11" s="51"/>
      <c r="H11" s="51"/>
      <c r="I11" s="52"/>
      <c r="J11" s="5">
        <f>0.5*(((('Vehicle Data'!H16/1000)/(SIN(RADIANS(J7))))+(J5/1000))-(0.1*(J9)))</f>
        <v>2.0723027862693222</v>
      </c>
      <c r="K11" s="22" t="s">
        <v>78</v>
      </c>
    </row>
    <row r="12" spans="5:11" x14ac:dyDescent="0.25">
      <c r="E12" s="50" t="s">
        <v>83</v>
      </c>
      <c r="F12" s="51"/>
      <c r="G12" s="51"/>
      <c r="H12" s="51"/>
      <c r="I12" s="52"/>
      <c r="J12" s="5">
        <v>235</v>
      </c>
      <c r="K12" s="22" t="s">
        <v>82</v>
      </c>
    </row>
    <row r="13" spans="5:11" x14ac:dyDescent="0.25">
      <c r="E13" s="50" t="s">
        <v>72</v>
      </c>
      <c r="F13" s="51"/>
      <c r="G13" s="51"/>
      <c r="H13" s="51"/>
      <c r="I13" s="52"/>
      <c r="J13" s="5">
        <f>J11+(J12/1000)</f>
        <v>2.3073027862693221</v>
      </c>
      <c r="K13" s="22" t="s">
        <v>78</v>
      </c>
    </row>
  </sheetData>
  <mergeCells count="11">
    <mergeCell ref="E10:I10"/>
    <mergeCell ref="E11:I11"/>
    <mergeCell ref="E12:I12"/>
    <mergeCell ref="E13:I13"/>
    <mergeCell ref="E4:I4"/>
    <mergeCell ref="E9:I9"/>
    <mergeCell ref="G2:J2"/>
    <mergeCell ref="E5:I5"/>
    <mergeCell ref="E6:I6"/>
    <mergeCell ref="E7:I7"/>
    <mergeCell ref="E8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11"/>
  <sheetViews>
    <sheetView workbookViewId="0">
      <selection activeCell="F5" sqref="F5:M11"/>
    </sheetView>
  </sheetViews>
  <sheetFormatPr defaultRowHeight="15" x14ac:dyDescent="0.25"/>
  <cols>
    <col min="13" max="13" width="9.140625" style="23"/>
  </cols>
  <sheetData>
    <row r="1" spans="6:13" ht="15.75" thickBot="1" x14ac:dyDescent="0.3"/>
    <row r="2" spans="6:13" ht="24" thickBot="1" x14ac:dyDescent="0.4">
      <c r="H2" s="77" t="s">
        <v>102</v>
      </c>
      <c r="I2" s="78"/>
      <c r="J2" s="78"/>
      <c r="K2" s="79"/>
    </row>
    <row r="5" spans="6:13" s="17" customFormat="1" ht="27.75" customHeight="1" x14ac:dyDescent="0.35">
      <c r="F5" s="74" t="s">
        <v>101</v>
      </c>
      <c r="G5" s="75"/>
      <c r="H5" s="75"/>
      <c r="I5" s="75"/>
      <c r="J5" s="75"/>
      <c r="K5" s="76"/>
      <c r="L5" s="30" t="s">
        <v>58</v>
      </c>
      <c r="M5" s="31" t="s">
        <v>90</v>
      </c>
    </row>
    <row r="6" spans="6:13" x14ac:dyDescent="0.25">
      <c r="F6" s="50" t="s">
        <v>87</v>
      </c>
      <c r="G6" s="51"/>
      <c r="H6" s="51"/>
      <c r="I6" s="51"/>
      <c r="J6" s="51"/>
      <c r="K6" s="52"/>
      <c r="L6" s="5">
        <v>0.85</v>
      </c>
      <c r="M6" s="22" t="s">
        <v>91</v>
      </c>
    </row>
    <row r="7" spans="6:13" x14ac:dyDescent="0.25">
      <c r="F7" s="50" t="s">
        <v>88</v>
      </c>
      <c r="G7" s="51"/>
      <c r="H7" s="51"/>
      <c r="I7" s="51"/>
      <c r="J7" s="51"/>
      <c r="K7" s="52"/>
      <c r="L7" s="5">
        <f>'Braking Dynamics'!K11</f>
        <v>0.36830000000000018</v>
      </c>
      <c r="M7" s="22" t="s">
        <v>78</v>
      </c>
    </row>
    <row r="8" spans="6:13" x14ac:dyDescent="0.25">
      <c r="F8" s="50" t="s">
        <v>86</v>
      </c>
      <c r="G8" s="51"/>
      <c r="H8" s="51"/>
      <c r="I8" s="51"/>
      <c r="J8" s="51"/>
      <c r="K8" s="52"/>
      <c r="L8" s="5">
        <f>'Vehicle Data'!H13*'High Speed Steering'!L6*'High Speed Steering'!L7*1000/'Vehicle Data'!H17</f>
        <v>2794.0158750000014</v>
      </c>
      <c r="M8" s="22" t="s">
        <v>92</v>
      </c>
    </row>
    <row r="9" spans="6:13" x14ac:dyDescent="0.25">
      <c r="F9" s="50" t="s">
        <v>84</v>
      </c>
      <c r="G9" s="51"/>
      <c r="H9" s="51"/>
      <c r="I9" s="51"/>
      <c r="J9" s="51"/>
      <c r="K9" s="52"/>
      <c r="L9" s="5">
        <f>((0.5*'Vehicle Data'!H12)-L8)*L6</f>
        <v>6808.9115062499986</v>
      </c>
      <c r="M9" s="22" t="s">
        <v>92</v>
      </c>
    </row>
    <row r="10" spans="6:13" x14ac:dyDescent="0.25">
      <c r="F10" s="50" t="s">
        <v>85</v>
      </c>
      <c r="G10" s="51"/>
      <c r="H10" s="51"/>
      <c r="I10" s="51"/>
      <c r="J10" s="51"/>
      <c r="K10" s="52"/>
      <c r="L10" s="5">
        <f>((0.5*'Vehicle Data'!H12)+L8)*L6</f>
        <v>11558.738493750001</v>
      </c>
      <c r="M10" s="22" t="s">
        <v>92</v>
      </c>
    </row>
    <row r="11" spans="6:13" x14ac:dyDescent="0.25">
      <c r="F11" s="50" t="s">
        <v>89</v>
      </c>
      <c r="G11" s="51"/>
      <c r="H11" s="51"/>
      <c r="I11" s="51"/>
      <c r="J11" s="51"/>
      <c r="K11" s="52"/>
      <c r="L11" s="5">
        <f>('Vehicle Data'!H16/1000)/(2*L7)</f>
        <v>3.6654900896008673</v>
      </c>
      <c r="M11" s="22" t="s">
        <v>91</v>
      </c>
    </row>
  </sheetData>
  <mergeCells count="8">
    <mergeCell ref="F10:K10"/>
    <mergeCell ref="F11:K11"/>
    <mergeCell ref="F6:K6"/>
    <mergeCell ref="H2:K2"/>
    <mergeCell ref="F5:K5"/>
    <mergeCell ref="F7:K7"/>
    <mergeCell ref="F8:K8"/>
    <mergeCell ref="F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7" workbookViewId="0">
      <selection activeCell="D25" sqref="D25"/>
    </sheetView>
  </sheetViews>
  <sheetFormatPr defaultRowHeight="15" x14ac:dyDescent="0.25"/>
  <cols>
    <col min="3" max="3" width="17.85546875" customWidth="1"/>
    <col min="4" max="4" width="26.42578125" customWidth="1"/>
    <col min="5" max="6" width="28.5703125" customWidth="1"/>
    <col min="7" max="8" width="23.42578125" customWidth="1"/>
    <col min="9" max="9" width="17.7109375" customWidth="1"/>
    <col min="10" max="10" width="17.85546875" customWidth="1"/>
    <col min="11" max="11" width="19.42578125" customWidth="1"/>
    <col min="12" max="12" width="16.42578125" customWidth="1"/>
  </cols>
  <sheetData>
    <row r="1" spans="2:11" ht="15.75" thickBot="1" x14ac:dyDescent="0.3"/>
    <row r="2" spans="2:11" ht="27" thickBot="1" x14ac:dyDescent="0.45">
      <c r="E2" s="72" t="s">
        <v>103</v>
      </c>
      <c r="F2" s="73"/>
    </row>
    <row r="7" spans="2:11" s="6" customFormat="1" ht="31.5" customHeight="1" x14ac:dyDescent="0.25">
      <c r="B7" s="27" t="s">
        <v>47</v>
      </c>
      <c r="C7" s="32" t="s">
        <v>41</v>
      </c>
      <c r="D7" s="32" t="s">
        <v>42</v>
      </c>
      <c r="E7" s="32" t="s">
        <v>104</v>
      </c>
      <c r="F7" s="32" t="s">
        <v>38</v>
      </c>
      <c r="G7" s="32" t="s">
        <v>39</v>
      </c>
      <c r="H7" s="32" t="s">
        <v>61</v>
      </c>
      <c r="I7" s="32" t="s">
        <v>40</v>
      </c>
      <c r="J7" s="32" t="s">
        <v>43</v>
      </c>
      <c r="K7" s="32" t="s">
        <v>44</v>
      </c>
    </row>
    <row r="8" spans="2:11" ht="15.75" x14ac:dyDescent="0.25">
      <c r="B8" s="5" t="s">
        <v>48</v>
      </c>
      <c r="C8" s="3">
        <f>'Vehicle Data'!H36</f>
        <v>3.2959999999999998</v>
      </c>
      <c r="D8" s="4">
        <f>'Vehicle Data'!H42</f>
        <v>3.165</v>
      </c>
      <c r="E8" s="4">
        <v>50</v>
      </c>
      <c r="F8" s="4">
        <f>((30000/3.14)*(C8*D8/G23)*G24*G21)-((250000/(3.14^2))*((C8*D8/G23)^2)*G24*G22*E8)</f>
        <v>7896.0955089266017</v>
      </c>
      <c r="G8" s="14">
        <f>F8*G23</f>
        <v>134233.62365175222</v>
      </c>
      <c r="H8" s="4">
        <f>$G$19*'Vehicle Data'!$H$12+ 0.5*'Acceleration (dpk)'!$G19*'Acceleration (dpk)'!$G$21*('Acceleration (dpk)'!$G$16+'Acceleration (dpk)'!$G$17)^2</f>
        <v>3241.5081888721802</v>
      </c>
      <c r="I8" s="5">
        <f>((F8-H8)*9.81)/('Vehicle Data'!$H$12*$G$19)</f>
        <v>14.087186391390587</v>
      </c>
      <c r="J8" s="4"/>
      <c r="K8" s="4"/>
    </row>
    <row r="9" spans="2:11" ht="15.75" x14ac:dyDescent="0.25">
      <c r="B9" s="5" t="s">
        <v>49</v>
      </c>
      <c r="C9" s="3">
        <f>'Vehicle Data'!H37</f>
        <v>1.958</v>
      </c>
      <c r="D9" s="4">
        <f>'Vehicle Data'!H42</f>
        <v>3.165</v>
      </c>
      <c r="E9" s="4">
        <v>50</v>
      </c>
      <c r="F9" s="4">
        <f>((30000/3.14)*(C9*D9/G23)*G24*G21)-((250000/(3.14^2))*((C9*D9/G23)^2)*G24*G22*E9)</f>
        <v>4691.7163905189736</v>
      </c>
      <c r="G9" s="14">
        <f>F9*G24</f>
        <v>4316.3790792774562</v>
      </c>
      <c r="H9" s="4">
        <f>$G$19*'Vehicle Data'!$H$12+ 0.5*'Acceleration (dpk)'!$G20*'Acceleration (dpk)'!$G$21*('Acceleration (dpk)'!$G$16+'Acceleration (dpk)'!$G$17)^2</f>
        <v>3388.992947368421</v>
      </c>
      <c r="I9" s="5">
        <f>((F9-H9)*9.81)/('Vehicle Data'!$H$12*$G$19)</f>
        <v>3.9427142941388378</v>
      </c>
      <c r="J9" s="4"/>
      <c r="K9" s="4"/>
    </row>
    <row r="10" spans="2:11" ht="15.75" x14ac:dyDescent="0.25">
      <c r="B10" s="5" t="s">
        <v>50</v>
      </c>
      <c r="C10" s="3">
        <f>'Vehicle Data'!H38</f>
        <v>1.3480000000000001</v>
      </c>
      <c r="D10" s="4">
        <f>'Vehicle Data'!H42</f>
        <v>3.165</v>
      </c>
      <c r="E10" s="4">
        <v>50</v>
      </c>
      <c r="F10" s="4">
        <f>((30000/3.14)*(C10*D10/G23)*G24*G21)-((250000/(3.14^2))*((C10*D10/G23)^2)*G24*G22*E10)</f>
        <v>3230.3661240243682</v>
      </c>
      <c r="G10" s="14">
        <f>F10*G23</f>
        <v>54916.224108414259</v>
      </c>
      <c r="H10" s="4">
        <f>$G$19*'Vehicle Data'!$H$12+ 0.5*'Acceleration (dpk)'!$G21*'Acceleration (dpk)'!$G$21*('Acceleration (dpk)'!$G$16+'Acceleration (dpk)'!$G$17)^2</f>
        <v>3242.8946740297361</v>
      </c>
      <c r="I10" s="5">
        <f>((F10-H10)*9.81)/('Vehicle Data'!$H$12*$G$19)</f>
        <v>-3.7917866183120749E-2</v>
      </c>
      <c r="J10" s="4"/>
      <c r="K10" s="4"/>
    </row>
    <row r="11" spans="2:11" ht="15.75" x14ac:dyDescent="0.25">
      <c r="B11" s="5" t="s">
        <v>51</v>
      </c>
      <c r="C11" s="3">
        <f>'Vehicle Data'!H39</f>
        <v>1</v>
      </c>
      <c r="D11" s="4">
        <f>'Vehicle Data'!H42</f>
        <v>3.165</v>
      </c>
      <c r="E11" s="4">
        <v>50</v>
      </c>
      <c r="F11" s="4">
        <f>((30000/3.14)*(C11*D11/G23)*G24*G21)-((250000/(3.14^2))*((C11*D11/G23)^2)*G24*G22*E11)</f>
        <v>2396.5487355683731</v>
      </c>
      <c r="G11" s="14">
        <f>F11*G23</f>
        <v>40741.328504662342</v>
      </c>
      <c r="H11" s="4">
        <f>$G$19*'Vehicle Data'!$H$12+ 0.5*'Acceleration (dpk)'!$G22*'Acceleration (dpk)'!$G$21*('Acceleration (dpk)'!$G$16+'Acceleration (dpk)'!$G$17)^2</f>
        <v>3241.3500100965998</v>
      </c>
      <c r="I11" s="5">
        <f>((F11-H11)*9.81)/('Vehicle Data'!$H$12*$G$19)</f>
        <v>-2.5568051901590092</v>
      </c>
      <c r="J11" s="4"/>
      <c r="K11" s="4"/>
    </row>
    <row r="12" spans="2:11" ht="15.75" x14ac:dyDescent="0.25">
      <c r="B12" s="5" t="s">
        <v>52</v>
      </c>
      <c r="C12" s="3">
        <f>'Vehicle Data'!H40</f>
        <v>0.72499999999999998</v>
      </c>
      <c r="D12" s="4">
        <f>D11</f>
        <v>3.165</v>
      </c>
      <c r="E12" s="4">
        <v>50</v>
      </c>
      <c r="F12" s="4">
        <f>((30000/3.14)*(C12*D12/G23)*G24*G21)-((250000/(3.14^2))*((C12*D12/G23)^2)*G24*G22*E12)</f>
        <v>1737.5750034287844</v>
      </c>
      <c r="G12" s="14">
        <f>F12*G23</f>
        <v>29538.775058289335</v>
      </c>
      <c r="H12" s="4">
        <f>$G$19*'Vehicle Data'!$H$12+ 0.5*'Acceleration (dpk)'!$G23*'Acceleration (dpk)'!$G$21*('Acceleration (dpk)'!$G$16+'Acceleration (dpk)'!$G$17)^2</f>
        <v>3259.2780721804511</v>
      </c>
      <c r="I12" s="5">
        <f>((F12-H12)*9.81)/('Vehicle Data'!$H$12*$G$19)</f>
        <v>-4.6054597943615629</v>
      </c>
      <c r="J12" s="4"/>
      <c r="K12" s="4"/>
    </row>
    <row r="13" spans="2:11" ht="15.75" x14ac:dyDescent="0.25">
      <c r="B13" s="5" t="s">
        <v>53</v>
      </c>
      <c r="C13" s="3">
        <f>'Vehicle Data'!H41</f>
        <v>0.58199999999999996</v>
      </c>
      <c r="D13" s="4">
        <f>D12</f>
        <v>3.165</v>
      </c>
      <c r="E13" s="4">
        <v>50</v>
      </c>
      <c r="F13" s="4">
        <f>((30000/3.14)*(C13*D13/G23)*G24*G21)-((250000/(3.14^2))*((C13*D13/G23)^2)*G24*G22*E13)</f>
        <v>1394.8855265755049</v>
      </c>
      <c r="G13" s="4">
        <f>F13*G23</f>
        <v>23713.053951783582</v>
      </c>
      <c r="H13" s="4">
        <f>$G$19*'Vehicle Data'!$H$12+ 0.5*'Acceleration (dpk)'!$G24*'Acceleration (dpk)'!$G$21*('Acceleration (dpk)'!$G$16+'Acceleration (dpk)'!$G$17)^2</f>
        <v>3242.3202250827067</v>
      </c>
      <c r="I13" s="5">
        <f>((F13-H13)*9.81)/('Vehicle Data'!$H$12*$G$19)</f>
        <v>-5.5912920210269332</v>
      </c>
      <c r="J13" s="4"/>
      <c r="K13" s="4"/>
    </row>
    <row r="14" spans="2:11" ht="15.75" x14ac:dyDescent="0.25">
      <c r="B14" s="12"/>
      <c r="C14" s="13"/>
      <c r="D14" s="11"/>
      <c r="E14" s="11"/>
      <c r="F14" s="11"/>
      <c r="G14" s="11"/>
      <c r="H14" s="11"/>
      <c r="I14" s="11"/>
      <c r="J14" s="11"/>
      <c r="K14" s="11"/>
    </row>
    <row r="15" spans="2:11" ht="15.75" x14ac:dyDescent="0.25">
      <c r="B15" s="12"/>
      <c r="C15" s="13"/>
      <c r="D15" s="15" t="s">
        <v>69</v>
      </c>
      <c r="E15" s="11"/>
      <c r="F15" s="11"/>
      <c r="G15" s="16">
        <v>40</v>
      </c>
      <c r="H15" s="11"/>
      <c r="I15" s="11"/>
      <c r="J15" s="11"/>
      <c r="K15" s="11"/>
    </row>
    <row r="16" spans="2:11" x14ac:dyDescent="0.25">
      <c r="D16" t="s">
        <v>66</v>
      </c>
      <c r="G16">
        <v>0</v>
      </c>
    </row>
    <row r="17" spans="4:7" x14ac:dyDescent="0.25">
      <c r="D17" t="s">
        <v>65</v>
      </c>
      <c r="G17">
        <v>1.2</v>
      </c>
    </row>
    <row r="18" spans="4:7" x14ac:dyDescent="0.25">
      <c r="D18" t="s">
        <v>64</v>
      </c>
      <c r="G18">
        <v>1</v>
      </c>
    </row>
    <row r="19" spans="4:7" x14ac:dyDescent="0.25">
      <c r="D19" t="s">
        <v>63</v>
      </c>
      <c r="G19">
        <v>0.15</v>
      </c>
    </row>
    <row r="20" spans="4:7" x14ac:dyDescent="0.25">
      <c r="D20" t="s">
        <v>62</v>
      </c>
      <c r="G20">
        <v>140</v>
      </c>
    </row>
    <row r="21" spans="4:7" x14ac:dyDescent="0.25">
      <c r="D21" t="s">
        <v>45</v>
      </c>
      <c r="G21">
        <f>('Vehicle Data'!H32-'Vehicle Data'!H29*('Vehicle Data'!H33/'Vehicle Data'!H30)^2)/('Vehicle Data'!H29*(1-('Vehicle Data'!H33/'Vehicle Data'!H30)))</f>
        <v>1.4647117794486215</v>
      </c>
    </row>
    <row r="22" spans="4:7" x14ac:dyDescent="0.25">
      <c r="D22" t="s">
        <v>46</v>
      </c>
      <c r="G22">
        <f>(('Vehicle Data'!H32/'Vehicle Data'!H33)-('Vehicle Data'!H29/'Vehicle Data'!H30))/('Vehicle Data'!H30-'Vehicle Data'!H33)</f>
        <v>9.5739348370927306E-6</v>
      </c>
    </row>
    <row r="23" spans="4:7" x14ac:dyDescent="0.25">
      <c r="D23" t="s">
        <v>59</v>
      </c>
      <c r="G23">
        <v>17</v>
      </c>
    </row>
    <row r="24" spans="4:7" x14ac:dyDescent="0.25">
      <c r="D24" t="s">
        <v>60</v>
      </c>
      <c r="G24">
        <v>0.92</v>
      </c>
    </row>
  </sheetData>
  <mergeCells count="1">
    <mergeCell ref="E2:F2"/>
  </mergeCells>
  <pageMargins left="0.7" right="0.7" top="0.75" bottom="0.75" header="0.3" footer="0.3"/>
  <pageSetup orientation="portrait" r:id="rId1"/>
  <ignoredErrors>
    <ignoredError sqref="F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Vehicle Data</vt:lpstr>
      <vt:lpstr>Acceleration Dynamics</vt:lpstr>
      <vt:lpstr>Braking Dynamics</vt:lpstr>
      <vt:lpstr>Low Speed Steering</vt:lpstr>
      <vt:lpstr>High Speed Steering</vt:lpstr>
      <vt:lpstr>Acceleration (dpk)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DEEPAK</cp:lastModifiedBy>
  <dcterms:created xsi:type="dcterms:W3CDTF">2016-01-19T08:32:10Z</dcterms:created>
  <dcterms:modified xsi:type="dcterms:W3CDTF">2016-01-23T09:05:22Z</dcterms:modified>
</cp:coreProperties>
</file>