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" yWindow="91" windowWidth="17565" windowHeight="7018" activeTab="1"/>
  </bookViews>
  <sheets>
    <sheet name="Vehicle Data" sheetId="1" r:id="rId1"/>
    <sheet name="Acceleration" sheetId="2" r:id="rId2"/>
    <sheet name="Braking" sheetId="3" r:id="rId3"/>
    <sheet name="Low Speed Steering" sheetId="4" r:id="rId4"/>
    <sheet name="High Speed Steering" sheetId="5" r:id="rId5"/>
  </sheets>
  <calcPr calcId="125725"/>
</workbook>
</file>

<file path=xl/calcChain.xml><?xml version="1.0" encoding="utf-8"?>
<calcChain xmlns="http://schemas.openxmlformats.org/spreadsheetml/2006/main">
  <c r="E9" i="2"/>
  <c r="L9" s="1"/>
  <c r="E10"/>
  <c r="L10" s="1"/>
  <c r="E11"/>
  <c r="L11" s="1"/>
  <c r="E12"/>
  <c r="E13"/>
  <c r="L13" s="1"/>
  <c r="E8"/>
  <c r="L8"/>
  <c r="L12"/>
  <c r="J9"/>
  <c r="J10"/>
  <c r="J11"/>
  <c r="J12"/>
  <c r="J13"/>
  <c r="J8"/>
  <c r="L4" i="5" l="1"/>
  <c r="J12" i="4"/>
  <c r="J6"/>
  <c r="H5" i="1"/>
  <c r="C13" i="2"/>
  <c r="C12"/>
  <c r="J10" i="4" l="1"/>
  <c r="J9"/>
  <c r="J8"/>
  <c r="D11" i="2"/>
  <c r="D12" s="1"/>
  <c r="D10"/>
  <c r="D9"/>
  <c r="C11"/>
  <c r="C10"/>
  <c r="C9"/>
  <c r="D8"/>
  <c r="C8"/>
  <c r="G21"/>
  <c r="G22"/>
  <c r="F12" l="1"/>
  <c r="H8"/>
  <c r="H12"/>
  <c r="H9"/>
  <c r="H13"/>
  <c r="H10"/>
  <c r="H11"/>
  <c r="F11"/>
  <c r="F9"/>
  <c r="F10"/>
  <c r="I10" s="1"/>
  <c r="D13"/>
  <c r="F13" s="1"/>
  <c r="F8"/>
  <c r="M10" l="1"/>
  <c r="I12"/>
  <c r="K10"/>
  <c r="G9"/>
  <c r="I9"/>
  <c r="G12"/>
  <c r="G11"/>
  <c r="I11"/>
  <c r="G8"/>
  <c r="I8"/>
  <c r="G13"/>
  <c r="I13"/>
  <c r="G10"/>
  <c r="N10" l="1"/>
  <c r="K8"/>
  <c r="M8" s="1"/>
  <c r="K12"/>
  <c r="M12" s="1"/>
  <c r="K11"/>
  <c r="K13"/>
  <c r="K9"/>
  <c r="M9" s="1"/>
  <c r="N11" l="1"/>
  <c r="M11"/>
  <c r="N9"/>
  <c r="N12"/>
  <c r="M13"/>
  <c r="N13" s="1"/>
  <c r="N8"/>
</calcChain>
</file>

<file path=xl/sharedStrings.xml><?xml version="1.0" encoding="utf-8"?>
<sst xmlns="http://schemas.openxmlformats.org/spreadsheetml/2006/main" count="109" uniqueCount="98">
  <si>
    <t xml:space="preserve">Attributes </t>
  </si>
  <si>
    <t xml:space="preserve">Mahindra XUV 500 W8 AWD </t>
  </si>
  <si>
    <t xml:space="preserve">Sports Utility Vehicle – 7 Seater  </t>
  </si>
  <si>
    <t xml:space="preserve">1017.45 kg </t>
  </si>
  <si>
    <t xml:space="preserve">Front Engine -AWD </t>
  </si>
  <si>
    <t xml:space="preserve">Steel </t>
  </si>
  <si>
    <t xml:space="preserve">Disc Brake with ABS </t>
  </si>
  <si>
    <t>Disc &amp; Calliper Type</t>
  </si>
  <si>
    <t>Power Assisted (Hydraulic) Rack and Pinion</t>
  </si>
  <si>
    <t xml:space="preserve">MacPherson type with anti-roll bar  </t>
  </si>
  <si>
    <t xml:space="preserve">Multi-link type with anti-roll bar  </t>
  </si>
  <si>
    <t xml:space="preserve">140 bhp@ 3750 RPM </t>
  </si>
  <si>
    <t xml:space="preserve">330 Nm @ 2800 RPM  </t>
  </si>
  <si>
    <t xml:space="preserve"> 6 Gear Manual </t>
  </si>
  <si>
    <t xml:space="preserve">10 sec </t>
  </si>
  <si>
    <t xml:space="preserve">185 kmph </t>
  </si>
  <si>
    <r>
      <t>Vehicle Configuration</t>
    </r>
    <r>
      <rPr>
        <b/>
        <sz val="11"/>
        <color rgb="FF000000"/>
        <rFont val="Calibri"/>
        <family val="2"/>
        <scheme val="minor"/>
      </rPr>
      <t xml:space="preserve"> </t>
    </r>
  </si>
  <si>
    <r>
      <t>Curb Weight</t>
    </r>
    <r>
      <rPr>
        <b/>
        <sz val="11"/>
        <color rgb="FF000000"/>
        <rFont val="Calibri"/>
        <family val="2"/>
        <scheme val="minor"/>
      </rPr>
      <t xml:space="preserve"> </t>
    </r>
  </si>
  <si>
    <r>
      <t>Distribution</t>
    </r>
    <r>
      <rPr>
        <b/>
        <sz val="11"/>
        <color rgb="FF000000"/>
        <rFont val="Calibri"/>
        <family val="2"/>
        <scheme val="minor"/>
      </rPr>
      <t xml:space="preserve"> </t>
    </r>
  </si>
  <si>
    <r>
      <t>Front</t>
    </r>
    <r>
      <rPr>
        <b/>
        <sz val="11"/>
        <color rgb="FF000000"/>
        <rFont val="Calibri"/>
        <family val="2"/>
        <scheme val="minor"/>
      </rPr>
      <t xml:space="preserve"> </t>
    </r>
  </si>
  <si>
    <r>
      <t>Rear</t>
    </r>
    <r>
      <rPr>
        <b/>
        <sz val="11"/>
        <color rgb="FF000000"/>
        <rFont val="Calibri"/>
        <family val="2"/>
        <scheme val="minor"/>
      </rPr>
      <t xml:space="preserve"> </t>
    </r>
  </si>
  <si>
    <r>
      <t>767.55 kg            (57:43)</t>
    </r>
    <r>
      <rPr>
        <b/>
        <sz val="11"/>
        <color rgb="FF000000"/>
        <rFont val="Calibri"/>
        <family val="2"/>
        <scheme val="minor"/>
      </rPr>
      <t xml:space="preserve"> </t>
    </r>
  </si>
  <si>
    <r>
      <t>Wheelbase</t>
    </r>
    <r>
      <rPr>
        <b/>
        <sz val="11"/>
        <color rgb="FF000000"/>
        <rFont val="Calibri"/>
        <family val="2"/>
        <scheme val="minor"/>
      </rPr>
      <t xml:space="preserve"> </t>
    </r>
  </si>
  <si>
    <r>
      <t>Layout</t>
    </r>
    <r>
      <rPr>
        <b/>
        <sz val="11"/>
        <color rgb="FF000000"/>
        <rFont val="Calibri"/>
        <family val="2"/>
        <scheme val="minor"/>
      </rPr>
      <t xml:space="preserve"> </t>
    </r>
  </si>
  <si>
    <r>
      <t>Body/Frame</t>
    </r>
    <r>
      <rPr>
        <b/>
        <sz val="11"/>
        <color rgb="FF000000"/>
        <rFont val="Calibri"/>
        <family val="2"/>
        <scheme val="minor"/>
      </rPr>
      <t xml:space="preserve"> </t>
    </r>
  </si>
  <si>
    <r>
      <t>Wheels (Diameters)</t>
    </r>
    <r>
      <rPr>
        <b/>
        <sz val="11"/>
        <color rgb="FF000000"/>
        <rFont val="Calibri"/>
        <family val="2"/>
        <scheme val="minor"/>
      </rPr>
      <t xml:space="preserve"> </t>
    </r>
  </si>
  <si>
    <r>
      <t>Brakes</t>
    </r>
    <r>
      <rPr>
        <b/>
        <sz val="11"/>
        <color rgb="FF000000"/>
        <rFont val="Calibri"/>
        <family val="2"/>
        <scheme val="minor"/>
      </rPr>
      <t xml:space="preserve"> </t>
    </r>
  </si>
  <si>
    <r>
      <t>Steering</t>
    </r>
    <r>
      <rPr>
        <b/>
        <sz val="11"/>
        <color rgb="FF000000"/>
        <rFont val="Calibri"/>
        <family val="2"/>
        <scheme val="minor"/>
      </rPr>
      <t xml:space="preserve"> </t>
    </r>
  </si>
  <si>
    <r>
      <t>Suspension</t>
    </r>
    <r>
      <rPr>
        <b/>
        <sz val="11"/>
        <color rgb="FF000000"/>
        <rFont val="Calibri"/>
        <family val="2"/>
        <scheme val="minor"/>
      </rPr>
      <t xml:space="preserve"> </t>
    </r>
  </si>
  <si>
    <r>
      <t>Maximum Installed Power</t>
    </r>
    <r>
      <rPr>
        <b/>
        <sz val="11"/>
        <color rgb="FF000000"/>
        <rFont val="Calibri"/>
        <family val="2"/>
        <scheme val="minor"/>
      </rPr>
      <t xml:space="preserve"> </t>
    </r>
  </si>
  <si>
    <r>
      <t>Maximum Installed Torque</t>
    </r>
    <r>
      <rPr>
        <b/>
        <sz val="11"/>
        <color rgb="FF000000"/>
        <rFont val="Calibri"/>
        <family val="2"/>
        <scheme val="minor"/>
      </rPr>
      <t xml:space="preserve"> </t>
    </r>
  </si>
  <si>
    <r>
      <t>Redline</t>
    </r>
    <r>
      <rPr>
        <b/>
        <sz val="11"/>
        <color rgb="FF000000"/>
        <rFont val="Calibri"/>
        <family val="2"/>
        <scheme val="minor"/>
      </rPr>
      <t xml:space="preserve"> </t>
    </r>
  </si>
  <si>
    <r>
      <t>Transmission</t>
    </r>
    <r>
      <rPr>
        <b/>
        <sz val="11"/>
        <color rgb="FF000000"/>
        <rFont val="Calibri"/>
        <family val="2"/>
        <scheme val="minor"/>
      </rPr>
      <t xml:space="preserve"> </t>
    </r>
  </si>
  <si>
    <r>
      <t>First Gear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</si>
  <si>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Second Gear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</si>
  <si>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Third Gear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</si>
  <si>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Fourth Gear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</si>
  <si>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Fifth Gear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</si>
  <si>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Sixth Gear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</si>
  <si>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Final Drive Ratio</t>
    </r>
    <r>
      <rPr>
        <b/>
        <sz val="11"/>
        <color rgb="FF000000"/>
        <rFont val="Calibri"/>
        <family val="2"/>
        <scheme val="minor"/>
      </rPr>
      <t xml:space="preserve"> </t>
    </r>
  </si>
  <si>
    <r>
      <t>0 to 100 kmph</t>
    </r>
    <r>
      <rPr>
        <b/>
        <sz val="11"/>
        <color rgb="FF000000"/>
        <rFont val="Calibri"/>
        <family val="2"/>
        <scheme val="minor"/>
      </rPr>
      <t xml:space="preserve"> </t>
    </r>
  </si>
  <si>
    <r>
      <t>Top Speed</t>
    </r>
    <r>
      <rPr>
        <b/>
        <sz val="11"/>
        <color rgb="FF000000"/>
        <rFont val="Calibri"/>
        <family val="2"/>
        <scheme val="minor"/>
      </rPr>
      <t xml:space="preserve"> </t>
    </r>
  </si>
  <si>
    <t>Tractive Force</t>
  </si>
  <si>
    <t>Tractive Moment</t>
  </si>
  <si>
    <t>Acceleration</t>
  </si>
  <si>
    <t>Gear Ratio</t>
  </si>
  <si>
    <t>Speed km/h</t>
  </si>
  <si>
    <t>Differential Ratio</t>
  </si>
  <si>
    <t>Time</t>
  </si>
  <si>
    <t>Distance</t>
  </si>
  <si>
    <t>Engine output Coefficeint Based on Experimental Data (BM)</t>
  </si>
  <si>
    <t>Engine output Coefficeint Based on Experimental Data (AM)</t>
  </si>
  <si>
    <t>Gear</t>
  </si>
  <si>
    <t>First</t>
  </si>
  <si>
    <t>Second</t>
  </si>
  <si>
    <t>Third</t>
  </si>
  <si>
    <t>Fourth</t>
  </si>
  <si>
    <t>Fifth</t>
  </si>
  <si>
    <t>Sixth</t>
  </si>
  <si>
    <t>Engine output Power based on Engine Power@Engine Speed Rating (bhp)</t>
  </si>
  <si>
    <t>Engine output Speed based on Engine Power@Engine Speed Rating (RPM)</t>
  </si>
  <si>
    <t>Engine output Speed based on Engine Torque@Engine Speed Rating (RPM)</t>
  </si>
  <si>
    <t>Engine output Power based on Engine Torque@Engine Speed Rating (bhp)</t>
  </si>
  <si>
    <t>Dynamic Tyre Rolling Radius</t>
  </si>
  <si>
    <t>Drive Train Efficiency</t>
  </si>
  <si>
    <t>Road Load</t>
  </si>
  <si>
    <t>Frontal Area</t>
  </si>
  <si>
    <t>Rolling Resistance Coefficient</t>
  </si>
  <si>
    <t>Ambient Air Density</t>
  </si>
  <si>
    <t>Vehicle Drag Coefficient</t>
  </si>
  <si>
    <t>Head Wind Speed</t>
  </si>
  <si>
    <t>Gross Weight</t>
  </si>
  <si>
    <t>Vehice Speed</t>
  </si>
  <si>
    <t>Percent Ackermann</t>
  </si>
  <si>
    <t>Turning Circle</t>
  </si>
  <si>
    <t>Curb to Curb Turning Circle</t>
  </si>
  <si>
    <t>Outside Front Wheel Steering Angle</t>
  </si>
  <si>
    <t>Inside Front Wheel Steering Angle</t>
  </si>
  <si>
    <t>degrees</t>
  </si>
  <si>
    <t>Scrub Radius</t>
  </si>
  <si>
    <t>Trackwidth</t>
  </si>
  <si>
    <t>m</t>
  </si>
  <si>
    <t>%</t>
  </si>
  <si>
    <t>Actual Outside Front Wheel Steering Angle</t>
  </si>
  <si>
    <t>Steering Deviation</t>
  </si>
  <si>
    <t>mm</t>
  </si>
  <si>
    <t>Tire Maximum Running Width</t>
  </si>
  <si>
    <t>Inside Vehicle Normal Force</t>
  </si>
  <si>
    <t>Outside Vehicle Normal Force</t>
  </si>
  <si>
    <t>Weight Transfer due to cornering Inertia force</t>
  </si>
  <si>
    <t>Cornering Acceleration in g's</t>
  </si>
  <si>
    <t xml:space="preserve">Vehicle's Height of Center of Gravity </t>
  </si>
  <si>
    <t>Rotational Inertia Coefficient</t>
  </si>
  <si>
    <t>Vehicle Drive off Parameter (a)</t>
  </si>
  <si>
    <t>Vehicle Drive off Parameter (b)</t>
  </si>
  <si>
    <t>Vehicle Drive off Parameter (c)</t>
  </si>
  <si>
    <t>Initial Velocity</t>
  </si>
  <si>
    <t>Final Velocity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</si>
</sst>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0" fillId="0" borderId="0" xfId="0" applyFont="1" applyBorder="1"/>
    <xf numFmtId="0" fontId="1" fillId="0" borderId="2" xfId="0" applyFont="1" applyBorder="1" applyAlignment="1">
      <alignment vertical="top" wrapText="1" readingOrder="1"/>
    </xf>
    <xf numFmtId="0" fontId="5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/>
    <xf numFmtId="0" fontId="3" fillId="0" borderId="0" xfId="0" applyFont="1" applyAlignment="1">
      <alignment wrapText="1"/>
    </xf>
    <xf numFmtId="0" fontId="5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horizontal="justify" vertical="center" wrapText="1"/>
    </xf>
    <xf numFmtId="0" fontId="0" fillId="0" borderId="0" xfId="0" applyBorder="1"/>
    <xf numFmtId="0" fontId="5" fillId="0" borderId="0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6" fillId="0" borderId="0" xfId="0" applyFont="1" applyBorder="1" applyAlignment="1">
      <alignment horizontal="justify" vertical="top"/>
    </xf>
    <xf numFmtId="0" fontId="6" fillId="0" borderId="0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left" vertical="center" wrapText="1" readingOrder="1"/>
    </xf>
    <xf numFmtId="0" fontId="1" fillId="0" borderId="4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left" vertical="top" wrapText="1" readingOrder="1"/>
    </xf>
    <xf numFmtId="0" fontId="1" fillId="0" borderId="3" xfId="0" applyFont="1" applyBorder="1" applyAlignment="1">
      <alignment horizontal="left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36"/>
  <sheetViews>
    <sheetView workbookViewId="0">
      <selection activeCell="H7" sqref="H7"/>
    </sheetView>
  </sheetViews>
  <sheetFormatPr defaultRowHeight="14.95"/>
  <cols>
    <col min="1" max="1" width="8.88671875" style="5"/>
    <col min="2" max="2" width="6.6640625" style="5" customWidth="1"/>
    <col min="3" max="3" width="8.88671875" style="5" hidden="1" customWidth="1"/>
    <col min="4" max="4" width="17.88671875" style="5" customWidth="1"/>
    <col min="5" max="5" width="17.88671875" customWidth="1"/>
    <col min="6" max="6" width="7.33203125" customWidth="1"/>
    <col min="7" max="7" width="45.33203125" customWidth="1"/>
    <col min="8" max="8" width="38.6640625" customWidth="1"/>
  </cols>
  <sheetData>
    <row r="3" spans="5:8">
      <c r="E3" s="28" t="s">
        <v>0</v>
      </c>
      <c r="F3" s="28"/>
      <c r="G3" s="28"/>
      <c r="H3" s="1" t="s">
        <v>1</v>
      </c>
    </row>
    <row r="4" spans="5:8">
      <c r="E4" s="27" t="s">
        <v>16</v>
      </c>
      <c r="F4" s="27"/>
      <c r="G4" s="27"/>
      <c r="H4" s="2" t="s">
        <v>2</v>
      </c>
    </row>
    <row r="5" spans="5:8">
      <c r="E5" s="24" t="s">
        <v>71</v>
      </c>
      <c r="F5" s="25"/>
      <c r="G5" s="26"/>
      <c r="H5" s="15">
        <f>2500*9.81</f>
        <v>24525</v>
      </c>
    </row>
    <row r="6" spans="5:8">
      <c r="E6" s="27" t="s">
        <v>17</v>
      </c>
      <c r="F6" s="27"/>
      <c r="G6" s="27"/>
      <c r="H6" s="2">
        <v>17850</v>
      </c>
    </row>
    <row r="7" spans="5:8">
      <c r="E7" s="37" t="s">
        <v>18</v>
      </c>
      <c r="F7" s="35" t="s">
        <v>19</v>
      </c>
      <c r="G7" s="36"/>
      <c r="H7" s="2" t="s">
        <v>3</v>
      </c>
    </row>
    <row r="8" spans="5:8">
      <c r="E8" s="38"/>
      <c r="F8" s="35" t="s">
        <v>20</v>
      </c>
      <c r="G8" s="36"/>
      <c r="H8" s="2" t="s">
        <v>21</v>
      </c>
    </row>
    <row r="9" spans="5:8">
      <c r="E9" s="24" t="s">
        <v>22</v>
      </c>
      <c r="F9" s="25"/>
      <c r="G9" s="26"/>
      <c r="H9" s="2">
        <v>2700</v>
      </c>
    </row>
    <row r="10" spans="5:8">
      <c r="E10" s="13" t="s">
        <v>80</v>
      </c>
      <c r="F10" s="16"/>
      <c r="G10" s="14"/>
      <c r="H10" s="15">
        <v>2000</v>
      </c>
    </row>
    <row r="11" spans="5:8" ht="21.1" customHeight="1">
      <c r="E11" s="24" t="s">
        <v>23</v>
      </c>
      <c r="F11" s="25"/>
      <c r="G11" s="26"/>
      <c r="H11" s="2" t="s">
        <v>4</v>
      </c>
    </row>
    <row r="12" spans="5:8">
      <c r="E12" s="24" t="s">
        <v>24</v>
      </c>
      <c r="F12" s="25"/>
      <c r="G12" s="26"/>
      <c r="H12" s="2" t="s">
        <v>5</v>
      </c>
    </row>
    <row r="13" spans="5:8">
      <c r="E13" s="27" t="s">
        <v>25</v>
      </c>
      <c r="F13" s="24" t="s">
        <v>19</v>
      </c>
      <c r="G13" s="26"/>
      <c r="H13" s="2">
        <v>17</v>
      </c>
    </row>
    <row r="14" spans="5:8">
      <c r="E14" s="27"/>
      <c r="F14" s="24" t="s">
        <v>20</v>
      </c>
      <c r="G14" s="26"/>
      <c r="H14" s="2">
        <v>17</v>
      </c>
    </row>
    <row r="15" spans="5:8">
      <c r="E15" s="27" t="s">
        <v>26</v>
      </c>
      <c r="F15" s="24" t="s">
        <v>19</v>
      </c>
      <c r="G15" s="26"/>
      <c r="H15" s="2" t="s">
        <v>6</v>
      </c>
    </row>
    <row r="16" spans="5:8">
      <c r="E16" s="27"/>
      <c r="F16" s="24" t="s">
        <v>20</v>
      </c>
      <c r="G16" s="26"/>
      <c r="H16" s="2" t="s">
        <v>7</v>
      </c>
    </row>
    <row r="17" spans="5:10" ht="20.3" customHeight="1">
      <c r="E17" s="6" t="s">
        <v>27</v>
      </c>
      <c r="F17" s="32"/>
      <c r="G17" s="33"/>
      <c r="H17" s="3" t="s">
        <v>8</v>
      </c>
    </row>
    <row r="18" spans="5:10" ht="19.5" customHeight="1">
      <c r="E18" s="39" t="s">
        <v>28</v>
      </c>
      <c r="F18" s="34" t="s">
        <v>19</v>
      </c>
      <c r="G18" s="33"/>
      <c r="H18" s="3" t="s">
        <v>9</v>
      </c>
    </row>
    <row r="19" spans="5:10" ht="16.55" customHeight="1">
      <c r="E19" s="39"/>
      <c r="F19" s="34" t="s">
        <v>20</v>
      </c>
      <c r="G19" s="33"/>
      <c r="H19" s="3" t="s">
        <v>10</v>
      </c>
    </row>
    <row r="20" spans="5:10" ht="17.2" customHeight="1">
      <c r="E20" s="29" t="s">
        <v>29</v>
      </c>
      <c r="F20" s="30"/>
      <c r="G20" s="31"/>
      <c r="H20" s="3" t="s">
        <v>11</v>
      </c>
    </row>
    <row r="21" spans="5:10" ht="17.2" customHeight="1">
      <c r="E21" s="29" t="s">
        <v>59</v>
      </c>
      <c r="F21" s="30"/>
      <c r="G21" s="31"/>
      <c r="H21" s="3">
        <v>140</v>
      </c>
    </row>
    <row r="22" spans="5:10" ht="17.2" customHeight="1">
      <c r="E22" s="29" t="s">
        <v>60</v>
      </c>
      <c r="F22" s="30"/>
      <c r="G22" s="31"/>
      <c r="H22" s="3">
        <v>3750</v>
      </c>
    </row>
    <row r="23" spans="5:10" ht="18.850000000000001" customHeight="1">
      <c r="E23" s="29" t="s">
        <v>30</v>
      </c>
      <c r="F23" s="30"/>
      <c r="G23" s="31"/>
      <c r="H23" s="3" t="s">
        <v>12</v>
      </c>
    </row>
    <row r="24" spans="5:10" ht="18.850000000000001" customHeight="1">
      <c r="E24" s="29" t="s">
        <v>62</v>
      </c>
      <c r="F24" s="30"/>
      <c r="G24" s="31"/>
      <c r="H24" s="3">
        <v>330</v>
      </c>
    </row>
    <row r="25" spans="5:10" ht="18.850000000000001" customHeight="1">
      <c r="E25" s="29" t="s">
        <v>61</v>
      </c>
      <c r="F25" s="30"/>
      <c r="G25" s="31"/>
      <c r="H25" s="3">
        <v>2800</v>
      </c>
    </row>
    <row r="26" spans="5:10" ht="16.55" customHeight="1">
      <c r="E26" s="29" t="s">
        <v>31</v>
      </c>
      <c r="F26" s="30"/>
      <c r="G26" s="31"/>
      <c r="H26" s="4"/>
    </row>
    <row r="27" spans="5:10" ht="18.850000000000001" customHeight="1">
      <c r="E27" s="29" t="s">
        <v>32</v>
      </c>
      <c r="F27" s="30"/>
      <c r="G27" s="31"/>
      <c r="H27" s="3" t="s">
        <v>13</v>
      </c>
    </row>
    <row r="28" spans="5:10" ht="24" customHeight="1">
      <c r="E28" s="29" t="s">
        <v>33</v>
      </c>
      <c r="F28" s="30"/>
      <c r="G28" s="31"/>
      <c r="H28" s="3">
        <v>3.2959999999999998</v>
      </c>
    </row>
    <row r="29" spans="5:10" ht="22.55" customHeight="1">
      <c r="E29" s="29" t="s">
        <v>34</v>
      </c>
      <c r="F29" s="30"/>
      <c r="G29" s="31"/>
      <c r="H29" s="3">
        <v>1.958</v>
      </c>
    </row>
    <row r="30" spans="5:10" ht="15.1" customHeight="1">
      <c r="E30" s="29" t="s">
        <v>35</v>
      </c>
      <c r="F30" s="30"/>
      <c r="G30" s="31"/>
      <c r="H30" s="3">
        <v>1.3480000000000001</v>
      </c>
    </row>
    <row r="31" spans="5:10" ht="18" customHeight="1">
      <c r="E31" s="29" t="s">
        <v>36</v>
      </c>
      <c r="F31" s="30"/>
      <c r="G31" s="31"/>
      <c r="H31" s="3">
        <v>1</v>
      </c>
      <c r="J31">
        <v>5</v>
      </c>
    </row>
    <row r="32" spans="5:10" ht="18" customHeight="1">
      <c r="E32" s="29" t="s">
        <v>37</v>
      </c>
      <c r="F32" s="30"/>
      <c r="G32" s="31"/>
      <c r="H32" s="3">
        <v>0.72499999999999998</v>
      </c>
    </row>
    <row r="33" spans="5:8" ht="16.55" customHeight="1">
      <c r="E33" s="29" t="s">
        <v>38</v>
      </c>
      <c r="F33" s="30"/>
      <c r="G33" s="31"/>
      <c r="H33" s="3">
        <v>0.58199999999999996</v>
      </c>
    </row>
    <row r="34" spans="5:8" ht="14.3" customHeight="1">
      <c r="E34" s="29" t="s">
        <v>39</v>
      </c>
      <c r="F34" s="30"/>
      <c r="G34" s="31"/>
      <c r="H34" s="3">
        <v>3.165</v>
      </c>
    </row>
    <row r="35" spans="5:8">
      <c r="E35" s="29" t="s">
        <v>40</v>
      </c>
      <c r="F35" s="30"/>
      <c r="G35" s="31"/>
      <c r="H35" s="3" t="s">
        <v>14</v>
      </c>
    </row>
    <row r="36" spans="5:8">
      <c r="E36" s="29" t="s">
        <v>41</v>
      </c>
      <c r="F36" s="30"/>
      <c r="G36" s="31"/>
      <c r="H36" s="3" t="s">
        <v>15</v>
      </c>
    </row>
  </sheetData>
  <mergeCells count="37">
    <mergeCell ref="E36:G36"/>
    <mergeCell ref="E21:G21"/>
    <mergeCell ref="E22:G22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:G3"/>
    <mergeCell ref="E4:G4"/>
    <mergeCell ref="E6:G6"/>
    <mergeCell ref="E20:G20"/>
    <mergeCell ref="E23:G23"/>
    <mergeCell ref="F17:G17"/>
    <mergeCell ref="F18:G18"/>
    <mergeCell ref="F19:G19"/>
    <mergeCell ref="E9:G9"/>
    <mergeCell ref="F7:G7"/>
    <mergeCell ref="F8:G8"/>
    <mergeCell ref="E7:E8"/>
    <mergeCell ref="E18:E19"/>
    <mergeCell ref="E11:G11"/>
    <mergeCell ref="E12:G12"/>
    <mergeCell ref="E13:E14"/>
    <mergeCell ref="E5:G5"/>
    <mergeCell ref="F13:G13"/>
    <mergeCell ref="F14:G14"/>
    <mergeCell ref="E15:E16"/>
    <mergeCell ref="F15:G15"/>
    <mergeCell ref="F16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N27"/>
  <sheetViews>
    <sheetView tabSelected="1" topLeftCell="D1" workbookViewId="0">
      <selection activeCell="E8" sqref="E8:E13"/>
    </sheetView>
  </sheetViews>
  <sheetFormatPr defaultRowHeight="14.95"/>
  <cols>
    <col min="3" max="3" width="17.88671875" customWidth="1"/>
    <col min="4" max="4" width="26.44140625" customWidth="1"/>
    <col min="5" max="6" width="28.5546875" customWidth="1"/>
    <col min="7" max="8" width="23.44140625" customWidth="1"/>
    <col min="9" max="9" width="17.6640625" customWidth="1"/>
    <col min="10" max="10" width="17.88671875" customWidth="1"/>
    <col min="11" max="11" width="19.44140625" customWidth="1"/>
    <col min="12" max="12" width="16.44140625" customWidth="1"/>
  </cols>
  <sheetData>
    <row r="7" spans="2:14" s="10" customFormat="1" ht="31.5" customHeight="1">
      <c r="B7" s="12" t="s">
        <v>52</v>
      </c>
      <c r="C7" s="11" t="s">
        <v>45</v>
      </c>
      <c r="D7" s="11" t="s">
        <v>47</v>
      </c>
      <c r="E7" s="11" t="s">
        <v>46</v>
      </c>
      <c r="F7" s="11" t="s">
        <v>42</v>
      </c>
      <c r="G7" s="11" t="s">
        <v>43</v>
      </c>
      <c r="H7" s="11" t="s">
        <v>65</v>
      </c>
      <c r="I7" s="11" t="s">
        <v>44</v>
      </c>
      <c r="J7" s="23" t="s">
        <v>93</v>
      </c>
      <c r="K7" s="23" t="s">
        <v>94</v>
      </c>
      <c r="L7" s="23" t="s">
        <v>95</v>
      </c>
      <c r="M7" s="11" t="s">
        <v>48</v>
      </c>
      <c r="N7" s="11" t="s">
        <v>49</v>
      </c>
    </row>
    <row r="8" spans="2:14" ht="16.25">
      <c r="B8" s="9" t="s">
        <v>53</v>
      </c>
      <c r="C8" s="7">
        <f>'Vehicle Data'!H28</f>
        <v>3.2959999999999998</v>
      </c>
      <c r="D8" s="8">
        <f>'Vehicle Data'!H34</f>
        <v>3.165</v>
      </c>
      <c r="E8" s="8">
        <f>2*0.83*3750/C8*D8*3.14*$G$23*0.0254/60*5/18</f>
        <v>32.003942604040247</v>
      </c>
      <c r="F8" s="8">
        <f>((30000/3.14)*(C8*D8/G23)*G24*G21)-((250000/(3.14^2))*((C8*D8/G23)^2)*G24*G22*E8)</f>
        <v>44889.719527876849</v>
      </c>
      <c r="G8" s="20">
        <f>F8*G23</f>
        <v>650900.93315421429</v>
      </c>
      <c r="H8" s="8">
        <f>$G$19*'Vehicle Data'!$H$5+ 0.5*Acceleration!$G19*Acceleration!$G$21*(Acceleration!$G$16+Acceleration!$G$17)^2</f>
        <v>3679.5172114285715</v>
      </c>
      <c r="I8" s="9">
        <f>((F8-H8)*9.81)/('Vehicle Data'!$H$5*$G$19)</f>
        <v>109.89387284386207</v>
      </c>
      <c r="J8" s="8">
        <f>-1.25*1.06*$G$17*9.81/(7.2*'Vehicle Data'!$H$5*$G$25)</f>
        <v>-6.7948717948717954E-5</v>
      </c>
      <c r="K8" s="8">
        <f>2*I8*E87-(9*10^5/3.14^2)*((C8*D8/$G$23)^2)*Acceleration!$G$24*Acceleration!$G$22*9.81/(1.3*'Vehicle Data'!$H$5)</f>
        <v>-1.1336375361842203E-3</v>
      </c>
      <c r="L8">
        <f>(1.08*10^5/3.14)*(C8*D8/$G$23)*$G$24*$G$22*9.18/(1.3*'Vehicle Data'!$H$5)-3.6*$G$19*9.81*COS(30)/1.3-1.25*1.3*Acceleration!$F$20*((E8)^2)*9.81/(7.2*1.3*'Vehicle Data'!$H$5)-0.036*TAN(30)*COS(30)*9.81/1.3</f>
        <v>-0.3595969970979393</v>
      </c>
      <c r="M8">
        <f>(1/((J8^2-4*I8*K8)^0.5))*LN((2*K8+2*I8*$G$23*$G$24+J8*($G$23+$G$24)+((J8^2-4*I8*K8)^0.5)*($G$24-$G$23))/(2*K8+2*I8*$G$23*$G$24+J8*($G$23+$G$24)-((J8^2-4*I8*K8)^0.5)*($G$24-$G$23)))*-1700</f>
        <v>15.747855512079846</v>
      </c>
      <c r="N8">
        <f>(1/(7.6*J8))*((LN((J8*$G$27^2+K8*$G$27^2+L8)/(J8*$G$26^2+K8*$G$26^2+L8))-K8*M8))*-1/1000</f>
        <v>6.8609437949963423</v>
      </c>
    </row>
    <row r="9" spans="2:14" ht="16.25">
      <c r="B9" s="9" t="s">
        <v>54</v>
      </c>
      <c r="C9" s="7">
        <f>'Vehicle Data'!H29</f>
        <v>1.958</v>
      </c>
      <c r="D9" s="8">
        <f>'Vehicle Data'!H34</f>
        <v>3.165</v>
      </c>
      <c r="E9" s="8">
        <f t="shared" ref="E9:E13" si="0">2*0.83*3750/C9*D9*3.14*$G$23*0.0254/60*5/18</f>
        <v>53.873848224165812</v>
      </c>
      <c r="F9" s="8">
        <f>((30000/3.14)*(C9*D9/G23)*G24*G21)-((250000/(3.14^2))*((C9*D9/G23)^2)*G24*G22*E9)</f>
        <v>26666.890423417131</v>
      </c>
      <c r="G9" s="20">
        <f>F9*G24</f>
        <v>24533.539189543761</v>
      </c>
      <c r="H9" s="8">
        <f>$G$19*'Vehicle Data'!$H$5+ 0.5*Acceleration!$G20*Acceleration!$G$21*(Acceleration!$G$16+Acceleration!$G$17)^2</f>
        <v>4394.8140000000003</v>
      </c>
      <c r="I9" s="9">
        <f>((F9-H9)*9.81)/('Vehicle Data'!$H$5*$G$19)</f>
        <v>59.392203795779011</v>
      </c>
      <c r="J9" s="8">
        <f>-1.25*1.06*$G$17*9.81/(7.2*'Vehicle Data'!$H$5*$G$25)</f>
        <v>-6.7948717948717954E-5</v>
      </c>
      <c r="K9" s="8">
        <f>2*I9*E88-(9*10^5/3.14^2)*((C9*D9/$G$23)^2)*Acceleration!$G$24*Acceleration!$G$22*9.81/(1.3*'Vehicle Data'!$H$5)</f>
        <v>-4.0006005139281089E-4</v>
      </c>
      <c r="L9">
        <f>(1.08*10^5/3.14)*(C9*D9/$G$23)*$G$24*$G$22*9.18/(1.3*'Vehicle Data'!$H$5)-3.6*$G$19*9.81*COS(30)/1.3-1.25*1.3*Acceleration!$F$20*((E9)^2)*9.81/(7.2*1.3*'Vehicle Data'!$H$5)-0.036*TAN(30)*COS(30)*9.81/1.3</f>
        <v>-0.35982254291685906</v>
      </c>
      <c r="M9">
        <f>(1/((J9^2-4*I9*K9)^0.5))*LN((2*K9+2*I9*$G$23*$G$24+J9*($G$23+$G$24)+((J9^2-4*I9*K9)^0.5)*($G$24-$G$23))/(2*K9+2*I9*$G$23*$G$24+J9*($G$23+$G$24)-((J9^2-4*I9*K9)^0.5)*($G$24-$G$23)))*-800</f>
        <v>13.71216416006053</v>
      </c>
      <c r="N9">
        <f t="shared" ref="N9:N13" si="1">(1/(7.6*J9))*((LN((J9*$G$27^2+K9*$G$27^2+L9)/(J9*$G$26^2+K9*$G$26^2+L9))-K9*M9))*-1/1000</f>
        <v>5.1118835431308556</v>
      </c>
    </row>
    <row r="10" spans="2:14" ht="16.25">
      <c r="B10" s="9" t="s">
        <v>55</v>
      </c>
      <c r="C10" s="7">
        <f>'Vehicle Data'!H30</f>
        <v>1.3480000000000001</v>
      </c>
      <c r="D10" s="8">
        <f>'Vehicle Data'!H34</f>
        <v>3.165</v>
      </c>
      <c r="E10" s="8">
        <f t="shared" si="0"/>
        <v>78.252963518484165</v>
      </c>
      <c r="F10" s="8">
        <f>((30000/3.14)*(C10*D10/G23)*G24*G21)-((250000/(3.14^2))*((C10*D10/G23)^2)*G24*G22*E10)</f>
        <v>18359.023641862255</v>
      </c>
      <c r="G10" s="20">
        <f>F10*G23</f>
        <v>266205.84280700271</v>
      </c>
      <c r="H10" s="8">
        <f>$G$19*'Vehicle Data'!$H$5+ 0.5*Acceleration!$G21*Acceleration!$G$21*(Acceleration!$G$16+Acceleration!$G$17)^2</f>
        <v>3715.0841590204082</v>
      </c>
      <c r="I10" s="9">
        <f>((F10-H10)*9.81)/('Vehicle Data'!$H$5*$G$19)</f>
        <v>39.050505287578261</v>
      </c>
      <c r="J10" s="8">
        <f>-1.25*1.06*$G$17*9.81/(7.2*'Vehicle Data'!$H$5*$G$25)</f>
        <v>-6.7948717948717954E-5</v>
      </c>
      <c r="K10" s="8">
        <f>2*I10*E89-(9*10^5/3.14^2)*((C10*D10/$G$23)^2)*Acceleration!$G$24*Acceleration!$G$22*9.81/(1.3*'Vehicle Data'!$H$5)</f>
        <v>-1.8961801499155453E-4</v>
      </c>
      <c r="L10">
        <f>(1.08*10^5/3.14)*(C10*D10/$G$23)*$G$24*$G$22*9.18/(1.3*'Vehicle Data'!$H$5)-3.6*$G$19*9.81*COS(30)/1.3-1.25*1.3*Acceleration!$F$20*((E10)^2)*9.81/(7.2*1.3*'Vehicle Data'!$H$5)-0.036*TAN(30)*COS(30)*9.81/1.3</f>
        <v>-0.35992537023340693</v>
      </c>
      <c r="M10">
        <f>(1/((J10^2-4*I10*K10)^0.5))*LN((2*K10+2*I10*$G$23*$G$24+J10*($G$23+$G$24)+((J10^2-4*I10*K10)^0.5)*($G$24-$G$23))/(2*K10+2*I10*$G$23*$G$24+J10*($G$23+$G$24)-((J10^2-4*I10*K10)^0.5)*($G$24-$G$23)))*-450</f>
        <v>11.730894247667203</v>
      </c>
      <c r="N10">
        <f t="shared" si="1"/>
        <v>4.0629208165866455</v>
      </c>
    </row>
    <row r="11" spans="2:14" ht="16.25">
      <c r="B11" s="9" t="s">
        <v>56</v>
      </c>
      <c r="C11" s="7">
        <f>'Vehicle Data'!H31</f>
        <v>1</v>
      </c>
      <c r="D11" s="8">
        <f>'Vehicle Data'!H34</f>
        <v>3.165</v>
      </c>
      <c r="E11" s="8">
        <f t="shared" si="0"/>
        <v>105.48499482291668</v>
      </c>
      <c r="F11" s="8">
        <f>((30000/3.14)*(C11*D11/G23)*G24*G21)-((250000/(3.14^2))*((C11*D11/G23)^2)*G24*G22*E11)</f>
        <v>13619.453740253897</v>
      </c>
      <c r="G11" s="20">
        <f>F11*G23</f>
        <v>197482.07923368152</v>
      </c>
      <c r="H11" s="8">
        <f>$G$19*'Vehicle Data'!$H$5+ 0.5*Acceleration!$G22*Acceleration!$G$21*(Acceleration!$G$16+Acceleration!$G$17)^2</f>
        <v>3678.7504335353469</v>
      </c>
      <c r="I11" s="9">
        <f>((F11-H11)*9.81)/('Vehicle Data'!$H$5*$G$19)</f>
        <v>26.508542151249468</v>
      </c>
      <c r="J11" s="8">
        <f>-1.25*1.06*$G$17*9.81/(7.2*'Vehicle Data'!$H$5*$G$25)</f>
        <v>-6.7948717948717954E-5</v>
      </c>
      <c r="K11" s="8">
        <f>2*I11*E90-(9*10^5/3.14^2)*((C11*D11/$G$23)^2)*Acceleration!$G$24*Acceleration!$G$22*9.81/(1.3*'Vehicle Data'!$H$5)</f>
        <v>-1.0435176797340963E-4</v>
      </c>
      <c r="L11">
        <f>(1.08*10^5/3.14)*(C11*D11/$G$23)*$G$24*$G$22*9.18/(1.3*'Vehicle Data'!$H$5)-3.6*$G$19*9.81*COS(30)/1.3-1.25*1.3*Acceleration!$F$20*((E11)^2)*9.81/(7.2*1.3*'Vehicle Data'!$H$5)-0.036*TAN(30)*COS(30)*9.81/1.3</f>
        <v>-0.35998403237465065</v>
      </c>
      <c r="M11">
        <f>(1/((J11^2-4*I11*K11)^0.5))*LN((2*K11+2*I11*$G$23*$G$24+J11*($G$23+$G$24)+((J11^2-4*I11*K11)^0.5)*($G$24-$G$23))/(2*K11+2*I11*$G$23*$G$24+J11*($G$23+$G$24)-((J11^2-4*I11*K11)^0.5)*($G$24-$G$23)))*-275</f>
        <v>10.560686538943923</v>
      </c>
      <c r="N11">
        <f t="shared" si="1"/>
        <v>3.3978580645177439</v>
      </c>
    </row>
    <row r="12" spans="2:14" ht="16.25">
      <c r="B12" s="9" t="s">
        <v>57</v>
      </c>
      <c r="C12" s="7">
        <f>'Vehicle Data'!H32</f>
        <v>0.72499999999999998</v>
      </c>
      <c r="D12" s="8">
        <f>D11</f>
        <v>3.165</v>
      </c>
      <c r="E12" s="8">
        <f t="shared" si="0"/>
        <v>145.49654458333333</v>
      </c>
      <c r="F12" s="8">
        <f>((30000/3.14)*(C12*D12/G23)*G24*G21)-((250000/(3.14^2))*((C12*D12/G23)^2)*G24*G22*E12)</f>
        <v>9874.1039616840771</v>
      </c>
      <c r="G12" s="20">
        <f>F12*G23</f>
        <v>143174.50744441911</v>
      </c>
      <c r="H12" s="8">
        <f>$G$19*'Vehicle Data'!$H$5+ 0.5*Acceleration!$G23*Acceleration!$G$21*(Acceleration!$G$16+Acceleration!$G$17)^2</f>
        <v>3752.9137714285716</v>
      </c>
      <c r="I12" s="9">
        <f>((F12-H12)*9.81)/('Vehicle Data'!$H$5*$G$19)</f>
        <v>16.323173840681349</v>
      </c>
      <c r="J12" s="8">
        <f>-1.25*1.06*$G$17*9.81/(7.2*'Vehicle Data'!$H$5*$G$25)</f>
        <v>-6.7948717948717954E-5</v>
      </c>
      <c r="K12" s="8">
        <f>2*I12*E91-(9*10^5/3.14^2)*((C12*D12/$G$23)^2)*Acceleration!$G$24*Acceleration!$G$22*9.81/(1.3*'Vehicle Data'!$H$5)</f>
        <v>-5.4849898041023438E-5</v>
      </c>
      <c r="L12">
        <f>(1.08*10^5/3.14)*(C12*D12/$G$23)*$G$24*$G$22*9.18/(1.3*'Vehicle Data'!$H$5)-3.6*$G$19*9.81*COS(30)/1.3-1.25*1.3*Acceleration!$F$20*((E12)^2)*9.81/(7.2*1.3*'Vehicle Data'!$H$5)-0.036*TAN(30)*COS(30)*9.81/1.3</f>
        <v>-0.3600303889517828</v>
      </c>
      <c r="M12">
        <f>(1/((J12^2-4*I12*K12)^0.5))*LN((2*K12+2*I12*$G$23*$G$24+J12*($G$23+$G$24)+((J12^2-4*I12*K12)^0.5)*($G$24-$G$23))/(2*K12+2*I12*$G$23*$G$24+J12*($G$23+$G$24)-((J12^2-4*I12*K12)^0.5)*($G$24-$G$23)))*-150</f>
        <v>9.3547514259232472</v>
      </c>
      <c r="N12">
        <f t="shared" si="1"/>
        <v>2.872139594405096</v>
      </c>
    </row>
    <row r="13" spans="2:14" ht="16.25">
      <c r="B13" s="9" t="s">
        <v>58</v>
      </c>
      <c r="C13" s="7">
        <f>'Vehicle Data'!H33</f>
        <v>0.58199999999999996</v>
      </c>
      <c r="D13" s="8">
        <f>D12</f>
        <v>3.165</v>
      </c>
      <c r="E13" s="8">
        <f t="shared" si="0"/>
        <v>181.24569557202173</v>
      </c>
      <c r="F13" s="8">
        <f>((30000/3.14)*(C13*D13/G23)*G24*G21)-((250000/(3.14^2))*((C13*D13/G23)^2)*G24*G22*E13)</f>
        <v>7926.5220768277677</v>
      </c>
      <c r="G13" s="8">
        <f>F13*G23</f>
        <v>114934.57011400264</v>
      </c>
      <c r="H13" s="8">
        <f>$G$19*'Vehicle Data'!$H$5+ 0.5*Acceleration!$G24*Acceleration!$G$21*(Acceleration!$G$16+Acceleration!$G$17)^2</f>
        <v>3683.4555634285716</v>
      </c>
      <c r="I13" s="9">
        <f>((F13-H13)*9.81)/('Vehicle Data'!$H$5*$G$19)</f>
        <v>11.314844035731189</v>
      </c>
      <c r="J13" s="8">
        <f>-1.25*1.06*$G$17*9.81/(7.2*'Vehicle Data'!$H$5*$G$25)</f>
        <v>-6.7948717948717954E-5</v>
      </c>
      <c r="K13" s="8">
        <f>2*I13*E92-(9*10^5/3.14^2)*((C13*D13/$G$23)^2)*Acceleration!$G$24*Acceleration!$G$22*9.81/(1.3*'Vehicle Data'!$H$5)</f>
        <v>-3.5346448255025204E-5</v>
      </c>
      <c r="L13">
        <f>(1.08*10^5/3.14)*(C13*D13/$G$23)*$G$24*$G$22*9.18/(1.3*'Vehicle Data'!$H$5)-3.6*$G$19*9.81*COS(30)/1.3-1.25*1.3*Acceleration!$F$20*((E13)^2)*9.81/(7.2*1.3*'Vehicle Data'!$H$5)-0.036*TAN(30)*COS(30)*9.81/1.3</f>
        <v>-0.36005449437189158</v>
      </c>
      <c r="M13">
        <f>(1/((J13^2-4*I13*K13)^0.5))*LN((2*K13+2*I13*$G$23*$G$24+J13*($G$23+$G$24)+((J13^2-4*I13*K13)^0.5)*($G$24-$G$23))/(2*K13+2*I13*$G$23*$G$24+J13*($G$23+$G$24)-((J13^2-4*I13*K13)^0.5)*($G$24-$G$23)))*-95</f>
        <v>8.5471445996533433</v>
      </c>
      <c r="N13">
        <f t="shared" si="1"/>
        <v>2.6183043462939453</v>
      </c>
    </row>
    <row r="14" spans="2:14" ht="16.25">
      <c r="B14" s="18"/>
      <c r="C14" s="19"/>
      <c r="D14" s="17"/>
      <c r="E14" s="17"/>
      <c r="F14" s="17"/>
      <c r="G14" s="17"/>
      <c r="H14" s="17"/>
      <c r="I14" s="17"/>
      <c r="J14" s="17"/>
      <c r="K14" s="17"/>
    </row>
    <row r="15" spans="2:14" ht="16.25">
      <c r="B15" s="18"/>
      <c r="C15" s="19"/>
      <c r="D15" s="21" t="s">
        <v>72</v>
      </c>
      <c r="E15" s="17"/>
      <c r="F15" s="17"/>
      <c r="G15" s="22">
        <v>40</v>
      </c>
      <c r="H15" s="17"/>
      <c r="I15" s="17"/>
      <c r="J15" s="17"/>
      <c r="K15" s="17"/>
    </row>
    <row r="16" spans="2:14">
      <c r="D16" t="s">
        <v>70</v>
      </c>
      <c r="G16">
        <v>0</v>
      </c>
    </row>
    <row r="17" spans="4:7">
      <c r="D17" t="s">
        <v>69</v>
      </c>
      <c r="G17">
        <v>1.2</v>
      </c>
    </row>
    <row r="18" spans="4:7">
      <c r="D18" t="s">
        <v>68</v>
      </c>
      <c r="G18">
        <v>1</v>
      </c>
    </row>
    <row r="19" spans="4:7">
      <c r="D19" t="s">
        <v>67</v>
      </c>
      <c r="G19">
        <v>0.15</v>
      </c>
    </row>
    <row r="20" spans="4:7">
      <c r="D20" t="s">
        <v>66</v>
      </c>
      <c r="G20">
        <v>140</v>
      </c>
    </row>
    <row r="21" spans="4:7">
      <c r="D21" t="s">
        <v>50</v>
      </c>
      <c r="G21">
        <f>('Vehicle Data'!H24-'Vehicle Data'!H21*('Vehicle Data'!H25/'Vehicle Data'!H22)^2)/('Vehicle Data'!H21*(1-('Vehicle Data'!H25/'Vehicle Data'!H22)))</f>
        <v>7.1038095238095238</v>
      </c>
    </row>
    <row r="22" spans="4:7">
      <c r="D22" t="s">
        <v>51</v>
      </c>
      <c r="G22">
        <f>(('Vehicle Data'!H24/'Vehicle Data'!H25)-('Vehicle Data'!H21/'Vehicle Data'!H22))/('Vehicle Data'!H22-'Vehicle Data'!H25)</f>
        <v>8.4761904761904757E-5</v>
      </c>
    </row>
    <row r="23" spans="4:7">
      <c r="D23" t="s">
        <v>63</v>
      </c>
      <c r="G23">
        <v>14.5</v>
      </c>
    </row>
    <row r="24" spans="4:7">
      <c r="D24" t="s">
        <v>64</v>
      </c>
      <c r="G24">
        <v>0.92</v>
      </c>
    </row>
    <row r="25" spans="4:7">
      <c r="D25" t="s">
        <v>92</v>
      </c>
      <c r="G25">
        <v>1.3</v>
      </c>
    </row>
    <row r="26" spans="4:7">
      <c r="D26" t="s">
        <v>96</v>
      </c>
      <c r="G26">
        <v>2</v>
      </c>
    </row>
    <row r="27" spans="4:7">
      <c r="D27" t="s">
        <v>97</v>
      </c>
      <c r="G27">
        <v>100</v>
      </c>
    </row>
  </sheetData>
  <pageMargins left="0.7" right="0.7" top="0.75" bottom="0.75" header="0.3" footer="0.3"/>
  <pageSetup orientation="portrait" r:id="rId1"/>
  <ignoredErrors>
    <ignoredError sqref="F9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E4:K12"/>
  <sheetViews>
    <sheetView workbookViewId="0">
      <selection activeCell="F8" sqref="F8"/>
    </sheetView>
  </sheetViews>
  <sheetFormatPr defaultRowHeight="14.95"/>
  <sheetData>
    <row r="4" spans="5:11">
      <c r="E4" t="s">
        <v>79</v>
      </c>
      <c r="J4">
        <v>5</v>
      </c>
      <c r="K4" t="s">
        <v>85</v>
      </c>
    </row>
    <row r="5" spans="5:11">
      <c r="E5" t="s">
        <v>77</v>
      </c>
      <c r="J5">
        <v>45</v>
      </c>
      <c r="K5" t="s">
        <v>78</v>
      </c>
    </row>
    <row r="6" spans="5:11">
      <c r="E6" t="s">
        <v>76</v>
      </c>
      <c r="J6">
        <f>DEGREES(ATAN((((TAN(J5))^-1)+((('Vehicle Data'!H10/1000)-(2*(J4/1000)))/('Vehicle Data'!H9/1000)))^-1))</f>
        <v>36.439589885024297</v>
      </c>
      <c r="K6" t="s">
        <v>78</v>
      </c>
    </row>
    <row r="7" spans="5:11">
      <c r="E7" t="s">
        <v>83</v>
      </c>
      <c r="J7">
        <v>40.5</v>
      </c>
      <c r="K7" t="s">
        <v>78</v>
      </c>
    </row>
    <row r="8" spans="5:11">
      <c r="E8" t="s">
        <v>84</v>
      </c>
      <c r="J8">
        <f>J7-J6</f>
        <v>4.0604101149757028</v>
      </c>
      <c r="K8" t="s">
        <v>78</v>
      </c>
    </row>
    <row r="9" spans="5:11">
      <c r="E9" t="s">
        <v>73</v>
      </c>
      <c r="J9">
        <f>((J5-40.5)/(J5-J6))*100</f>
        <v>52.567574912417292</v>
      </c>
      <c r="K9" t="s">
        <v>82</v>
      </c>
    </row>
    <row r="10" spans="5:11">
      <c r="E10" t="s">
        <v>74</v>
      </c>
      <c r="J10">
        <f>0.5*(((('Vehicle Data'!H9/1000)/(SIN(RADIANS(J6))))+(J4/1000))-(0.1*(J8)))</f>
        <v>2.0723027862693222</v>
      </c>
      <c r="K10" t="s">
        <v>81</v>
      </c>
    </row>
    <row r="11" spans="5:11">
      <c r="E11" t="s">
        <v>86</v>
      </c>
      <c r="J11">
        <v>235</v>
      </c>
      <c r="K11" t="s">
        <v>85</v>
      </c>
    </row>
    <row r="12" spans="5:11">
      <c r="E12" t="s">
        <v>75</v>
      </c>
      <c r="J12">
        <f>J10+(J11/1000)</f>
        <v>2.3073027862693221</v>
      </c>
      <c r="K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2:L6"/>
  <sheetViews>
    <sheetView workbookViewId="0">
      <selection activeCell="L5" sqref="L5"/>
    </sheetView>
  </sheetViews>
  <sheetFormatPr defaultRowHeight="14.95"/>
  <sheetData>
    <row r="2" spans="6:12">
      <c r="F2" t="s">
        <v>90</v>
      </c>
      <c r="L2">
        <v>0.85</v>
      </c>
    </row>
    <row r="3" spans="6:12">
      <c r="F3" t="s">
        <v>91</v>
      </c>
      <c r="L3">
        <v>0.37909999999999999</v>
      </c>
    </row>
    <row r="4" spans="6:12">
      <c r="F4" t="s">
        <v>89</v>
      </c>
      <c r="L4">
        <f>'Vehicle Data'!H6*'High Speed Steering'!L2*'High Speed Steering'!L3/'Vehicle Data'!H10</f>
        <v>2.8759473749999995</v>
      </c>
    </row>
    <row r="5" spans="6:12">
      <c r="F5" t="s">
        <v>87</v>
      </c>
    </row>
    <row r="6" spans="6:12">
      <c r="F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Data</vt:lpstr>
      <vt:lpstr>Acceleration</vt:lpstr>
      <vt:lpstr>Braking</vt:lpstr>
      <vt:lpstr>Low Speed Steering</vt:lpstr>
      <vt:lpstr>High Speed Steering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2016-01-19T08:32:10Z</dcterms:created>
  <dcterms:modified xsi:type="dcterms:W3CDTF">2016-01-22T21:02:12Z</dcterms:modified>
</cp:coreProperties>
</file>