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ndesh\Nextcloud2\Marksheets 2022-2023\Sem VIII Final Result May 2023\Sem VIII final year result 18 12 2023\"/>
    </mc:Choice>
  </mc:AlternateContent>
  <bookViews>
    <workbookView xWindow="0" yWindow="0" windowWidth="24000" windowHeight="8415" activeTab="2"/>
  </bookViews>
  <sheets>
    <sheet name="Inhouse" sheetId="1" r:id="rId1"/>
    <sheet name="cetogory 2 wocredit" sheetId="2" r:id="rId2"/>
    <sheet name="internship-category1" sheetId="3" r:id="rId3"/>
    <sheet name="studentnames" sheetId="4" r:id="rId4"/>
    <sheet name="cgpi" sheetId="5" r:id="rId5"/>
    <sheet name="Sheet6" sheetId="6" r:id="rId6"/>
  </sheets>
  <definedNames>
    <definedName name="_xlnm.Print_Titles" localSheetId="1">'cetogory 2 wocredit'!$1:$6</definedName>
    <definedName name="_xlnm.Print_Titles" localSheetId="2">'internship-category1'!$1:$7</definedName>
  </definedNames>
  <calcPr calcId="152511"/>
</workbook>
</file>

<file path=xl/calcChain.xml><?xml version="1.0" encoding="utf-8"?>
<calcChain xmlns="http://schemas.openxmlformats.org/spreadsheetml/2006/main">
  <c r="AB41" i="3" l="1" a="1"/>
  <c r="AB41" i="3" s="1"/>
  <c r="AA41" i="3" a="1"/>
  <c r="AA41" i="3" s="1"/>
  <c r="Z41" i="3" a="1"/>
  <c r="Z41" i="3" s="1"/>
  <c r="Y41" i="3" a="1"/>
  <c r="Y41" i="3" s="1"/>
  <c r="X41" i="3" a="1"/>
  <c r="X41" i="3" s="1"/>
  <c r="W41" i="3" a="1"/>
  <c r="W41" i="3" s="1"/>
  <c r="V41" i="3" a="1"/>
  <c r="V41" i="3" s="1"/>
  <c r="U41" i="3" a="1"/>
  <c r="U41" i="3" s="1"/>
  <c r="T41" i="3" a="1"/>
  <c r="T41" i="3" s="1"/>
  <c r="S41" i="3" a="1"/>
  <c r="S41" i="3" s="1"/>
  <c r="O41" i="3"/>
  <c r="C41" i="3" a="1"/>
  <c r="C41" i="3" s="1"/>
  <c r="AB40" i="3" a="1"/>
  <c r="AB40" i="3" s="1"/>
  <c r="AA40" i="3" a="1"/>
  <c r="AA40" i="3" s="1"/>
  <c r="Z40" i="3" a="1"/>
  <c r="Z40" i="3" s="1"/>
  <c r="Y40" i="3" a="1"/>
  <c r="Y40" i="3" s="1"/>
  <c r="X40" i="3" a="1"/>
  <c r="X40" i="3" s="1"/>
  <c r="W40" i="3" a="1"/>
  <c r="W40" i="3" s="1"/>
  <c r="V40" i="3" a="1"/>
  <c r="V40" i="3" s="1"/>
  <c r="U40" i="3" a="1"/>
  <c r="U40" i="3" s="1"/>
  <c r="T40" i="3" a="1"/>
  <c r="T40" i="3" s="1"/>
  <c r="S40" i="3" a="1"/>
  <c r="S40" i="3" s="1"/>
  <c r="O40" i="3"/>
  <c r="C40" i="3" a="1"/>
  <c r="C40" i="3" s="1"/>
  <c r="AB39" i="3" a="1"/>
  <c r="AB39" i="3" s="1"/>
  <c r="AA39" i="3" a="1"/>
  <c r="AA39" i="3" s="1"/>
  <c r="Z39" i="3" a="1"/>
  <c r="Z39" i="3" s="1"/>
  <c r="Y39" i="3" a="1"/>
  <c r="Y39" i="3" s="1"/>
  <c r="X39" i="3" a="1"/>
  <c r="X39" i="3" s="1"/>
  <c r="W39" i="3" a="1"/>
  <c r="W39" i="3" s="1"/>
  <c r="V39" i="3" a="1"/>
  <c r="V39" i="3" s="1"/>
  <c r="U39" i="3" a="1"/>
  <c r="U39" i="3" s="1"/>
  <c r="T39" i="3" a="1"/>
  <c r="T39" i="3" s="1"/>
  <c r="S39" i="3" a="1"/>
  <c r="S39" i="3" s="1"/>
  <c r="O39" i="3"/>
  <c r="C39" i="3" a="1"/>
  <c r="C39" i="3" s="1"/>
  <c r="AB38" i="3" a="1"/>
  <c r="AB38" i="3" s="1"/>
  <c r="AA38" i="3" a="1"/>
  <c r="AA38" i="3" s="1"/>
  <c r="Z38" i="3" a="1"/>
  <c r="Z38" i="3" s="1"/>
  <c r="Y38" i="3" a="1"/>
  <c r="Y38" i="3" s="1"/>
  <c r="X38" i="3" a="1"/>
  <c r="X38" i="3" s="1"/>
  <c r="W38" i="3" a="1"/>
  <c r="W38" i="3" s="1"/>
  <c r="V38" i="3" a="1"/>
  <c r="V38" i="3" s="1"/>
  <c r="U38" i="3" a="1"/>
  <c r="U38" i="3" s="1"/>
  <c r="T38" i="3" a="1"/>
  <c r="T38" i="3" s="1"/>
  <c r="S38" i="3" a="1"/>
  <c r="S38" i="3" s="1"/>
  <c r="O38" i="3"/>
  <c r="C38" i="3" a="1"/>
  <c r="C38" i="3" s="1"/>
  <c r="AB37" i="3" a="1"/>
  <c r="AB37" i="3" s="1"/>
  <c r="AA37" i="3" a="1"/>
  <c r="AA37" i="3" s="1"/>
  <c r="Z37" i="3" a="1"/>
  <c r="Z37" i="3" s="1"/>
  <c r="Y37" i="3" a="1"/>
  <c r="Y37" i="3" s="1"/>
  <c r="X37" i="3" a="1"/>
  <c r="X37" i="3" s="1"/>
  <c r="W37" i="3" a="1"/>
  <c r="W37" i="3" s="1"/>
  <c r="V37" i="3" a="1"/>
  <c r="V37" i="3" s="1"/>
  <c r="U37" i="3" a="1"/>
  <c r="U37" i="3" s="1"/>
  <c r="T37" i="3" a="1"/>
  <c r="T37" i="3" s="1"/>
  <c r="S37" i="3" a="1"/>
  <c r="S37" i="3" s="1"/>
  <c r="O37" i="3"/>
  <c r="C37" i="3" a="1"/>
  <c r="C37" i="3" s="1"/>
  <c r="AB36" i="3" a="1"/>
  <c r="AB36" i="3" s="1"/>
  <c r="AA36" i="3" a="1"/>
  <c r="AA36" i="3" s="1"/>
  <c r="Z36" i="3" a="1"/>
  <c r="Z36" i="3" s="1"/>
  <c r="Y36" i="3" a="1"/>
  <c r="Y36" i="3" s="1"/>
  <c r="X36" i="3" a="1"/>
  <c r="X36" i="3"/>
  <c r="W36" i="3" a="1"/>
  <c r="W36" i="3" s="1"/>
  <c r="V36" i="3" a="1"/>
  <c r="V36" i="3" s="1"/>
  <c r="U36" i="3" a="1"/>
  <c r="U36" i="3" s="1"/>
  <c r="O36" i="3"/>
  <c r="C36" i="3" a="1"/>
  <c r="C36" i="3" s="1"/>
  <c r="AB35" i="3" a="1"/>
  <c r="AB35" i="3" s="1"/>
  <c r="AA35" i="3" a="1"/>
  <c r="AA35" i="3" s="1"/>
  <c r="Z35" i="3" a="1"/>
  <c r="Z35" i="3" s="1"/>
  <c r="Y35" i="3" a="1"/>
  <c r="Y35" i="3" s="1"/>
  <c r="X35" i="3" a="1"/>
  <c r="X35" i="3" s="1"/>
  <c r="W35" i="3" a="1"/>
  <c r="W35" i="3" s="1"/>
  <c r="V35" i="3" a="1"/>
  <c r="V35" i="3" s="1"/>
  <c r="U35" i="3" a="1"/>
  <c r="U35" i="3" s="1"/>
  <c r="O35" i="3"/>
  <c r="C35" i="3" a="1"/>
  <c r="C35" i="3" s="1"/>
  <c r="AB34" i="3" a="1"/>
  <c r="AB34" i="3" s="1"/>
  <c r="AA34" i="3" a="1"/>
  <c r="AA34" i="3" s="1"/>
  <c r="Z34" i="3" a="1"/>
  <c r="Z34" i="3" s="1"/>
  <c r="Y34" i="3" a="1"/>
  <c r="Y34" i="3" s="1"/>
  <c r="X34" i="3" a="1"/>
  <c r="X34" i="3" s="1"/>
  <c r="W34" i="3" a="1"/>
  <c r="W34" i="3" s="1"/>
  <c r="V34" i="3" a="1"/>
  <c r="V34" i="3" s="1"/>
  <c r="U34" i="3" a="1"/>
  <c r="U34" i="3" s="1"/>
  <c r="O34" i="3"/>
  <c r="C34" i="3" a="1"/>
  <c r="C34" i="3" s="1"/>
  <c r="AB33" i="3" a="1"/>
  <c r="AB33" i="3" s="1"/>
  <c r="AA33" i="3" a="1"/>
  <c r="AA33" i="3" s="1"/>
  <c r="Z33" i="3" a="1"/>
  <c r="Z33" i="3" s="1"/>
  <c r="Y33" i="3" a="1"/>
  <c r="Y33" i="3" s="1"/>
  <c r="X33" i="3" a="1"/>
  <c r="X33" i="3" s="1"/>
  <c r="W33" i="3" a="1"/>
  <c r="W33" i="3" s="1"/>
  <c r="V33" i="3" a="1"/>
  <c r="V33" i="3" s="1"/>
  <c r="U33" i="3" a="1"/>
  <c r="U33" i="3" s="1"/>
  <c r="O33" i="3"/>
  <c r="C33" i="3" a="1"/>
  <c r="C33" i="3" s="1"/>
  <c r="AB32" i="3" a="1"/>
  <c r="AB32" i="3" s="1"/>
  <c r="AA32" i="3" a="1"/>
  <c r="AA32" i="3" s="1"/>
  <c r="Z32" i="3" a="1"/>
  <c r="Z32" i="3" s="1"/>
  <c r="Y32" i="3" a="1"/>
  <c r="Y32" i="3" s="1"/>
  <c r="X32" i="3" a="1"/>
  <c r="X32" i="3" s="1"/>
  <c r="W32" i="3" a="1"/>
  <c r="W32" i="3" s="1"/>
  <c r="V32" i="3" a="1"/>
  <c r="V32" i="3" s="1"/>
  <c r="U32" i="3" a="1"/>
  <c r="U32" i="3" s="1"/>
  <c r="O32" i="3"/>
  <c r="C32" i="3" a="1"/>
  <c r="C32" i="3" s="1"/>
  <c r="AB31" i="3" a="1"/>
  <c r="AB31" i="3" s="1"/>
  <c r="AA31" i="3" a="1"/>
  <c r="AA31" i="3" s="1"/>
  <c r="Z31" i="3" a="1"/>
  <c r="Z31" i="3" s="1"/>
  <c r="Y31" i="3" a="1"/>
  <c r="Y31" i="3" s="1"/>
  <c r="X31" i="3" a="1"/>
  <c r="X31" i="3" s="1"/>
  <c r="W31" i="3" a="1"/>
  <c r="W31" i="3" s="1"/>
  <c r="V31" i="3" a="1"/>
  <c r="V31" i="3" s="1"/>
  <c r="U31" i="3" a="1"/>
  <c r="U31" i="3" s="1"/>
  <c r="O31" i="3"/>
  <c r="C31" i="3" a="1"/>
  <c r="C31" i="3" s="1"/>
  <c r="AB30" i="3" a="1"/>
  <c r="AB30" i="3" s="1"/>
  <c r="AA30" i="3" a="1"/>
  <c r="AA30" i="3" s="1"/>
  <c r="Z30" i="3" a="1"/>
  <c r="Z30" i="3" s="1"/>
  <c r="Y30" i="3" a="1"/>
  <c r="Y30" i="3" s="1"/>
  <c r="X30" i="3" a="1"/>
  <c r="X30" i="3" s="1"/>
  <c r="W30" i="3" a="1"/>
  <c r="W30" i="3" s="1"/>
  <c r="V30" i="3" a="1"/>
  <c r="V30" i="3" s="1"/>
  <c r="U30" i="3" a="1"/>
  <c r="U30" i="3" s="1"/>
  <c r="T30" i="3" a="1"/>
  <c r="T30" i="3" s="1"/>
  <c r="S30" i="3" a="1"/>
  <c r="S30" i="3" s="1"/>
  <c r="O30" i="3"/>
  <c r="C30" i="3" a="1"/>
  <c r="C30" i="3" s="1"/>
  <c r="AB29" i="3" a="1"/>
  <c r="AB29" i="3" s="1"/>
  <c r="AA29" i="3" a="1"/>
  <c r="AA29" i="3" s="1"/>
  <c r="Z29" i="3" a="1"/>
  <c r="Z29" i="3" s="1"/>
  <c r="Y29" i="3" a="1"/>
  <c r="Y29" i="3" s="1"/>
  <c r="X29" i="3" a="1"/>
  <c r="X29" i="3" s="1"/>
  <c r="W29" i="3" a="1"/>
  <c r="W29" i="3" s="1"/>
  <c r="V29" i="3" a="1"/>
  <c r="V29" i="3" s="1"/>
  <c r="U29" i="3" a="1"/>
  <c r="U29" i="3" s="1"/>
  <c r="T29" i="3" a="1"/>
  <c r="T29" i="3" s="1"/>
  <c r="S29" i="3" a="1"/>
  <c r="S29" i="3" s="1"/>
  <c r="O29" i="3"/>
  <c r="C29" i="3" a="1"/>
  <c r="C29" i="3" s="1"/>
  <c r="AB28" i="3" a="1"/>
  <c r="AB28" i="3" s="1"/>
  <c r="AA28" i="3" a="1"/>
  <c r="AA28" i="3" s="1"/>
  <c r="Z28" i="3" a="1"/>
  <c r="Z28" i="3" s="1"/>
  <c r="Y28" i="3" a="1"/>
  <c r="Y28" i="3" s="1"/>
  <c r="X28" i="3" a="1"/>
  <c r="X28" i="3" s="1"/>
  <c r="W28" i="3" a="1"/>
  <c r="W28" i="3" s="1"/>
  <c r="V28" i="3" a="1"/>
  <c r="V28" i="3" s="1"/>
  <c r="U28" i="3" a="1"/>
  <c r="U28" i="3" s="1"/>
  <c r="T28" i="3" a="1"/>
  <c r="T28" i="3" s="1"/>
  <c r="S28" i="3" a="1"/>
  <c r="S28" i="3" s="1"/>
  <c r="O28" i="3"/>
  <c r="C28" i="3" a="1"/>
  <c r="C28" i="3" s="1"/>
  <c r="AB27" i="3" a="1"/>
  <c r="AB27" i="3" s="1"/>
  <c r="AA27" i="3" a="1"/>
  <c r="AA27" i="3" s="1"/>
  <c r="Z27" i="3" a="1"/>
  <c r="Z27" i="3" s="1"/>
  <c r="Y27" i="3" a="1"/>
  <c r="Y27" i="3" s="1"/>
  <c r="X27" i="3" a="1"/>
  <c r="X27" i="3" s="1"/>
  <c r="W27" i="3" a="1"/>
  <c r="W27" i="3" s="1"/>
  <c r="V27" i="3" a="1"/>
  <c r="V27" i="3" s="1"/>
  <c r="U27" i="3" a="1"/>
  <c r="U27" i="3" s="1"/>
  <c r="T27" i="3" a="1"/>
  <c r="T27" i="3" s="1"/>
  <c r="S27" i="3" a="1"/>
  <c r="S27" i="3" s="1"/>
  <c r="O27" i="3"/>
  <c r="C27" i="3" a="1"/>
  <c r="C27" i="3" s="1"/>
  <c r="AB26" i="3" a="1"/>
  <c r="AB26" i="3" s="1"/>
  <c r="AA26" i="3" a="1"/>
  <c r="AA26" i="3" s="1"/>
  <c r="Z26" i="3" a="1"/>
  <c r="Z26" i="3" s="1"/>
  <c r="Y26" i="3" a="1"/>
  <c r="Y26" i="3" s="1"/>
  <c r="X26" i="3" a="1"/>
  <c r="X26" i="3" s="1"/>
  <c r="W26" i="3" a="1"/>
  <c r="W26" i="3" s="1"/>
  <c r="V26" i="3" a="1"/>
  <c r="V26" i="3" s="1"/>
  <c r="U26" i="3" a="1"/>
  <c r="U26" i="3" s="1"/>
  <c r="T26" i="3" a="1"/>
  <c r="T26" i="3" s="1"/>
  <c r="S26" i="3" a="1"/>
  <c r="S26" i="3" s="1"/>
  <c r="O26" i="3"/>
  <c r="C26" i="3" a="1"/>
  <c r="C26" i="3" s="1"/>
  <c r="AB25" i="3" a="1"/>
  <c r="AB25" i="3" s="1"/>
  <c r="AA25" i="3" a="1"/>
  <c r="AA25" i="3" s="1"/>
  <c r="Z25" i="3" a="1"/>
  <c r="Z25" i="3" s="1"/>
  <c r="Y25" i="3" a="1"/>
  <c r="Y25" i="3" s="1"/>
  <c r="X25" i="3" a="1"/>
  <c r="X25" i="3" s="1"/>
  <c r="W25" i="3" a="1"/>
  <c r="W25" i="3" s="1"/>
  <c r="V25" i="3" a="1"/>
  <c r="V25" i="3" s="1"/>
  <c r="U25" i="3" a="1"/>
  <c r="U25" i="3" s="1"/>
  <c r="T25" i="3" a="1"/>
  <c r="T25" i="3" s="1"/>
  <c r="S25" i="3" a="1"/>
  <c r="S25" i="3" s="1"/>
  <c r="O25" i="3"/>
  <c r="C25" i="3" a="1"/>
  <c r="C25" i="3" s="1"/>
  <c r="AB24" i="3" a="1"/>
  <c r="AB24" i="3" s="1"/>
  <c r="AA24" i="3" a="1"/>
  <c r="AA24" i="3" s="1"/>
  <c r="Z24" i="3" a="1"/>
  <c r="Z24" i="3" s="1"/>
  <c r="Y24" i="3" a="1"/>
  <c r="Y24" i="3" s="1"/>
  <c r="X24" i="3" a="1"/>
  <c r="X24" i="3" s="1"/>
  <c r="W24" i="3" a="1"/>
  <c r="W24" i="3" s="1"/>
  <c r="V24" i="3" a="1"/>
  <c r="V24" i="3" s="1"/>
  <c r="U24" i="3" a="1"/>
  <c r="U24" i="3" s="1"/>
  <c r="T24" i="3" a="1"/>
  <c r="T24" i="3" s="1"/>
  <c r="S24" i="3" a="1"/>
  <c r="S24" i="3" s="1"/>
  <c r="O24" i="3"/>
  <c r="C24" i="3" a="1"/>
  <c r="C24" i="3" s="1"/>
  <c r="AB23" i="3" a="1"/>
  <c r="AB23" i="3" s="1"/>
  <c r="AA23" i="3" a="1"/>
  <c r="AA23" i="3" s="1"/>
  <c r="Z23" i="3" a="1"/>
  <c r="Z23" i="3" s="1"/>
  <c r="Y23" i="3" a="1"/>
  <c r="Y23" i="3" s="1"/>
  <c r="X23" i="3" a="1"/>
  <c r="X23" i="3" s="1"/>
  <c r="W23" i="3" a="1"/>
  <c r="W23" i="3" s="1"/>
  <c r="V23" i="3" a="1"/>
  <c r="V23" i="3" s="1"/>
  <c r="U23" i="3" a="1"/>
  <c r="U23" i="3" s="1"/>
  <c r="T23" i="3" a="1"/>
  <c r="T23" i="3" s="1"/>
  <c r="S23" i="3" a="1"/>
  <c r="S23" i="3" s="1"/>
  <c r="O23" i="3"/>
  <c r="C23" i="3" a="1"/>
  <c r="C23" i="3" s="1"/>
  <c r="AB22" i="3" a="1"/>
  <c r="AB22" i="3" s="1"/>
  <c r="AA22" i="3" a="1"/>
  <c r="AA22" i="3" s="1"/>
  <c r="Z22" i="3" a="1"/>
  <c r="Z22" i="3" s="1"/>
  <c r="Y22" i="3" a="1"/>
  <c r="Y22" i="3" s="1"/>
  <c r="X22" i="3" a="1"/>
  <c r="X22" i="3" s="1"/>
  <c r="W22" i="3" a="1"/>
  <c r="W22" i="3" s="1"/>
  <c r="V22" i="3" a="1"/>
  <c r="V22" i="3" s="1"/>
  <c r="U22" i="3" a="1"/>
  <c r="U22" i="3" s="1"/>
  <c r="T22" i="3" a="1"/>
  <c r="T22" i="3" s="1"/>
  <c r="S22" i="3" a="1"/>
  <c r="S22" i="3" s="1"/>
  <c r="O22" i="3"/>
  <c r="C22" i="3" a="1"/>
  <c r="C22" i="3" s="1"/>
  <c r="AB21" i="3" a="1"/>
  <c r="AB21" i="3" s="1"/>
  <c r="AA21" i="3" a="1"/>
  <c r="AA21" i="3" s="1"/>
  <c r="Z21" i="3" a="1"/>
  <c r="Z21" i="3" s="1"/>
  <c r="Y21" i="3" a="1"/>
  <c r="Y21" i="3" s="1"/>
  <c r="X21" i="3" a="1"/>
  <c r="X21" i="3" s="1"/>
  <c r="W21" i="3" a="1"/>
  <c r="W21" i="3" s="1"/>
  <c r="V21" i="3" a="1"/>
  <c r="V21" i="3" s="1"/>
  <c r="U21" i="3" a="1"/>
  <c r="U21" i="3" s="1"/>
  <c r="T21" i="3" a="1"/>
  <c r="T21" i="3" s="1"/>
  <c r="S21" i="3" a="1"/>
  <c r="S21" i="3" s="1"/>
  <c r="O21" i="3"/>
  <c r="C21" i="3" a="1"/>
  <c r="C21" i="3" s="1"/>
  <c r="AB20" i="3" a="1"/>
  <c r="AB20" i="3" s="1"/>
  <c r="AA20" i="3" a="1"/>
  <c r="AA20" i="3" s="1"/>
  <c r="Z20" i="3" a="1"/>
  <c r="Z20" i="3" s="1"/>
  <c r="Y20" i="3" a="1"/>
  <c r="Y20" i="3" s="1"/>
  <c r="X20" i="3" a="1"/>
  <c r="X20" i="3" s="1"/>
  <c r="W20" i="3" a="1"/>
  <c r="W20" i="3" s="1"/>
  <c r="V20" i="3" a="1"/>
  <c r="V20" i="3" s="1"/>
  <c r="U20" i="3" a="1"/>
  <c r="U20" i="3" s="1"/>
  <c r="T20" i="3" a="1"/>
  <c r="T20" i="3" s="1"/>
  <c r="S20" i="3" a="1"/>
  <c r="S20" i="3" s="1"/>
  <c r="O20" i="3"/>
  <c r="C20" i="3" a="1"/>
  <c r="C20" i="3" s="1"/>
  <c r="AB19" i="3" a="1"/>
  <c r="AB19" i="3" s="1"/>
  <c r="AA19" i="3" a="1"/>
  <c r="AA19" i="3" s="1"/>
  <c r="Z19" i="3" a="1"/>
  <c r="Z19" i="3" s="1"/>
  <c r="Y19" i="3" a="1"/>
  <c r="Y19" i="3" s="1"/>
  <c r="X19" i="3" a="1"/>
  <c r="X19" i="3" s="1"/>
  <c r="W19" i="3" a="1"/>
  <c r="W19" i="3" s="1"/>
  <c r="V19" i="3" a="1"/>
  <c r="V19" i="3" s="1"/>
  <c r="U19" i="3" a="1"/>
  <c r="U19" i="3" s="1"/>
  <c r="T19" i="3" a="1"/>
  <c r="T19" i="3" s="1"/>
  <c r="S19" i="3" a="1"/>
  <c r="S19" i="3" s="1"/>
  <c r="O19" i="3"/>
  <c r="L19" i="3"/>
  <c r="M19" i="3" s="1"/>
  <c r="C19" i="3" a="1"/>
  <c r="C19" i="3" s="1"/>
  <c r="AB18" i="3" a="1"/>
  <c r="AB18" i="3" s="1"/>
  <c r="AA18" i="3" a="1"/>
  <c r="AA18" i="3" s="1"/>
  <c r="Z18" i="3" a="1"/>
  <c r="Z18" i="3" s="1"/>
  <c r="Y18" i="3" a="1"/>
  <c r="Y18" i="3" s="1"/>
  <c r="X18" i="3" a="1"/>
  <c r="X18" i="3" s="1"/>
  <c r="W18" i="3" a="1"/>
  <c r="W18" i="3" s="1"/>
  <c r="V18" i="3" a="1"/>
  <c r="V18" i="3" s="1"/>
  <c r="U18" i="3" a="1"/>
  <c r="U18" i="3" s="1"/>
  <c r="T18" i="3" a="1"/>
  <c r="T18" i="3" s="1"/>
  <c r="S18" i="3" a="1"/>
  <c r="S18" i="3" s="1"/>
  <c r="O18" i="3"/>
  <c r="C18" i="3" a="1"/>
  <c r="C18" i="3" s="1"/>
  <c r="AB17" i="3" a="1"/>
  <c r="AB17" i="3" s="1"/>
  <c r="AA17" i="3" a="1"/>
  <c r="AA17" i="3" s="1"/>
  <c r="Z17" i="3" a="1"/>
  <c r="Z17" i="3" s="1"/>
  <c r="Y17" i="3" a="1"/>
  <c r="Y17" i="3" s="1"/>
  <c r="X17" i="3" a="1"/>
  <c r="X17" i="3" s="1"/>
  <c r="W17" i="3" a="1"/>
  <c r="W17" i="3" s="1"/>
  <c r="V17" i="3" a="1"/>
  <c r="V17" i="3" s="1"/>
  <c r="U17" i="3" a="1"/>
  <c r="U17" i="3" s="1"/>
  <c r="T17" i="3" a="1"/>
  <c r="T17" i="3" s="1"/>
  <c r="S17" i="3" a="1"/>
  <c r="S17" i="3" s="1"/>
  <c r="O17" i="3"/>
  <c r="C17" i="3" a="1"/>
  <c r="C17" i="3"/>
  <c r="AB16" i="3" a="1"/>
  <c r="AB16" i="3" s="1"/>
  <c r="AA16" i="3" a="1"/>
  <c r="AA16" i="3" s="1"/>
  <c r="Z16" i="3" a="1"/>
  <c r="Z16" i="3" s="1"/>
  <c r="Y16" i="3" a="1"/>
  <c r="Y16" i="3" s="1"/>
  <c r="X16" i="3" a="1"/>
  <c r="X16" i="3" s="1"/>
  <c r="W16" i="3" a="1"/>
  <c r="W16" i="3" s="1"/>
  <c r="V16" i="3" a="1"/>
  <c r="V16" i="3" s="1"/>
  <c r="U16" i="3" a="1"/>
  <c r="U16" i="3" s="1"/>
  <c r="T16" i="3" a="1"/>
  <c r="T16" i="3" s="1"/>
  <c r="S16" i="3" a="1"/>
  <c r="S16" i="3" s="1"/>
  <c r="O16" i="3"/>
  <c r="C16" i="3" a="1"/>
  <c r="C16" i="3" s="1"/>
  <c r="AB15" i="3" a="1"/>
  <c r="AB15" i="3" s="1"/>
  <c r="AA15" i="3" a="1"/>
  <c r="AA15" i="3" s="1"/>
  <c r="Z15" i="3" a="1"/>
  <c r="Z15" i="3" s="1"/>
  <c r="Y15" i="3" a="1"/>
  <c r="Y15" i="3" s="1"/>
  <c r="X15" i="3" a="1"/>
  <c r="X15" i="3" s="1"/>
  <c r="W15" i="3" a="1"/>
  <c r="W15" i="3" s="1"/>
  <c r="V15" i="3" a="1"/>
  <c r="V15" i="3" s="1"/>
  <c r="U15" i="3" a="1"/>
  <c r="U15" i="3" s="1"/>
  <c r="T15" i="3" a="1"/>
  <c r="T15" i="3" s="1"/>
  <c r="S15" i="3" a="1"/>
  <c r="S15" i="3" s="1"/>
  <c r="O15" i="3"/>
  <c r="C15" i="3" a="1"/>
  <c r="C15" i="3" s="1"/>
  <c r="AB14" i="3" a="1"/>
  <c r="AB14" i="3" s="1"/>
  <c r="AA14" i="3" a="1"/>
  <c r="AA14" i="3" s="1"/>
  <c r="Z14" i="3" a="1"/>
  <c r="Z14" i="3" s="1"/>
  <c r="Y14" i="3" a="1"/>
  <c r="Y14" i="3" s="1"/>
  <c r="X14" i="3" a="1"/>
  <c r="X14" i="3" s="1"/>
  <c r="W14" i="3" a="1"/>
  <c r="W14" i="3" s="1"/>
  <c r="V14" i="3" a="1"/>
  <c r="V14" i="3" s="1"/>
  <c r="U14" i="3" a="1"/>
  <c r="U14" i="3" s="1"/>
  <c r="T14" i="3" a="1"/>
  <c r="T14" i="3" s="1"/>
  <c r="S14" i="3" a="1"/>
  <c r="S14" i="3" s="1"/>
  <c r="O14" i="3"/>
  <c r="C14" i="3" a="1"/>
  <c r="C14" i="3" s="1"/>
  <c r="AB13" i="3" a="1"/>
  <c r="AB13" i="3" s="1"/>
  <c r="AA13" i="3" a="1"/>
  <c r="AA13" i="3" s="1"/>
  <c r="Z13" i="3" a="1"/>
  <c r="Z13" i="3" s="1"/>
  <c r="Y13" i="3" a="1"/>
  <c r="Y13" i="3" s="1"/>
  <c r="X13" i="3" a="1"/>
  <c r="X13" i="3" s="1"/>
  <c r="W13" i="3" a="1"/>
  <c r="W13" i="3" s="1"/>
  <c r="V13" i="3" a="1"/>
  <c r="V13" i="3" s="1"/>
  <c r="U13" i="3" a="1"/>
  <c r="U13" i="3" s="1"/>
  <c r="T13" i="3" a="1"/>
  <c r="T13" i="3" s="1"/>
  <c r="S13" i="3" a="1"/>
  <c r="S13" i="3" s="1"/>
  <c r="O13" i="3"/>
  <c r="C13" i="3" a="1"/>
  <c r="C13" i="3" s="1"/>
  <c r="AB12" i="3" a="1"/>
  <c r="AB12" i="3" s="1"/>
  <c r="AA12" i="3" a="1"/>
  <c r="AA12" i="3" s="1"/>
  <c r="Z12" i="3" a="1"/>
  <c r="Z12" i="3" s="1"/>
  <c r="Y12" i="3" a="1"/>
  <c r="Y12" i="3" s="1"/>
  <c r="X12" i="3" a="1"/>
  <c r="X12" i="3" s="1"/>
  <c r="W12" i="3" a="1"/>
  <c r="W12" i="3" s="1"/>
  <c r="V12" i="3" a="1"/>
  <c r="V12" i="3" s="1"/>
  <c r="U12" i="3" a="1"/>
  <c r="U12" i="3" s="1"/>
  <c r="T12" i="3" a="1"/>
  <c r="T12" i="3" s="1"/>
  <c r="S12" i="3" a="1"/>
  <c r="S12" i="3" s="1"/>
  <c r="O12" i="3"/>
  <c r="C12" i="3" a="1"/>
  <c r="C12" i="3" s="1"/>
  <c r="AB11" i="3" a="1"/>
  <c r="AB11" i="3" s="1"/>
  <c r="AA11" i="3" a="1"/>
  <c r="AA11" i="3" s="1"/>
  <c r="Z11" i="3" a="1"/>
  <c r="Z11" i="3" s="1"/>
  <c r="Y11" i="3" a="1"/>
  <c r="Y11" i="3" s="1"/>
  <c r="X11" i="3" a="1"/>
  <c r="X11" i="3" s="1"/>
  <c r="W11" i="3" a="1"/>
  <c r="W11" i="3" s="1"/>
  <c r="V11" i="3" a="1"/>
  <c r="V11" i="3" s="1"/>
  <c r="U11" i="3" a="1"/>
  <c r="U11" i="3" s="1"/>
  <c r="T11" i="3" a="1"/>
  <c r="T11" i="3" s="1"/>
  <c r="S11" i="3" a="1"/>
  <c r="S11" i="3" s="1"/>
  <c r="O11" i="3"/>
  <c r="C11" i="3" a="1"/>
  <c r="C11" i="3" s="1"/>
  <c r="AB10" i="3" a="1"/>
  <c r="AB10" i="3" s="1"/>
  <c r="AA10" i="3" a="1"/>
  <c r="AA10" i="3" s="1"/>
  <c r="Z10" i="3" a="1"/>
  <c r="Z10" i="3" s="1"/>
  <c r="Y10" i="3" a="1"/>
  <c r="Y10" i="3" s="1"/>
  <c r="X10" i="3" a="1"/>
  <c r="X10" i="3" s="1"/>
  <c r="W10" i="3" a="1"/>
  <c r="W10" i="3" s="1"/>
  <c r="V10" i="3" a="1"/>
  <c r="V10" i="3" s="1"/>
  <c r="U10" i="3" a="1"/>
  <c r="U10" i="3" s="1"/>
  <c r="T10" i="3" a="1"/>
  <c r="T10" i="3" s="1"/>
  <c r="S10" i="3" a="1"/>
  <c r="S10" i="3" s="1"/>
  <c r="O10" i="3"/>
  <c r="C10" i="3" a="1"/>
  <c r="C10" i="3" s="1"/>
  <c r="AB9" i="3" a="1"/>
  <c r="AB9" i="3" s="1"/>
  <c r="AA9" i="3" a="1"/>
  <c r="AA9" i="3" s="1"/>
  <c r="Z9" i="3" a="1"/>
  <c r="Z9" i="3" s="1"/>
  <c r="Y9" i="3" a="1"/>
  <c r="Y9" i="3" s="1"/>
  <c r="X9" i="3" a="1"/>
  <c r="X9" i="3" s="1"/>
  <c r="W9" i="3" a="1"/>
  <c r="W9" i="3" s="1"/>
  <c r="V9" i="3" a="1"/>
  <c r="V9" i="3" s="1"/>
  <c r="U9" i="3" a="1"/>
  <c r="U9" i="3" s="1"/>
  <c r="T9" i="3" a="1"/>
  <c r="T9" i="3" s="1"/>
  <c r="S9" i="3" a="1"/>
  <c r="S9" i="3" s="1"/>
  <c r="O9" i="3"/>
  <c r="C9" i="3" a="1"/>
  <c r="C9" i="3" s="1"/>
  <c r="AB8" i="3" a="1"/>
  <c r="AB8" i="3" s="1"/>
  <c r="AA8" i="3" a="1"/>
  <c r="AA8" i="3" s="1"/>
  <c r="Z8" i="3" a="1"/>
  <c r="Z8" i="3" s="1"/>
  <c r="Y8" i="3" a="1"/>
  <c r="Y8" i="3" s="1"/>
  <c r="X8" i="3" a="1"/>
  <c r="X8" i="3" s="1"/>
  <c r="W8" i="3" a="1"/>
  <c r="W8" i="3" s="1"/>
  <c r="V8" i="3" a="1"/>
  <c r="V8" i="3" s="1"/>
  <c r="U8" i="3" a="1"/>
  <c r="U8" i="3" s="1"/>
  <c r="T8" i="3" a="1"/>
  <c r="T8" i="3" s="1"/>
  <c r="S8" i="3" a="1"/>
  <c r="S8" i="3" s="1"/>
  <c r="O8" i="3"/>
  <c r="C8" i="3" a="1"/>
  <c r="C8" i="3" s="1"/>
  <c r="AX45" i="2" a="1"/>
  <c r="AX45" i="2" s="1"/>
  <c r="AW45" i="2" a="1"/>
  <c r="AW45" i="2" s="1"/>
  <c r="AV45" i="2" a="1"/>
  <c r="AV45" i="2" s="1"/>
  <c r="AU45" i="2" a="1"/>
  <c r="AU45" i="2" s="1"/>
  <c r="AT45" i="2" a="1"/>
  <c r="AT45" i="2" s="1"/>
  <c r="AS45" i="2" a="1"/>
  <c r="AS45" i="2" s="1"/>
  <c r="AR45" i="2" a="1"/>
  <c r="AR45" i="2" s="1"/>
  <c r="AQ45" i="2" a="1"/>
  <c r="AQ45" i="2" s="1"/>
  <c r="AK45" i="2"/>
  <c r="Z45" i="2"/>
  <c r="AB45" i="2" s="1"/>
  <c r="AC45" i="2" s="1"/>
  <c r="Y45" i="2"/>
  <c r="C45" i="2" a="1"/>
  <c r="C45" i="2" s="1"/>
  <c r="AX44" i="2" a="1"/>
  <c r="AX44" i="2" s="1"/>
  <c r="AW44" i="2" a="1"/>
  <c r="AW44" i="2" s="1"/>
  <c r="AV44" i="2" a="1"/>
  <c r="AV44" i="2" s="1"/>
  <c r="AU44" i="2" a="1"/>
  <c r="AU44" i="2" s="1"/>
  <c r="AT44" i="2" a="1"/>
  <c r="AT44" i="2" s="1"/>
  <c r="AS44" i="2" a="1"/>
  <c r="AS44" i="2" s="1"/>
  <c r="AR44" i="2" a="1"/>
  <c r="AR44" i="2" s="1"/>
  <c r="AQ44" i="2" a="1"/>
  <c r="AQ44" i="2" s="1"/>
  <c r="AK44" i="2"/>
  <c r="Z44" i="2"/>
  <c r="AB44" i="2" s="1"/>
  <c r="AC44" i="2" s="1"/>
  <c r="Y44" i="2"/>
  <c r="C44" i="2" a="1"/>
  <c r="C44" i="2" s="1"/>
  <c r="AX43" i="2" a="1"/>
  <c r="AX43" i="2" s="1"/>
  <c r="AW43" i="2" a="1"/>
  <c r="AW43" i="2" s="1"/>
  <c r="AV43" i="2" a="1"/>
  <c r="AV43" i="2" s="1"/>
  <c r="AU43" i="2" a="1"/>
  <c r="AU43" i="2" s="1"/>
  <c r="AT43" i="2" a="1"/>
  <c r="AT43" i="2" s="1"/>
  <c r="AS43" i="2" a="1"/>
  <c r="AS43" i="2" s="1"/>
  <c r="AR43" i="2" a="1"/>
  <c r="AR43" i="2" s="1"/>
  <c r="AQ43" i="2" a="1"/>
  <c r="AQ43" i="2" s="1"/>
  <c r="AK43" i="2"/>
  <c r="AB43" i="2"/>
  <c r="AC43" i="2" s="1"/>
  <c r="Z43" i="2"/>
  <c r="Y43" i="2"/>
  <c r="C43" i="2" a="1"/>
  <c r="C43" i="2"/>
  <c r="AX42" i="2" a="1"/>
  <c r="AX42" i="2" s="1"/>
  <c r="AW42" i="2" a="1"/>
  <c r="AW42" i="2" s="1"/>
  <c r="AV42" i="2" a="1"/>
  <c r="AV42" i="2" s="1"/>
  <c r="AU42" i="2" a="1"/>
  <c r="AU42" i="2" s="1"/>
  <c r="AT42" i="2" a="1"/>
  <c r="AT42" i="2" s="1"/>
  <c r="AS42" i="2" a="1"/>
  <c r="AS42" i="2" s="1"/>
  <c r="AR42" i="2" a="1"/>
  <c r="AR42" i="2" s="1"/>
  <c r="AQ42" i="2" a="1"/>
  <c r="AQ42" i="2" s="1"/>
  <c r="AP42" i="2" a="1"/>
  <c r="AP42" i="2" s="1"/>
  <c r="AO42" i="2" a="1"/>
  <c r="AO42" i="2" s="1"/>
  <c r="AK42" i="2"/>
  <c r="Z42" i="2"/>
  <c r="AB42" i="2" s="1"/>
  <c r="AC42" i="2" s="1"/>
  <c r="Y42" i="2"/>
  <c r="C42" i="2" a="1"/>
  <c r="C42" i="2" s="1"/>
  <c r="AX41" i="2" a="1"/>
  <c r="AX41" i="2" s="1"/>
  <c r="AW41" i="2" a="1"/>
  <c r="AW41" i="2" s="1"/>
  <c r="AV41" i="2" a="1"/>
  <c r="AV41" i="2" s="1"/>
  <c r="AU41" i="2" a="1"/>
  <c r="AU41" i="2" s="1"/>
  <c r="AT41" i="2" a="1"/>
  <c r="AT41" i="2" s="1"/>
  <c r="AS41" i="2" a="1"/>
  <c r="AS41" i="2" s="1"/>
  <c r="AR41" i="2" a="1"/>
  <c r="AR41" i="2" s="1"/>
  <c r="AQ41" i="2" a="1"/>
  <c r="AQ41" i="2" s="1"/>
  <c r="AP41" i="2" a="1"/>
  <c r="AP41" i="2" s="1"/>
  <c r="AO41" i="2" a="1"/>
  <c r="AO41" i="2" s="1"/>
  <c r="AK41" i="2"/>
  <c r="Z41" i="2"/>
  <c r="AB41" i="2" s="1"/>
  <c r="AC41" i="2" s="1"/>
  <c r="Y41" i="2"/>
  <c r="C41" i="2" a="1"/>
  <c r="C41" i="2" s="1"/>
  <c r="AX40" i="2" a="1"/>
  <c r="AX40" i="2" s="1"/>
  <c r="AW40" i="2" a="1"/>
  <c r="AW40" i="2" s="1"/>
  <c r="AV40" i="2" a="1"/>
  <c r="AV40" i="2" s="1"/>
  <c r="AU40" i="2" a="1"/>
  <c r="AU40" i="2" s="1"/>
  <c r="AT40" i="2" a="1"/>
  <c r="AT40" i="2" s="1"/>
  <c r="AS40" i="2" a="1"/>
  <c r="AS40" i="2" s="1"/>
  <c r="AR40" i="2" a="1"/>
  <c r="AR40" i="2" s="1"/>
  <c r="AQ40" i="2" a="1"/>
  <c r="AQ40" i="2" s="1"/>
  <c r="AP40" i="2" a="1"/>
  <c r="AP40" i="2" s="1"/>
  <c r="AO40" i="2" a="1"/>
  <c r="AO40" i="2" s="1"/>
  <c r="AK40" i="2"/>
  <c r="Z40" i="2"/>
  <c r="AB40" i="2" s="1"/>
  <c r="AC40" i="2" s="1"/>
  <c r="Y40" i="2"/>
  <c r="C40" i="2" a="1"/>
  <c r="C40" i="2" s="1"/>
  <c r="AX39" i="2" a="1"/>
  <c r="AX39" i="2" s="1"/>
  <c r="AW39" i="2" a="1"/>
  <c r="AW39" i="2" s="1"/>
  <c r="AV39" i="2" a="1"/>
  <c r="AV39" i="2" s="1"/>
  <c r="AU39" i="2" a="1"/>
  <c r="AU39" i="2" s="1"/>
  <c r="AT39" i="2" a="1"/>
  <c r="AT39" i="2" s="1"/>
  <c r="AS39" i="2" a="1"/>
  <c r="AS39" i="2" s="1"/>
  <c r="AR39" i="2" a="1"/>
  <c r="AR39" i="2" s="1"/>
  <c r="AQ39" i="2" a="1"/>
  <c r="AQ39" i="2" s="1"/>
  <c r="AP39" i="2" a="1"/>
  <c r="AP39" i="2" s="1"/>
  <c r="AO39" i="2" a="1"/>
  <c r="AO39" i="2" s="1"/>
  <c r="AK39" i="2"/>
  <c r="Z39" i="2"/>
  <c r="AB39" i="2" s="1"/>
  <c r="AC39" i="2" s="1"/>
  <c r="Y39" i="2"/>
  <c r="C39" i="2" a="1"/>
  <c r="C39" i="2" s="1"/>
  <c r="AX38" i="2" a="1"/>
  <c r="AX38" i="2" s="1"/>
  <c r="AW38" i="2" a="1"/>
  <c r="AW38" i="2" s="1"/>
  <c r="AV38" i="2" a="1"/>
  <c r="AV38" i="2" s="1"/>
  <c r="AU38" i="2" a="1"/>
  <c r="AU38" i="2" s="1"/>
  <c r="AT38" i="2" a="1"/>
  <c r="AT38" i="2" s="1"/>
  <c r="AS38" i="2" a="1"/>
  <c r="AS38" i="2" s="1"/>
  <c r="AR38" i="2" a="1"/>
  <c r="AR38" i="2" s="1"/>
  <c r="AQ38" i="2" a="1"/>
  <c r="AQ38" i="2" s="1"/>
  <c r="AP38" i="2" a="1"/>
  <c r="AP38" i="2" s="1"/>
  <c r="AO38" i="2" a="1"/>
  <c r="AO38" i="2" s="1"/>
  <c r="AK38" i="2"/>
  <c r="Z38" i="2"/>
  <c r="AB38" i="2" s="1"/>
  <c r="AC38" i="2" s="1"/>
  <c r="Y38" i="2"/>
  <c r="C38" i="2" a="1"/>
  <c r="C38" i="2" s="1"/>
  <c r="AX37" i="2" a="1"/>
  <c r="AX37" i="2" s="1"/>
  <c r="AW37" i="2" a="1"/>
  <c r="AW37" i="2" s="1"/>
  <c r="AV37" i="2" a="1"/>
  <c r="AV37" i="2" s="1"/>
  <c r="AU37" i="2" a="1"/>
  <c r="AU37" i="2" s="1"/>
  <c r="AT37" i="2" a="1"/>
  <c r="AT37" i="2" s="1"/>
  <c r="AS37" i="2" a="1"/>
  <c r="AS37" i="2" s="1"/>
  <c r="AR37" i="2" a="1"/>
  <c r="AR37" i="2" s="1"/>
  <c r="AQ37" i="2" a="1"/>
  <c r="AQ37" i="2" s="1"/>
  <c r="AP37" i="2" a="1"/>
  <c r="AP37" i="2" s="1"/>
  <c r="AO37" i="2" a="1"/>
  <c r="AO37" i="2" s="1"/>
  <c r="AK37" i="2"/>
  <c r="Z37" i="2"/>
  <c r="AB37" i="2" s="1"/>
  <c r="AC37" i="2" s="1"/>
  <c r="Y37" i="2"/>
  <c r="V37" i="2"/>
  <c r="W37" i="2" s="1"/>
  <c r="S37" i="2"/>
  <c r="O37" i="2"/>
  <c r="P37" i="2" s="1"/>
  <c r="L37" i="2"/>
  <c r="F37" i="2"/>
  <c r="H37" i="2" s="1"/>
  <c r="I37" i="2" s="1"/>
  <c r="E37" i="2"/>
  <c r="C37" i="2" a="1"/>
  <c r="C37" i="2"/>
  <c r="AX36" i="2" a="1"/>
  <c r="AX36" i="2" s="1"/>
  <c r="AW36" i="2" a="1"/>
  <c r="AW36" i="2" s="1"/>
  <c r="AV36" i="2" a="1"/>
  <c r="AV36" i="2" s="1"/>
  <c r="AU36" i="2" a="1"/>
  <c r="AU36" i="2" s="1"/>
  <c r="AT36" i="2" a="1"/>
  <c r="AT36" i="2" s="1"/>
  <c r="AS36" i="2" a="1"/>
  <c r="AS36" i="2" s="1"/>
  <c r="AR36" i="2" a="1"/>
  <c r="AR36" i="2" s="1"/>
  <c r="AQ36" i="2" a="1"/>
  <c r="AQ36" i="2" s="1"/>
  <c r="AP36" i="2" a="1"/>
  <c r="AP36" i="2" s="1"/>
  <c r="AO36" i="2" a="1"/>
  <c r="AO36" i="2" s="1"/>
  <c r="AK36" i="2"/>
  <c r="Z36" i="2"/>
  <c r="AB36" i="2" s="1"/>
  <c r="AC36" i="2" s="1"/>
  <c r="Y36" i="2"/>
  <c r="C36" i="2" a="1"/>
  <c r="C36" i="2" s="1"/>
  <c r="AX35" i="2" a="1"/>
  <c r="AX35" i="2" s="1"/>
  <c r="AW35" i="2" a="1"/>
  <c r="AW35" i="2" s="1"/>
  <c r="AV35" i="2" a="1"/>
  <c r="AV35" i="2" s="1"/>
  <c r="AU35" i="2" a="1"/>
  <c r="AU35" i="2" s="1"/>
  <c r="AT35" i="2" a="1"/>
  <c r="AT35" i="2" s="1"/>
  <c r="AS35" i="2" a="1"/>
  <c r="AS35" i="2" s="1"/>
  <c r="AR35" i="2" a="1"/>
  <c r="AR35" i="2" s="1"/>
  <c r="AQ35" i="2" a="1"/>
  <c r="AQ35" i="2" s="1"/>
  <c r="AP35" i="2" a="1"/>
  <c r="AP35" i="2" s="1"/>
  <c r="AO35" i="2" a="1"/>
  <c r="AO35" i="2" s="1"/>
  <c r="AK35" i="2"/>
  <c r="Z35" i="2"/>
  <c r="AB35" i="2" s="1"/>
  <c r="AC35" i="2" s="1"/>
  <c r="Y35" i="2"/>
  <c r="C35" i="2" a="1"/>
  <c r="C35" i="2" s="1"/>
  <c r="AX34" i="2" a="1"/>
  <c r="AX34" i="2" s="1"/>
  <c r="AW34" i="2" a="1"/>
  <c r="AW34" i="2" s="1"/>
  <c r="AV34" i="2" a="1"/>
  <c r="AV34" i="2" s="1"/>
  <c r="AU34" i="2" a="1"/>
  <c r="AU34" i="2" s="1"/>
  <c r="AT34" i="2" a="1"/>
  <c r="AT34" i="2" s="1"/>
  <c r="AS34" i="2" a="1"/>
  <c r="AS34" i="2" s="1"/>
  <c r="AR34" i="2" a="1"/>
  <c r="AR34" i="2" s="1"/>
  <c r="AQ34" i="2" a="1"/>
  <c r="AQ34" i="2" s="1"/>
  <c r="AP34" i="2" a="1"/>
  <c r="AP34" i="2" s="1"/>
  <c r="AO34" i="2" a="1"/>
  <c r="AO34" i="2" s="1"/>
  <c r="AK34" i="2"/>
  <c r="Z34" i="2"/>
  <c r="AB34" i="2" s="1"/>
  <c r="AC34" i="2" s="1"/>
  <c r="Y34" i="2"/>
  <c r="O34" i="2"/>
  <c r="P34" i="2" s="1"/>
  <c r="L34" i="2"/>
  <c r="H34" i="2"/>
  <c r="I34" i="2" s="1"/>
  <c r="E34" i="2"/>
  <c r="C34" i="2" a="1"/>
  <c r="C34" i="2"/>
  <c r="AX33" i="2" a="1"/>
  <c r="AX33" i="2" s="1"/>
  <c r="AW33" i="2" a="1"/>
  <c r="AW33" i="2" s="1"/>
  <c r="AV33" i="2" a="1"/>
  <c r="AV33" i="2" s="1"/>
  <c r="AU33" i="2" a="1"/>
  <c r="AU33" i="2" s="1"/>
  <c r="AT33" i="2" a="1"/>
  <c r="AT33" i="2" s="1"/>
  <c r="AS33" i="2" a="1"/>
  <c r="AS33" i="2" s="1"/>
  <c r="AR33" i="2" a="1"/>
  <c r="AR33" i="2" s="1"/>
  <c r="AQ33" i="2" a="1"/>
  <c r="AQ33" i="2" s="1"/>
  <c r="AP33" i="2" a="1"/>
  <c r="AP33" i="2" s="1"/>
  <c r="AO33" i="2" a="1"/>
  <c r="AO33" i="2" s="1"/>
  <c r="AK33" i="2"/>
  <c r="Z33" i="2"/>
  <c r="AB33" i="2" s="1"/>
  <c r="AC33" i="2" s="1"/>
  <c r="Y33" i="2"/>
  <c r="C33" i="2" a="1"/>
  <c r="C33" i="2" s="1"/>
  <c r="AX32" i="2" a="1"/>
  <c r="AX32" i="2" s="1"/>
  <c r="AW32" i="2" a="1"/>
  <c r="AW32" i="2" s="1"/>
  <c r="AV32" i="2" a="1"/>
  <c r="AV32" i="2" s="1"/>
  <c r="AU32" i="2" a="1"/>
  <c r="AU32" i="2" s="1"/>
  <c r="AT32" i="2" a="1"/>
  <c r="AT32" i="2" s="1"/>
  <c r="AS32" i="2" a="1"/>
  <c r="AS32" i="2" s="1"/>
  <c r="AR32" i="2" a="1"/>
  <c r="AR32" i="2" s="1"/>
  <c r="AQ32" i="2" a="1"/>
  <c r="AQ32" i="2" s="1"/>
  <c r="AP32" i="2" a="1"/>
  <c r="AP32" i="2" s="1"/>
  <c r="AO32" i="2" a="1"/>
  <c r="AO32" i="2" s="1"/>
  <c r="AK32" i="2"/>
  <c r="Z32" i="2"/>
  <c r="AB32" i="2" s="1"/>
  <c r="AC32" i="2" s="1"/>
  <c r="Y32" i="2"/>
  <c r="C32" i="2" a="1"/>
  <c r="C32" i="2" s="1"/>
  <c r="AX31" i="2" a="1"/>
  <c r="AX31" i="2" s="1"/>
  <c r="AW31" i="2" a="1"/>
  <c r="AW31" i="2" s="1"/>
  <c r="AV31" i="2" a="1"/>
  <c r="AV31" i="2" s="1"/>
  <c r="AU31" i="2" a="1"/>
  <c r="AU31" i="2" s="1"/>
  <c r="AT31" i="2" a="1"/>
  <c r="AT31" i="2" s="1"/>
  <c r="AS31" i="2" a="1"/>
  <c r="AS31" i="2" s="1"/>
  <c r="AR31" i="2" a="1"/>
  <c r="AR31" i="2" s="1"/>
  <c r="AQ31" i="2" a="1"/>
  <c r="AQ31" i="2" s="1"/>
  <c r="AP31" i="2" a="1"/>
  <c r="AP31" i="2" s="1"/>
  <c r="AO31" i="2" a="1"/>
  <c r="AO31" i="2" s="1"/>
  <c r="AK31" i="2"/>
  <c r="Z31" i="2"/>
  <c r="AB31" i="2" s="1"/>
  <c r="AC31" i="2" s="1"/>
  <c r="Y31" i="2"/>
  <c r="C31" i="2" a="1"/>
  <c r="C31" i="2" s="1"/>
  <c r="AX30" i="2" a="1"/>
  <c r="AX30" i="2" s="1"/>
  <c r="AW30" i="2" a="1"/>
  <c r="AW30" i="2" s="1"/>
  <c r="AV30" i="2" a="1"/>
  <c r="AV30" i="2" s="1"/>
  <c r="AU30" i="2" a="1"/>
  <c r="AU30" i="2" s="1"/>
  <c r="AT30" i="2" a="1"/>
  <c r="AT30" i="2" s="1"/>
  <c r="AS30" i="2" a="1"/>
  <c r="AS30" i="2" s="1"/>
  <c r="AR30" i="2" a="1"/>
  <c r="AR30" i="2" s="1"/>
  <c r="AQ30" i="2" a="1"/>
  <c r="AQ30" i="2" s="1"/>
  <c r="AP30" i="2" a="1"/>
  <c r="AP30" i="2" s="1"/>
  <c r="AO30" i="2" a="1"/>
  <c r="AO30" i="2" s="1"/>
  <c r="AK30" i="2"/>
  <c r="Z30" i="2"/>
  <c r="AB30" i="2" s="1"/>
  <c r="AC30" i="2" s="1"/>
  <c r="Y30" i="2"/>
  <c r="C30" i="2" a="1"/>
  <c r="C30" i="2" s="1"/>
  <c r="AX29" i="2" a="1"/>
  <c r="AX29" i="2" s="1"/>
  <c r="AW29" i="2" a="1"/>
  <c r="AW29" i="2" s="1"/>
  <c r="AV29" i="2" a="1"/>
  <c r="AV29" i="2" s="1"/>
  <c r="AU29" i="2" a="1"/>
  <c r="AU29" i="2" s="1"/>
  <c r="AT29" i="2" a="1"/>
  <c r="AT29" i="2" s="1"/>
  <c r="AS29" i="2" a="1"/>
  <c r="AS29" i="2" s="1"/>
  <c r="AR29" i="2" a="1"/>
  <c r="AR29" i="2" s="1"/>
  <c r="AQ29" i="2" a="1"/>
  <c r="AQ29" i="2" s="1"/>
  <c r="AP29" i="2" a="1"/>
  <c r="AP29" i="2" s="1"/>
  <c r="AO29" i="2" a="1"/>
  <c r="AO29" i="2" s="1"/>
  <c r="AK29" i="2"/>
  <c r="Z29" i="2"/>
  <c r="AB29" i="2" s="1"/>
  <c r="AC29" i="2" s="1"/>
  <c r="Y29" i="2"/>
  <c r="C29" i="2" a="1"/>
  <c r="C29" i="2" s="1"/>
  <c r="AX28" i="2" a="1"/>
  <c r="AX28" i="2" s="1"/>
  <c r="AW28" i="2" a="1"/>
  <c r="AW28" i="2" s="1"/>
  <c r="AV28" i="2" a="1"/>
  <c r="AV28" i="2" s="1"/>
  <c r="AU28" i="2" a="1"/>
  <c r="AU28" i="2" s="1"/>
  <c r="AT28" i="2" a="1"/>
  <c r="AT28" i="2" s="1"/>
  <c r="AS28" i="2" a="1"/>
  <c r="AS28" i="2" s="1"/>
  <c r="AR28" i="2" a="1"/>
  <c r="AR28" i="2" s="1"/>
  <c r="AQ28" i="2" a="1"/>
  <c r="AQ28" i="2" s="1"/>
  <c r="AP28" i="2" a="1"/>
  <c r="AP28" i="2" s="1"/>
  <c r="AO28" i="2" a="1"/>
  <c r="AO28" i="2" s="1"/>
  <c r="AK28" i="2"/>
  <c r="Z28" i="2"/>
  <c r="AB28" i="2" s="1"/>
  <c r="AC28" i="2" s="1"/>
  <c r="Y28" i="2"/>
  <c r="C28" i="2" a="1"/>
  <c r="C28" i="2" s="1"/>
  <c r="AX27" i="2" a="1"/>
  <c r="AX27" i="2" s="1"/>
  <c r="AW27" i="2" a="1"/>
  <c r="AW27" i="2" s="1"/>
  <c r="AV27" i="2" a="1"/>
  <c r="AV27" i="2" s="1"/>
  <c r="AU27" i="2" a="1"/>
  <c r="AU27" i="2" s="1"/>
  <c r="AT27" i="2" a="1"/>
  <c r="AT27" i="2" s="1"/>
  <c r="AS27" i="2" a="1"/>
  <c r="AS27" i="2" s="1"/>
  <c r="AR27" i="2" a="1"/>
  <c r="AR27" i="2" s="1"/>
  <c r="AQ27" i="2" a="1"/>
  <c r="AQ27" i="2" s="1"/>
  <c r="AP27" i="2" a="1"/>
  <c r="AP27" i="2" s="1"/>
  <c r="AO27" i="2" a="1"/>
  <c r="AO27" i="2" s="1"/>
  <c r="AK27" i="2"/>
  <c r="Z27" i="2"/>
  <c r="AB27" i="2" s="1"/>
  <c r="AC27" i="2" s="1"/>
  <c r="Y27" i="2"/>
  <c r="C27" i="2" a="1"/>
  <c r="C27" i="2" s="1"/>
  <c r="AX26" i="2" a="1"/>
  <c r="AX26" i="2" s="1"/>
  <c r="AW26" i="2" a="1"/>
  <c r="AW26" i="2" s="1"/>
  <c r="AV26" i="2" a="1"/>
  <c r="AV26" i="2" s="1"/>
  <c r="AU26" i="2" a="1"/>
  <c r="AU26" i="2" s="1"/>
  <c r="AT26" i="2" a="1"/>
  <c r="AT26" i="2" s="1"/>
  <c r="AS26" i="2" a="1"/>
  <c r="AS26" i="2" s="1"/>
  <c r="AR26" i="2" a="1"/>
  <c r="AR26" i="2" s="1"/>
  <c r="AQ26" i="2" a="1"/>
  <c r="AQ26" i="2" s="1"/>
  <c r="AP26" i="2" a="1"/>
  <c r="AP26" i="2" s="1"/>
  <c r="AO26" i="2" a="1"/>
  <c r="AO26" i="2" s="1"/>
  <c r="AK26" i="2"/>
  <c r="Z26" i="2"/>
  <c r="AB26" i="2" s="1"/>
  <c r="AC26" i="2" s="1"/>
  <c r="Y26" i="2"/>
  <c r="C26" i="2" a="1"/>
  <c r="C26" i="2" s="1"/>
  <c r="AX25" i="2" a="1"/>
  <c r="AX25" i="2" s="1"/>
  <c r="AW25" i="2" a="1"/>
  <c r="AW25" i="2" s="1"/>
  <c r="AV25" i="2" a="1"/>
  <c r="AV25" i="2" s="1"/>
  <c r="AU25" i="2" a="1"/>
  <c r="AU25" i="2" s="1"/>
  <c r="AT25" i="2" a="1"/>
  <c r="AT25" i="2" s="1"/>
  <c r="AS25" i="2" a="1"/>
  <c r="AS25" i="2" s="1"/>
  <c r="AR25" i="2" a="1"/>
  <c r="AR25" i="2" s="1"/>
  <c r="AQ25" i="2" a="1"/>
  <c r="AQ25" i="2" s="1"/>
  <c r="AP25" i="2" a="1"/>
  <c r="AP25" i="2" s="1"/>
  <c r="AO25" i="2" a="1"/>
  <c r="AO25" i="2" s="1"/>
  <c r="AK25" i="2"/>
  <c r="Z25" i="2"/>
  <c r="AB25" i="2" s="1"/>
  <c r="AC25" i="2" s="1"/>
  <c r="Y25" i="2"/>
  <c r="C25" i="2" a="1"/>
  <c r="C25" i="2" s="1"/>
  <c r="AX24" i="2" a="1"/>
  <c r="AX24" i="2" s="1"/>
  <c r="AW24" i="2" a="1"/>
  <c r="AW24" i="2" s="1"/>
  <c r="AV24" i="2" a="1"/>
  <c r="AV24" i="2" s="1"/>
  <c r="AU24" i="2" a="1"/>
  <c r="AU24" i="2" s="1"/>
  <c r="AT24" i="2" a="1"/>
  <c r="AT24" i="2" s="1"/>
  <c r="AS24" i="2" a="1"/>
  <c r="AS24" i="2" s="1"/>
  <c r="AR24" i="2" a="1"/>
  <c r="AR24" i="2" s="1"/>
  <c r="AQ24" i="2" a="1"/>
  <c r="AQ24" i="2" s="1"/>
  <c r="AP24" i="2" a="1"/>
  <c r="AP24" i="2" s="1"/>
  <c r="AO24" i="2" a="1"/>
  <c r="AO24" i="2" s="1"/>
  <c r="AK24" i="2"/>
  <c r="Z24" i="2"/>
  <c r="AB24" i="2" s="1"/>
  <c r="AC24" i="2" s="1"/>
  <c r="Y24" i="2"/>
  <c r="C24" i="2" a="1"/>
  <c r="C24" i="2" s="1"/>
  <c r="AX23" i="2" a="1"/>
  <c r="AX23" i="2" s="1"/>
  <c r="AW23" i="2" a="1"/>
  <c r="AW23" i="2" s="1"/>
  <c r="AV23" i="2" a="1"/>
  <c r="AV23" i="2" s="1"/>
  <c r="AU23" i="2" a="1"/>
  <c r="AU23" i="2" s="1"/>
  <c r="AT23" i="2" a="1"/>
  <c r="AT23" i="2" s="1"/>
  <c r="AS23" i="2" a="1"/>
  <c r="AS23" i="2" s="1"/>
  <c r="AR23" i="2" a="1"/>
  <c r="AR23" i="2" s="1"/>
  <c r="AQ23" i="2" a="1"/>
  <c r="AQ23" i="2" s="1"/>
  <c r="AP23" i="2" a="1"/>
  <c r="AP23" i="2" s="1"/>
  <c r="AO23" i="2" a="1"/>
  <c r="AO23" i="2" s="1"/>
  <c r="AK23" i="2"/>
  <c r="Z23" i="2"/>
  <c r="AB23" i="2" s="1"/>
  <c r="AC23" i="2" s="1"/>
  <c r="Y23" i="2"/>
  <c r="C23" i="2" a="1"/>
  <c r="C23" i="2" s="1"/>
  <c r="AX22" i="2" a="1"/>
  <c r="AX22" i="2" s="1"/>
  <c r="AW22" i="2" a="1"/>
  <c r="AW22" i="2" s="1"/>
  <c r="AV22" i="2" a="1"/>
  <c r="AV22" i="2" s="1"/>
  <c r="AU22" i="2" a="1"/>
  <c r="AU22" i="2" s="1"/>
  <c r="AT22" i="2" a="1"/>
  <c r="AT22" i="2" s="1"/>
  <c r="AS22" i="2" a="1"/>
  <c r="AS22" i="2" s="1"/>
  <c r="AR22" i="2" a="1"/>
  <c r="AR22" i="2" s="1"/>
  <c r="AQ22" i="2" a="1"/>
  <c r="AQ22" i="2" s="1"/>
  <c r="AP22" i="2" a="1"/>
  <c r="AP22" i="2" s="1"/>
  <c r="AO22" i="2" a="1"/>
  <c r="AO22" i="2" s="1"/>
  <c r="AK22" i="2"/>
  <c r="Z22" i="2"/>
  <c r="AB22" i="2" s="1"/>
  <c r="AC22" i="2" s="1"/>
  <c r="Y22" i="2"/>
  <c r="C22" i="2" a="1"/>
  <c r="C22" i="2" s="1"/>
  <c r="AX21" i="2" a="1"/>
  <c r="AX21" i="2" s="1"/>
  <c r="AW21" i="2" a="1"/>
  <c r="AW21" i="2" s="1"/>
  <c r="AV21" i="2" a="1"/>
  <c r="AV21" i="2" s="1"/>
  <c r="AU21" i="2" a="1"/>
  <c r="AU21" i="2" s="1"/>
  <c r="AT21" i="2" a="1"/>
  <c r="AT21" i="2" s="1"/>
  <c r="AS21" i="2" a="1"/>
  <c r="AS21" i="2" s="1"/>
  <c r="AR21" i="2" a="1"/>
  <c r="AR21" i="2" s="1"/>
  <c r="AQ21" i="2" a="1"/>
  <c r="AQ21" i="2" s="1"/>
  <c r="AP21" i="2" a="1"/>
  <c r="AP21" i="2" s="1"/>
  <c r="AO21" i="2" a="1"/>
  <c r="AO21" i="2" s="1"/>
  <c r="AK21" i="2"/>
  <c r="Z21" i="2"/>
  <c r="AB21" i="2" s="1"/>
  <c r="AC21" i="2" s="1"/>
  <c r="Y21" i="2"/>
  <c r="F21" i="2"/>
  <c r="H21" i="2" s="1"/>
  <c r="I21" i="2" s="1"/>
  <c r="E21" i="2"/>
  <c r="C21" i="2" a="1"/>
  <c r="C21" i="2"/>
  <c r="AX20" i="2" a="1"/>
  <c r="AX20" i="2" s="1"/>
  <c r="AW20" i="2" a="1"/>
  <c r="AW20" i="2" s="1"/>
  <c r="AV20" i="2" a="1"/>
  <c r="AV20" i="2" s="1"/>
  <c r="AU20" i="2" a="1"/>
  <c r="AU20" i="2" s="1"/>
  <c r="AT20" i="2" a="1"/>
  <c r="AT20" i="2" s="1"/>
  <c r="AS20" i="2" a="1"/>
  <c r="AS20" i="2" s="1"/>
  <c r="AR20" i="2" a="1"/>
  <c r="AR20" i="2" s="1"/>
  <c r="AQ20" i="2" a="1"/>
  <c r="AQ20" i="2" s="1"/>
  <c r="AP20" i="2" a="1"/>
  <c r="AP20" i="2" s="1"/>
  <c r="AO20" i="2" a="1"/>
  <c r="AO20" i="2" s="1"/>
  <c r="AK20" i="2"/>
  <c r="Z20" i="2"/>
  <c r="AB20" i="2" s="1"/>
  <c r="AC20" i="2" s="1"/>
  <c r="Y20" i="2"/>
  <c r="C20" i="2" a="1"/>
  <c r="C20" i="2" s="1"/>
  <c r="AX19" i="2" a="1"/>
  <c r="AX19" i="2" s="1"/>
  <c r="AW19" i="2" a="1"/>
  <c r="AW19" i="2" s="1"/>
  <c r="AV19" i="2" a="1"/>
  <c r="AV19" i="2" s="1"/>
  <c r="AU19" i="2" a="1"/>
  <c r="AU19" i="2" s="1"/>
  <c r="AT19" i="2" a="1"/>
  <c r="AT19" i="2" s="1"/>
  <c r="AS19" i="2" a="1"/>
  <c r="AS19" i="2" s="1"/>
  <c r="AR19" i="2" a="1"/>
  <c r="AR19" i="2" s="1"/>
  <c r="AQ19" i="2" a="1"/>
  <c r="AQ19" i="2" s="1"/>
  <c r="AP19" i="2" a="1"/>
  <c r="AP19" i="2" s="1"/>
  <c r="AO19" i="2" a="1"/>
  <c r="AO19" i="2" s="1"/>
  <c r="AK19" i="2"/>
  <c r="Z19" i="2"/>
  <c r="AB19" i="2" s="1"/>
  <c r="AC19" i="2" s="1"/>
  <c r="Y19" i="2"/>
  <c r="C19" i="2" a="1"/>
  <c r="C19" i="2" s="1"/>
  <c r="AX18" i="2" a="1"/>
  <c r="AX18" i="2" s="1"/>
  <c r="AW18" i="2" a="1"/>
  <c r="AW18" i="2" s="1"/>
  <c r="AV18" i="2" a="1"/>
  <c r="AV18" i="2" s="1"/>
  <c r="AU18" i="2" a="1"/>
  <c r="AU18" i="2" s="1"/>
  <c r="AT18" i="2" a="1"/>
  <c r="AT18" i="2" s="1"/>
  <c r="AS18" i="2" a="1"/>
  <c r="AS18" i="2" s="1"/>
  <c r="AR18" i="2" a="1"/>
  <c r="AR18" i="2" s="1"/>
  <c r="AQ18" i="2" a="1"/>
  <c r="AQ18" i="2" s="1"/>
  <c r="AP18" i="2" a="1"/>
  <c r="AP18" i="2" s="1"/>
  <c r="AO18" i="2" a="1"/>
  <c r="AO18" i="2" s="1"/>
  <c r="AK18" i="2"/>
  <c r="Z18" i="2"/>
  <c r="AB18" i="2" s="1"/>
  <c r="AC18" i="2" s="1"/>
  <c r="Y18" i="2"/>
  <c r="V18" i="2"/>
  <c r="W18" i="2" s="1"/>
  <c r="C18" i="2" a="1"/>
  <c r="C18" i="2" s="1"/>
  <c r="AX17" i="2" a="1"/>
  <c r="AX17" i="2" s="1"/>
  <c r="AW17" i="2" a="1"/>
  <c r="AW17" i="2" s="1"/>
  <c r="AV17" i="2" a="1"/>
  <c r="AV17" i="2" s="1"/>
  <c r="AU17" i="2" a="1"/>
  <c r="AU17" i="2" s="1"/>
  <c r="AT17" i="2" a="1"/>
  <c r="AT17" i="2" s="1"/>
  <c r="AS17" i="2" a="1"/>
  <c r="AS17" i="2" s="1"/>
  <c r="AR17" i="2" a="1"/>
  <c r="AR17" i="2" s="1"/>
  <c r="AQ17" i="2" a="1"/>
  <c r="AQ17" i="2" s="1"/>
  <c r="AP17" i="2" a="1"/>
  <c r="AP17" i="2" s="1"/>
  <c r="AO17" i="2" a="1"/>
  <c r="AO17" i="2" s="1"/>
  <c r="AK17" i="2"/>
  <c r="Z17" i="2"/>
  <c r="AB17" i="2" s="1"/>
  <c r="AC17" i="2" s="1"/>
  <c r="Y17" i="2"/>
  <c r="C17" i="2" a="1"/>
  <c r="C17" i="2" s="1"/>
  <c r="AX16" i="2" a="1"/>
  <c r="AX16" i="2" s="1"/>
  <c r="AW16" i="2" a="1"/>
  <c r="AW16" i="2" s="1"/>
  <c r="AV16" i="2" a="1"/>
  <c r="AV16" i="2" s="1"/>
  <c r="AU16" i="2" a="1"/>
  <c r="AU16" i="2" s="1"/>
  <c r="AT16" i="2" a="1"/>
  <c r="AT16" i="2" s="1"/>
  <c r="AS16" i="2" a="1"/>
  <c r="AS16" i="2" s="1"/>
  <c r="AR16" i="2" a="1"/>
  <c r="AR16" i="2" s="1"/>
  <c r="AQ16" i="2" a="1"/>
  <c r="AQ16" i="2" s="1"/>
  <c r="AP16" i="2" a="1"/>
  <c r="AP16" i="2" s="1"/>
  <c r="AO16" i="2" a="1"/>
  <c r="AO16" i="2" s="1"/>
  <c r="AK16" i="2"/>
  <c r="Z16" i="2"/>
  <c r="AB16" i="2" s="1"/>
  <c r="AC16" i="2" s="1"/>
  <c r="Y16" i="2"/>
  <c r="C16" i="2" a="1"/>
  <c r="C16" i="2" s="1"/>
  <c r="AX15" i="2" a="1"/>
  <c r="AX15" i="2" s="1"/>
  <c r="AW15" i="2" a="1"/>
  <c r="AW15" i="2" s="1"/>
  <c r="AV15" i="2" a="1"/>
  <c r="AV15" i="2" s="1"/>
  <c r="AU15" i="2" a="1"/>
  <c r="AU15" i="2" s="1"/>
  <c r="AT15" i="2" a="1"/>
  <c r="AT15" i="2" s="1"/>
  <c r="AS15" i="2" a="1"/>
  <c r="AS15" i="2" s="1"/>
  <c r="AR15" i="2" a="1"/>
  <c r="AR15" i="2" s="1"/>
  <c r="AQ15" i="2" a="1"/>
  <c r="AQ15" i="2" s="1"/>
  <c r="AP15" i="2" a="1"/>
  <c r="AP15" i="2" s="1"/>
  <c r="AO15" i="2" a="1"/>
  <c r="AO15" i="2" s="1"/>
  <c r="AK15" i="2"/>
  <c r="Z15" i="2"/>
  <c r="AB15" i="2" s="1"/>
  <c r="AC15" i="2" s="1"/>
  <c r="Y15" i="2"/>
  <c r="C15" i="2" a="1"/>
  <c r="C15" i="2"/>
  <c r="AX14" i="2" a="1"/>
  <c r="AX14" i="2" s="1"/>
  <c r="AW14" i="2" a="1"/>
  <c r="AW14" i="2" s="1"/>
  <c r="AV14" i="2" a="1"/>
  <c r="AV14" i="2" s="1"/>
  <c r="AU14" i="2" a="1"/>
  <c r="AU14" i="2" s="1"/>
  <c r="AT14" i="2" a="1"/>
  <c r="AT14" i="2" s="1"/>
  <c r="AS14" i="2" a="1"/>
  <c r="AS14" i="2" s="1"/>
  <c r="AR14" i="2" a="1"/>
  <c r="AR14" i="2" s="1"/>
  <c r="AQ14" i="2" a="1"/>
  <c r="AQ14" i="2" s="1"/>
  <c r="AP14" i="2" a="1"/>
  <c r="AP14" i="2" s="1"/>
  <c r="AO14" i="2" a="1"/>
  <c r="AO14" i="2" s="1"/>
  <c r="AK14" i="2"/>
  <c r="Z14" i="2"/>
  <c r="AB14" i="2" s="1"/>
  <c r="AC14" i="2" s="1"/>
  <c r="Y14" i="2"/>
  <c r="C14" i="2" a="1"/>
  <c r="C14" i="2" s="1"/>
  <c r="AX13" i="2" a="1"/>
  <c r="AX13" i="2" s="1"/>
  <c r="AW13" i="2" a="1"/>
  <c r="AW13" i="2" s="1"/>
  <c r="AV13" i="2" a="1"/>
  <c r="AV13" i="2" s="1"/>
  <c r="AU13" i="2" a="1"/>
  <c r="AU13" i="2" s="1"/>
  <c r="AT13" i="2" a="1"/>
  <c r="AT13" i="2" s="1"/>
  <c r="AS13" i="2" a="1"/>
  <c r="AS13" i="2" s="1"/>
  <c r="AR13" i="2" a="1"/>
  <c r="AR13" i="2" s="1"/>
  <c r="AQ13" i="2" a="1"/>
  <c r="AQ13" i="2" s="1"/>
  <c r="AP13" i="2" a="1"/>
  <c r="AP13" i="2" s="1"/>
  <c r="AO13" i="2" a="1"/>
  <c r="AO13" i="2" s="1"/>
  <c r="AK13" i="2"/>
  <c r="Z13" i="2"/>
  <c r="AB13" i="2" s="1"/>
  <c r="AC13" i="2" s="1"/>
  <c r="Y13" i="2"/>
  <c r="V13" i="2"/>
  <c r="W13" i="2" s="1"/>
  <c r="C13" i="2" a="1"/>
  <c r="C13" i="2" s="1"/>
  <c r="AX12" i="2" a="1"/>
  <c r="AX12" i="2" s="1"/>
  <c r="AW12" i="2" a="1"/>
  <c r="AW12" i="2" s="1"/>
  <c r="AV12" i="2" a="1"/>
  <c r="AV12" i="2" s="1"/>
  <c r="AU12" i="2" a="1"/>
  <c r="AU12" i="2" s="1"/>
  <c r="AT12" i="2" a="1"/>
  <c r="AT12" i="2" s="1"/>
  <c r="AS12" i="2" a="1"/>
  <c r="AS12" i="2" s="1"/>
  <c r="AR12" i="2" a="1"/>
  <c r="AR12" i="2" s="1"/>
  <c r="AQ12" i="2" a="1"/>
  <c r="AQ12" i="2" s="1"/>
  <c r="AP12" i="2" a="1"/>
  <c r="AP12" i="2" s="1"/>
  <c r="AO12" i="2" a="1"/>
  <c r="AO12" i="2" s="1"/>
  <c r="AK12" i="2"/>
  <c r="Z12" i="2"/>
  <c r="AB12" i="2" s="1"/>
  <c r="AC12" i="2" s="1"/>
  <c r="Y12" i="2"/>
  <c r="C12" i="2" a="1"/>
  <c r="C12" i="2" s="1"/>
  <c r="AX11" i="2" a="1"/>
  <c r="AX11" i="2" s="1"/>
  <c r="AW11" i="2" a="1"/>
  <c r="AW11" i="2" s="1"/>
  <c r="AV11" i="2" a="1"/>
  <c r="AV11" i="2" s="1"/>
  <c r="AU11" i="2" a="1"/>
  <c r="AU11" i="2" s="1"/>
  <c r="AT11" i="2" a="1"/>
  <c r="AT11" i="2" s="1"/>
  <c r="AS11" i="2" a="1"/>
  <c r="AS11" i="2" s="1"/>
  <c r="AR11" i="2" a="1"/>
  <c r="AR11" i="2" s="1"/>
  <c r="AQ11" i="2" a="1"/>
  <c r="AQ11" i="2" s="1"/>
  <c r="AP11" i="2" a="1"/>
  <c r="AP11" i="2" s="1"/>
  <c r="AO11" i="2" a="1"/>
  <c r="AO11" i="2" s="1"/>
  <c r="AK11" i="2"/>
  <c r="Z11" i="2"/>
  <c r="AB11" i="2" s="1"/>
  <c r="AC11" i="2" s="1"/>
  <c r="Y11" i="2"/>
  <c r="C11" i="2" a="1"/>
  <c r="C11" i="2" s="1"/>
  <c r="AX10" i="2" a="1"/>
  <c r="AX10" i="2" s="1"/>
  <c r="AW10" i="2" a="1"/>
  <c r="AW10" i="2" s="1"/>
  <c r="AV10" i="2" a="1"/>
  <c r="AV10" i="2" s="1"/>
  <c r="AU10" i="2" a="1"/>
  <c r="AU10" i="2" s="1"/>
  <c r="AT10" i="2" a="1"/>
  <c r="AT10" i="2" s="1"/>
  <c r="AS10" i="2" a="1"/>
  <c r="AS10" i="2" s="1"/>
  <c r="AR10" i="2" a="1"/>
  <c r="AR10" i="2" s="1"/>
  <c r="AQ10" i="2" a="1"/>
  <c r="AQ10" i="2" s="1"/>
  <c r="AP10" i="2" a="1"/>
  <c r="AP10" i="2" s="1"/>
  <c r="AO10" i="2" a="1"/>
  <c r="AO10" i="2" s="1"/>
  <c r="AK10" i="2"/>
  <c r="Z10" i="2"/>
  <c r="AB10" i="2" s="1"/>
  <c r="AC10" i="2" s="1"/>
  <c r="Y10" i="2"/>
  <c r="V10" i="2"/>
  <c r="W10" i="2" s="1"/>
  <c r="O10" i="2"/>
  <c r="P10" i="2" s="1"/>
  <c r="L10" i="2"/>
  <c r="H10" i="2"/>
  <c r="I10" i="2" s="1"/>
  <c r="E10" i="2"/>
  <c r="C10" i="2" a="1"/>
  <c r="C10" i="2" s="1"/>
  <c r="AX9" i="2" a="1"/>
  <c r="AX9" i="2" s="1"/>
  <c r="AW9" i="2" a="1"/>
  <c r="AW9" i="2" s="1"/>
  <c r="AV9" i="2" a="1"/>
  <c r="AV9" i="2" s="1"/>
  <c r="AU9" i="2" a="1"/>
  <c r="AU9" i="2" s="1"/>
  <c r="AT9" i="2" a="1"/>
  <c r="AT9" i="2" s="1"/>
  <c r="AS9" i="2" a="1"/>
  <c r="AS9" i="2" s="1"/>
  <c r="AR9" i="2" a="1"/>
  <c r="AR9" i="2" s="1"/>
  <c r="AQ9" i="2" a="1"/>
  <c r="AQ9" i="2" s="1"/>
  <c r="AP9" i="2" a="1"/>
  <c r="AP9" i="2" s="1"/>
  <c r="AO9" i="2" a="1"/>
  <c r="AO9" i="2" s="1"/>
  <c r="AK9" i="2"/>
  <c r="Z9" i="2"/>
  <c r="AB9" i="2" s="1"/>
  <c r="AC9" i="2" s="1"/>
  <c r="Y9" i="2"/>
  <c r="V9" i="2"/>
  <c r="W9" i="2" s="1"/>
  <c r="S9" i="2"/>
  <c r="O9" i="2"/>
  <c r="P9" i="2" s="1"/>
  <c r="L9" i="2"/>
  <c r="H9" i="2"/>
  <c r="I9" i="2" s="1"/>
  <c r="E9" i="2"/>
  <c r="C9" i="2" a="1"/>
  <c r="C9" i="2" s="1"/>
  <c r="AX8" i="2" a="1"/>
  <c r="AX8" i="2" s="1"/>
  <c r="AW8" i="2" a="1"/>
  <c r="AW8" i="2" s="1"/>
  <c r="AV8" i="2" a="1"/>
  <c r="AV8" i="2" s="1"/>
  <c r="AU8" i="2" a="1"/>
  <c r="AU8" i="2" s="1"/>
  <c r="AT8" i="2" a="1"/>
  <c r="AT8" i="2" s="1"/>
  <c r="AS8" i="2" a="1"/>
  <c r="AS8" i="2" s="1"/>
  <c r="AR8" i="2" a="1"/>
  <c r="AR8" i="2" s="1"/>
  <c r="AQ8" i="2" a="1"/>
  <c r="AQ8" i="2" s="1"/>
  <c r="AP8" i="2" a="1"/>
  <c r="AP8" i="2" s="1"/>
  <c r="AO8" i="2" a="1"/>
  <c r="AO8" i="2" s="1"/>
  <c r="AK8" i="2"/>
  <c r="Z8" i="2"/>
  <c r="AB8" i="2" s="1"/>
  <c r="AC8" i="2" s="1"/>
  <c r="Y8" i="2"/>
  <c r="C8" i="2" a="1"/>
  <c r="C8" i="2" s="1"/>
  <c r="AX7" i="2" a="1"/>
  <c r="AX7" i="2" s="1"/>
  <c r="AW7" i="2" a="1"/>
  <c r="AW7" i="2" s="1"/>
  <c r="AV7" i="2" a="1"/>
  <c r="AV7" i="2" s="1"/>
  <c r="AU7" i="2" a="1"/>
  <c r="AU7" i="2" s="1"/>
  <c r="AT7" i="2" a="1"/>
  <c r="AT7" i="2" s="1"/>
  <c r="AS7" i="2" a="1"/>
  <c r="AS7" i="2" s="1"/>
  <c r="AR7" i="2" a="1"/>
  <c r="AR7" i="2" s="1"/>
  <c r="AQ7" i="2" a="1"/>
  <c r="AQ7" i="2" s="1"/>
  <c r="AP7" i="2" a="1"/>
  <c r="AP7" i="2" s="1"/>
  <c r="AO7" i="2" a="1"/>
  <c r="AO7" i="2" s="1"/>
  <c r="AK7" i="2"/>
  <c r="Z7" i="2"/>
  <c r="AB7" i="2" s="1"/>
  <c r="AC7" i="2" s="1"/>
  <c r="Y7" i="2"/>
  <c r="C7" i="2" a="1"/>
  <c r="C7" i="2" s="1"/>
  <c r="BL15" i="1" a="1"/>
  <c r="BL15" i="1" s="1"/>
  <c r="BK15" i="1" a="1"/>
  <c r="BK15" i="1" s="1"/>
  <c r="BJ15" i="1" a="1"/>
  <c r="BJ15" i="1" s="1"/>
  <c r="BI15" i="1" a="1"/>
  <c r="BI15" i="1" s="1"/>
  <c r="BH15" i="1" a="1"/>
  <c r="BH15" i="1" s="1"/>
  <c r="BG15" i="1" a="1"/>
  <c r="BG15" i="1" s="1"/>
  <c r="BF15" i="1" a="1"/>
  <c r="BF15" i="1" s="1"/>
  <c r="BE15" i="1" a="1"/>
  <c r="BE15" i="1" s="1"/>
  <c r="BD15" i="1" a="1"/>
  <c r="BD15" i="1" s="1"/>
  <c r="BC15" i="1" a="1"/>
  <c r="BC15" i="1" s="1"/>
  <c r="AY15" i="1"/>
  <c r="AP15" i="1"/>
  <c r="AQ15" i="1" s="1"/>
  <c r="AN15" i="1"/>
  <c r="AM15" i="1"/>
  <c r="C15" i="1" a="1"/>
  <c r="C15" i="1" s="1"/>
  <c r="BL14" i="1" a="1"/>
  <c r="BL14" i="1" s="1"/>
  <c r="BK14" i="1" a="1"/>
  <c r="BK14" i="1" s="1"/>
  <c r="BJ14" i="1" a="1"/>
  <c r="BJ14" i="1" s="1"/>
  <c r="BI14" i="1" a="1"/>
  <c r="BI14" i="1" s="1"/>
  <c r="BH14" i="1" a="1"/>
  <c r="BH14" i="1" s="1"/>
  <c r="BG14" i="1" a="1"/>
  <c r="BG14" i="1" s="1"/>
  <c r="BF14" i="1" a="1"/>
  <c r="BF14" i="1" s="1"/>
  <c r="BE14" i="1" a="1"/>
  <c r="BE14" i="1" s="1"/>
  <c r="AY14" i="1"/>
  <c r="AP14" i="1"/>
  <c r="AQ14" i="1" s="1"/>
  <c r="AN14" i="1"/>
  <c r="AM14" i="1"/>
  <c r="C14" i="1" a="1"/>
  <c r="C14" i="1"/>
  <c r="BL13" i="1" a="1"/>
  <c r="BL13" i="1" s="1"/>
  <c r="BK13" i="1" a="1"/>
  <c r="BK13" i="1" s="1"/>
  <c r="BJ13" i="1" a="1"/>
  <c r="BJ13" i="1" s="1"/>
  <c r="BI13" i="1" a="1"/>
  <c r="BI13" i="1" s="1"/>
  <c r="BH13" i="1" a="1"/>
  <c r="BH13" i="1" s="1"/>
  <c r="BG13" i="1" a="1"/>
  <c r="BG13" i="1" s="1"/>
  <c r="BF13" i="1" a="1"/>
  <c r="BF13" i="1" s="1"/>
  <c r="BE13" i="1" a="1"/>
  <c r="BE13" i="1" s="1"/>
  <c r="BD13" i="1" a="1"/>
  <c r="BD13" i="1" s="1"/>
  <c r="BC13" i="1" a="1"/>
  <c r="BC13" i="1" s="1"/>
  <c r="AY13" i="1"/>
  <c r="AP13" i="1"/>
  <c r="AQ13" i="1" s="1"/>
  <c r="AN13" i="1"/>
  <c r="AM13" i="1"/>
  <c r="C13" i="1" a="1"/>
  <c r="C13" i="1"/>
  <c r="BL12" i="1" a="1"/>
  <c r="BL12" i="1" s="1"/>
  <c r="BK12" i="1" a="1"/>
  <c r="BK12" i="1" s="1"/>
  <c r="BJ12" i="1" a="1"/>
  <c r="BJ12" i="1" s="1"/>
  <c r="BI12" i="1" a="1"/>
  <c r="BI12" i="1" s="1"/>
  <c r="BH12" i="1" a="1"/>
  <c r="BH12" i="1" s="1"/>
  <c r="BG12" i="1" a="1"/>
  <c r="BG12" i="1" s="1"/>
  <c r="BF12" i="1" a="1"/>
  <c r="BF12" i="1" s="1"/>
  <c r="BE12" i="1" a="1"/>
  <c r="BE12" i="1" s="1"/>
  <c r="BD12" i="1" a="1"/>
  <c r="BD12" i="1" s="1"/>
  <c r="BC12" i="1" a="1"/>
  <c r="BC12" i="1" s="1"/>
  <c r="AY12" i="1"/>
  <c r="AP12" i="1"/>
  <c r="AQ12" i="1" s="1"/>
  <c r="AN12" i="1"/>
  <c r="AM12" i="1"/>
  <c r="C12" i="1" a="1"/>
  <c r="C12" i="1"/>
  <c r="BL11" i="1" a="1"/>
  <c r="BL11" i="1" s="1"/>
  <c r="BK11" i="1" a="1"/>
  <c r="BK11" i="1" s="1"/>
  <c r="BJ11" i="1" a="1"/>
  <c r="BJ11" i="1" s="1"/>
  <c r="BI11" i="1" a="1"/>
  <c r="BI11" i="1" s="1"/>
  <c r="BH11" i="1" a="1"/>
  <c r="BH11" i="1" s="1"/>
  <c r="BG11" i="1" a="1"/>
  <c r="BG11" i="1" s="1"/>
  <c r="BF11" i="1" a="1"/>
  <c r="BF11" i="1" s="1"/>
  <c r="BE11" i="1" a="1"/>
  <c r="BE11" i="1" s="1"/>
  <c r="BD11" i="1" a="1"/>
  <c r="BD11" i="1" s="1"/>
  <c r="BC11" i="1" a="1"/>
  <c r="BC11" i="1" s="1"/>
  <c r="AY11" i="1"/>
  <c r="AQ11" i="1"/>
  <c r="AP11" i="1"/>
  <c r="AN11" i="1"/>
  <c r="AM11" i="1"/>
  <c r="C11" i="1" a="1"/>
  <c r="C11" i="1"/>
  <c r="BL10" i="1" a="1"/>
  <c r="BL10" i="1" s="1"/>
  <c r="BK10" i="1" a="1"/>
  <c r="BK10" i="1" s="1"/>
  <c r="BJ10" i="1" a="1"/>
  <c r="BJ10" i="1" s="1"/>
  <c r="BI10" i="1" a="1"/>
  <c r="BI10" i="1" s="1"/>
  <c r="BH10" i="1" a="1"/>
  <c r="BH10" i="1" s="1"/>
  <c r="BG10" i="1" a="1"/>
  <c r="BG10" i="1" s="1"/>
  <c r="BF10" i="1" a="1"/>
  <c r="BF10" i="1" s="1"/>
  <c r="BE10" i="1" a="1"/>
  <c r="BE10" i="1" s="1"/>
  <c r="BD10" i="1" a="1"/>
  <c r="BD10" i="1" s="1"/>
  <c r="BC10" i="1" a="1"/>
  <c r="BC10" i="1" s="1"/>
  <c r="AY10" i="1"/>
  <c r="AP10" i="1"/>
  <c r="AQ10" i="1" s="1"/>
  <c r="AN10" i="1"/>
  <c r="AM10" i="1"/>
  <c r="C10" i="1" a="1"/>
  <c r="C10" i="1" s="1"/>
  <c r="BL9" i="1" a="1"/>
  <c r="BL9" i="1" s="1"/>
  <c r="BK9" i="1" a="1"/>
  <c r="BK9" i="1" s="1"/>
  <c r="BJ9" i="1" a="1"/>
  <c r="BJ9" i="1" s="1"/>
  <c r="BI9" i="1" a="1"/>
  <c r="BI9" i="1" s="1"/>
  <c r="BH9" i="1" a="1"/>
  <c r="BH9" i="1" s="1"/>
  <c r="BG9" i="1" a="1"/>
  <c r="BG9" i="1" s="1"/>
  <c r="BF9" i="1" a="1"/>
  <c r="BF9" i="1" s="1"/>
  <c r="BE9" i="1" a="1"/>
  <c r="BE9" i="1" s="1"/>
  <c r="BD9" i="1" a="1"/>
  <c r="BD9" i="1" s="1"/>
  <c r="BC9" i="1" a="1"/>
  <c r="BC9" i="1" s="1"/>
  <c r="AY9" i="1"/>
  <c r="AQ9" i="1"/>
  <c r="AP9" i="1"/>
  <c r="AN9" i="1"/>
  <c r="AM9" i="1"/>
  <c r="C9" i="1" a="1"/>
  <c r="C9" i="1"/>
  <c r="BL8" i="1" a="1"/>
  <c r="BL8" i="1" s="1"/>
  <c r="BK8" i="1" a="1"/>
  <c r="BK8" i="1" s="1"/>
  <c r="BJ8" i="1" a="1"/>
  <c r="BJ8" i="1" s="1"/>
  <c r="BI8" i="1" a="1"/>
  <c r="BI8" i="1" s="1"/>
  <c r="BH8" i="1" a="1"/>
  <c r="BH8" i="1" s="1"/>
  <c r="BG8" i="1" a="1"/>
  <c r="BG8" i="1" s="1"/>
  <c r="BF8" i="1" a="1"/>
  <c r="BF8" i="1" s="1"/>
  <c r="BE8" i="1" a="1"/>
  <c r="BE8" i="1" s="1"/>
  <c r="BD8" i="1" a="1"/>
  <c r="BD8" i="1" s="1"/>
  <c r="BC8" i="1" a="1"/>
  <c r="BC8" i="1" s="1"/>
  <c r="AY8" i="1"/>
  <c r="AQ8" i="1"/>
  <c r="AP8" i="1"/>
  <c r="AN8" i="1"/>
  <c r="AM8" i="1"/>
  <c r="AK8" i="1"/>
  <c r="AJ8" i="1"/>
  <c r="AG8" i="1"/>
  <c r="C8" i="1" a="1"/>
  <c r="C8" i="1"/>
  <c r="K31" i="2"/>
  <c r="J41" i="2"/>
  <c r="E34" i="3"/>
  <c r="M13" i="1"/>
  <c r="E29" i="3"/>
  <c r="K40" i="2"/>
  <c r="R43" i="2"/>
  <c r="AD10" i="2"/>
  <c r="AD40" i="2"/>
  <c r="Q38" i="2"/>
  <c r="R8" i="2"/>
  <c r="I11" i="3"/>
  <c r="D40" i="3"/>
  <c r="K13" i="2"/>
  <c r="AD18" i="2"/>
  <c r="D42" i="2"/>
  <c r="S11" i="1"/>
  <c r="Q33" i="2"/>
  <c r="AR10" i="1"/>
  <c r="E26" i="3"/>
  <c r="E15" i="1"/>
  <c r="E33" i="3"/>
  <c r="E35" i="3"/>
  <c r="Q15" i="2"/>
  <c r="K27" i="2"/>
  <c r="J27" i="2"/>
  <c r="I37" i="3"/>
  <c r="K8" i="2"/>
  <c r="D20" i="3"/>
  <c r="AF13" i="1"/>
  <c r="D28" i="2"/>
  <c r="AD36" i="2"/>
  <c r="T11" i="1"/>
  <c r="R19" i="2"/>
  <c r="K41" i="2"/>
  <c r="J29" i="2"/>
  <c r="AD22" i="2"/>
  <c r="D10" i="1"/>
  <c r="D44" i="2"/>
  <c r="I24" i="3"/>
  <c r="Q8" i="2"/>
  <c r="R34" i="2"/>
  <c r="J18" i="2"/>
  <c r="N13" i="1"/>
  <c r="J12" i="2"/>
  <c r="Z13" i="1"/>
  <c r="U8" i="1"/>
  <c r="E12" i="3"/>
  <c r="D19" i="3"/>
  <c r="R41" i="2"/>
  <c r="G8" i="1"/>
  <c r="R26" i="2"/>
  <c r="J17" i="2"/>
  <c r="AD37" i="2"/>
  <c r="F8" i="1"/>
  <c r="D26" i="3"/>
  <c r="R7" i="2"/>
  <c r="K42" i="2"/>
  <c r="AA12" i="1"/>
  <c r="Q17" i="2"/>
  <c r="R31" i="2"/>
  <c r="D8" i="3"/>
  <c r="J16" i="2"/>
  <c r="S15" i="1"/>
  <c r="AD31" i="2"/>
  <c r="R12" i="2"/>
  <c r="Q30" i="2"/>
  <c r="K23" i="2"/>
  <c r="E19" i="3"/>
  <c r="AR15" i="1"/>
  <c r="E30" i="3"/>
  <c r="E17" i="3"/>
  <c r="K45" i="2"/>
  <c r="J11" i="2"/>
  <c r="U11" i="1"/>
  <c r="AR8" i="1"/>
  <c r="K11" i="1"/>
  <c r="L8" i="1"/>
  <c r="D21" i="3"/>
  <c r="R30" i="2"/>
  <c r="K14" i="1"/>
  <c r="T14" i="1"/>
  <c r="Q26" i="2"/>
  <c r="AF12" i="1"/>
  <c r="D18" i="3"/>
  <c r="R15" i="1"/>
  <c r="D41" i="2"/>
  <c r="AR14" i="1"/>
  <c r="D18" i="2"/>
  <c r="F13" i="1"/>
  <c r="K44" i="2"/>
  <c r="D28" i="3"/>
  <c r="AD27" i="2"/>
  <c r="K7" i="2"/>
  <c r="Y14" i="1"/>
  <c r="R21" i="2"/>
  <c r="R28" i="2"/>
  <c r="E40" i="3"/>
  <c r="R44" i="2"/>
  <c r="E9" i="3"/>
  <c r="E16" i="3"/>
  <c r="AR12" i="1"/>
  <c r="Q14" i="2"/>
  <c r="AB15" i="1"/>
  <c r="D35" i="3"/>
  <c r="K24" i="2"/>
  <c r="I38" i="3"/>
  <c r="K17" i="2"/>
  <c r="AD28" i="2"/>
  <c r="Q25" i="2"/>
  <c r="L12" i="1"/>
  <c r="E9" i="1"/>
  <c r="K9" i="1"/>
  <c r="D17" i="3"/>
  <c r="Q40" i="2"/>
  <c r="J26" i="2"/>
  <c r="D12" i="1"/>
  <c r="AD14" i="2"/>
  <c r="Z11" i="1"/>
  <c r="AB13" i="1"/>
  <c r="AA10" i="1"/>
  <c r="AB9" i="1"/>
  <c r="J13" i="2"/>
  <c r="R16" i="2"/>
  <c r="J31" i="2"/>
  <c r="Q39" i="2"/>
  <c r="T13" i="1"/>
  <c r="T15" i="1"/>
  <c r="D34" i="3"/>
  <c r="T8" i="1"/>
  <c r="AD41" i="2"/>
  <c r="R11" i="1"/>
  <c r="AD17" i="2"/>
  <c r="S8" i="1"/>
  <c r="Z15" i="1"/>
  <c r="F15" i="1"/>
  <c r="Y15" i="1"/>
  <c r="U14" i="1"/>
  <c r="K25" i="2"/>
  <c r="AD12" i="2"/>
  <c r="Q44" i="2"/>
  <c r="R38" i="2"/>
  <c r="K8" i="1"/>
  <c r="I36" i="3"/>
  <c r="D11" i="3"/>
  <c r="K12" i="2"/>
  <c r="AD42" i="2"/>
  <c r="N12" i="1"/>
  <c r="F10" i="1"/>
  <c r="I33" i="3"/>
  <c r="D23" i="2"/>
  <c r="J40" i="2"/>
  <c r="T12" i="1"/>
  <c r="J19" i="2"/>
  <c r="F11" i="1"/>
  <c r="I12" i="3"/>
  <c r="E37" i="3"/>
  <c r="E41" i="3"/>
  <c r="AD25" i="2"/>
  <c r="G11" i="1"/>
  <c r="E18" i="3"/>
  <c r="J30" i="2"/>
  <c r="AA13" i="1"/>
  <c r="AD7" i="2"/>
  <c r="R32" i="2"/>
  <c r="I26" i="3"/>
  <c r="Q27" i="2"/>
  <c r="AD20" i="2"/>
  <c r="AD21" i="2"/>
  <c r="AB12" i="1"/>
  <c r="AD34" i="2"/>
  <c r="E13" i="1"/>
  <c r="Y8" i="1"/>
  <c r="D15" i="2"/>
  <c r="I41" i="3"/>
  <c r="D24" i="3"/>
  <c r="AA8" i="1"/>
  <c r="I40" i="3"/>
  <c r="D41" i="3"/>
  <c r="G12" i="1"/>
  <c r="J23" i="2"/>
  <c r="G9" i="1"/>
  <c r="D29" i="3"/>
  <c r="E11" i="3"/>
  <c r="D22" i="3"/>
  <c r="D29" i="2"/>
  <c r="D33" i="3"/>
  <c r="L10" i="1"/>
  <c r="R8" i="1"/>
  <c r="L9" i="1"/>
  <c r="D9" i="3"/>
  <c r="E14" i="3"/>
  <c r="M10" i="1"/>
  <c r="F9" i="1"/>
  <c r="F12" i="1"/>
  <c r="R20" i="2"/>
  <c r="D36" i="3"/>
  <c r="D32" i="3"/>
  <c r="K38" i="2"/>
  <c r="J38" i="2"/>
  <c r="Y11" i="1"/>
  <c r="Q7" i="2"/>
  <c r="R15" i="2"/>
  <c r="D23" i="3"/>
  <c r="D14" i="2"/>
  <c r="M15" i="1"/>
  <c r="AD35" i="2"/>
  <c r="J44" i="2"/>
  <c r="D30" i="2"/>
  <c r="R11" i="2"/>
  <c r="K10" i="1"/>
  <c r="R42" i="2"/>
  <c r="AD16" i="2"/>
  <c r="AD9" i="2"/>
  <c r="D32" i="2"/>
  <c r="S10" i="1"/>
  <c r="E27" i="3"/>
  <c r="AD38" i="2"/>
  <c r="I10" i="3"/>
  <c r="D30" i="3"/>
  <c r="AD43" i="2"/>
  <c r="E38" i="3"/>
  <c r="AB8" i="1"/>
  <c r="D12" i="3"/>
  <c r="D14" i="3"/>
  <c r="AD33" i="2"/>
  <c r="K39" i="2"/>
  <c r="I35" i="3"/>
  <c r="D38" i="2"/>
  <c r="D22" i="2"/>
  <c r="J28" i="2"/>
  <c r="K43" i="2"/>
  <c r="AD24" i="2"/>
  <c r="AD44" i="2"/>
  <c r="K21" i="2"/>
  <c r="D25" i="2"/>
  <c r="R9" i="1"/>
  <c r="E25" i="3"/>
  <c r="M11" i="1"/>
  <c r="Q31" i="2"/>
  <c r="D43" i="2"/>
  <c r="J32" i="2"/>
  <c r="D11" i="1"/>
  <c r="E32" i="3"/>
  <c r="Q35" i="2"/>
  <c r="M12" i="1"/>
  <c r="D13" i="1"/>
  <c r="J36" i="2"/>
  <c r="Y12" i="1"/>
  <c r="D11" i="2"/>
  <c r="I22" i="3"/>
  <c r="J21" i="2"/>
  <c r="R35" i="2"/>
  <c r="J35" i="2"/>
  <c r="R40" i="2"/>
  <c r="J25" i="2"/>
  <c r="R29" i="2"/>
  <c r="D45" i="2"/>
  <c r="I32" i="3"/>
  <c r="E12" i="1"/>
  <c r="G15" i="1"/>
  <c r="AB14" i="1"/>
  <c r="R45" i="2"/>
  <c r="D39" i="2"/>
  <c r="D39" i="3"/>
  <c r="K32" i="2"/>
  <c r="I8" i="3"/>
  <c r="M14" i="1"/>
  <c r="D20" i="2"/>
  <c r="D15" i="3"/>
  <c r="J33" i="2"/>
  <c r="K15" i="2"/>
  <c r="U15" i="1"/>
  <c r="N11" i="1"/>
  <c r="D24" i="2"/>
  <c r="Z10" i="1"/>
  <c r="U9" i="1"/>
  <c r="D13" i="2"/>
  <c r="J39" i="2"/>
  <c r="AD30" i="2"/>
  <c r="K30" i="2"/>
  <c r="AF14" i="1"/>
  <c r="AR9" i="1"/>
  <c r="I15" i="3"/>
  <c r="K14" i="2"/>
  <c r="D31" i="2"/>
  <c r="D37" i="3"/>
  <c r="D9" i="1"/>
  <c r="Y9" i="1"/>
  <c r="J15" i="2"/>
  <c r="Y10" i="1"/>
  <c r="AD23" i="2"/>
  <c r="R33" i="2"/>
  <c r="AD19" i="2"/>
  <c r="I23" i="3"/>
  <c r="Q12" i="2"/>
  <c r="I20" i="3"/>
  <c r="E13" i="3"/>
  <c r="AF15" i="1"/>
  <c r="AD13" i="2"/>
  <c r="R14" i="2"/>
  <c r="K13" i="1"/>
  <c r="R27" i="2"/>
  <c r="AA11" i="1"/>
  <c r="T10" i="1"/>
  <c r="Q20" i="2"/>
  <c r="I34" i="3"/>
  <c r="E21" i="3"/>
  <c r="J43" i="2"/>
  <c r="AF9" i="1"/>
  <c r="K16" i="2"/>
  <c r="D36" i="2"/>
  <c r="Q32" i="2"/>
  <c r="I17" i="3"/>
  <c r="Q42" i="2"/>
  <c r="M9" i="1"/>
  <c r="Q36" i="2"/>
  <c r="J7" i="2"/>
  <c r="AR13" i="1"/>
  <c r="E28" i="3"/>
  <c r="S13" i="1"/>
  <c r="K26" i="2"/>
  <c r="Q16" i="2"/>
  <c r="I14" i="3"/>
  <c r="E8" i="1"/>
  <c r="L11" i="1"/>
  <c r="K19" i="2"/>
  <c r="K46" i="2"/>
  <c r="K20" i="2"/>
  <c r="R10" i="1"/>
  <c r="E39" i="3"/>
  <c r="K35" i="2"/>
  <c r="K33" i="2"/>
  <c r="R24" i="2"/>
  <c r="K36" i="2"/>
  <c r="AD15" i="2"/>
  <c r="E8" i="3"/>
  <c r="I29" i="3"/>
  <c r="J14" i="2"/>
  <c r="Y13" i="1"/>
  <c r="AD8" i="2"/>
  <c r="E15" i="3"/>
  <c r="AB11" i="1"/>
  <c r="Q21" i="2"/>
  <c r="S9" i="1"/>
  <c r="U10" i="1"/>
  <c r="D25" i="3"/>
  <c r="D14" i="1"/>
  <c r="J45" i="2"/>
  <c r="G10" i="1"/>
  <c r="I16" i="3"/>
  <c r="D17" i="2"/>
  <c r="E36" i="3"/>
  <c r="F14" i="1"/>
  <c r="J20" i="2"/>
  <c r="D8" i="1"/>
  <c r="I18" i="3"/>
  <c r="K12" i="1"/>
  <c r="AD26" i="2"/>
  <c r="R14" i="1"/>
  <c r="K28" i="2"/>
  <c r="K11" i="2"/>
  <c r="R39" i="2"/>
  <c r="Q22" i="2"/>
  <c r="E22" i="3"/>
  <c r="I27" i="3"/>
  <c r="N15" i="1"/>
  <c r="N14" i="1"/>
  <c r="Z9" i="1"/>
  <c r="E11" i="1"/>
  <c r="AA14" i="1"/>
  <c r="D16" i="3"/>
  <c r="I39" i="3"/>
  <c r="D27" i="3"/>
  <c r="K29" i="2"/>
  <c r="E14" i="1"/>
  <c r="J37" i="2"/>
  <c r="J24" i="2"/>
  <c r="D12" i="2"/>
  <c r="Q43" i="2"/>
  <c r="Q28" i="2"/>
  <c r="D15" i="1"/>
  <c r="J22" i="2"/>
  <c r="Z12" i="1"/>
  <c r="G13" i="1"/>
  <c r="I21" i="3"/>
  <c r="D8" i="2"/>
  <c r="N10" i="1"/>
  <c r="R12" i="1"/>
  <c r="N8" i="1"/>
  <c r="D7" i="2"/>
  <c r="U12" i="1"/>
  <c r="Q23" i="2"/>
  <c r="E31" i="3"/>
  <c r="E10" i="1"/>
  <c r="E10" i="3"/>
  <c r="Q41" i="2"/>
  <c r="U13" i="1"/>
  <c r="K18" i="2"/>
  <c r="L13" i="1"/>
  <c r="I30" i="3"/>
  <c r="Z14" i="1"/>
  <c r="R23" i="2"/>
  <c r="N9" i="1"/>
  <c r="AD32" i="2"/>
  <c r="D33" i="2"/>
  <c r="R36" i="2"/>
  <c r="J8" i="2"/>
  <c r="D19" i="2"/>
  <c r="K15" i="1"/>
  <c r="R25" i="2"/>
  <c r="I9" i="3"/>
  <c r="D31" i="3"/>
  <c r="Q29" i="2"/>
  <c r="I13" i="3"/>
  <c r="L15" i="1"/>
  <c r="R22" i="2"/>
  <c r="E23" i="3"/>
  <c r="AF10" i="1"/>
  <c r="S14" i="1"/>
  <c r="D10" i="3"/>
  <c r="AB10" i="1"/>
  <c r="M8" i="1"/>
  <c r="K22" i="2"/>
  <c r="I28" i="3"/>
  <c r="D26" i="2"/>
  <c r="D38" i="3"/>
  <c r="D27" i="2"/>
  <c r="D40" i="2"/>
  <c r="AR11" i="1"/>
  <c r="AA9" i="1"/>
  <c r="D13" i="3"/>
  <c r="AF11" i="1"/>
  <c r="L14" i="1"/>
  <c r="T9" i="1"/>
  <c r="AD11" i="2"/>
  <c r="Q19" i="2"/>
  <c r="R13" i="1"/>
  <c r="AA15" i="1"/>
  <c r="I31" i="3"/>
  <c r="E20" i="3"/>
  <c r="D16" i="2"/>
  <c r="D35" i="2"/>
  <c r="AD39" i="2"/>
  <c r="G14" i="1"/>
  <c r="AD29" i="2"/>
  <c r="E24" i="3"/>
  <c r="Q34" i="2"/>
  <c r="Q24" i="2"/>
  <c r="J42" i="2"/>
  <c r="R17" i="2"/>
  <c r="I25" i="3"/>
  <c r="Q45" i="2"/>
  <c r="Z8" i="1"/>
  <c r="Q11" i="2"/>
  <c r="AD45" i="2"/>
  <c r="S12" i="1"/>
  <c r="AF45" i="2" l="1"/>
  <c r="AH45" i="2" s="1"/>
  <c r="AI45" i="2" s="1"/>
  <c r="J25" i="3"/>
  <c r="L25" i="3" s="1"/>
  <c r="M25" i="3" s="1"/>
  <c r="S17" i="2"/>
  <c r="T17" i="2"/>
  <c r="V17" i="2" s="1"/>
  <c r="W17" i="2" s="1"/>
  <c r="G24" i="3"/>
  <c r="H24" i="3" s="1"/>
  <c r="AF29" i="2"/>
  <c r="AH29" i="2" s="1"/>
  <c r="AI29" i="2" s="1"/>
  <c r="I14" i="1"/>
  <c r="J14" i="1" s="1"/>
  <c r="AF39" i="2"/>
  <c r="AH39" i="2" s="1"/>
  <c r="AI39" i="2" s="1"/>
  <c r="F35" i="2"/>
  <c r="H35" i="2" s="1"/>
  <c r="I35" i="2" s="1"/>
  <c r="E35" i="2"/>
  <c r="F16" i="2"/>
  <c r="H16" i="2" s="1"/>
  <c r="I16" i="2" s="1"/>
  <c r="E16" i="2"/>
  <c r="G20" i="3"/>
  <c r="H20" i="3" s="1"/>
  <c r="J31" i="3"/>
  <c r="L31" i="3" s="1"/>
  <c r="M31" i="3" s="1"/>
  <c r="AF11" i="2"/>
  <c r="AH11" i="2" s="1"/>
  <c r="AI11" i="2" s="1"/>
  <c r="AG11" i="1"/>
  <c r="AH11" i="1"/>
  <c r="AJ11" i="1" s="1"/>
  <c r="AK11" i="1" s="1"/>
  <c r="AT11" i="1"/>
  <c r="AV11" i="1" s="1"/>
  <c r="AW11" i="1" s="1"/>
  <c r="E40" i="2"/>
  <c r="F40" i="2"/>
  <c r="H40" i="2" s="1"/>
  <c r="I40" i="2" s="1"/>
  <c r="F27" i="2"/>
  <c r="H27" i="2" s="1"/>
  <c r="I27" i="2" s="1"/>
  <c r="E27" i="2"/>
  <c r="E26" i="2"/>
  <c r="F26" i="2"/>
  <c r="H26" i="2" s="1"/>
  <c r="I26" i="2" s="1"/>
  <c r="J28" i="3"/>
  <c r="L28" i="3" s="1"/>
  <c r="M28" i="3" s="1"/>
  <c r="L22" i="2"/>
  <c r="M22" i="2"/>
  <c r="O22" i="2" s="1"/>
  <c r="P22" i="2" s="1"/>
  <c r="AD10" i="1"/>
  <c r="AE10" i="1" s="1"/>
  <c r="AG10" i="1"/>
  <c r="AH10" i="1"/>
  <c r="AJ10" i="1" s="1"/>
  <c r="AK10" i="1" s="1"/>
  <c r="G23" i="3"/>
  <c r="H23" i="3" s="1"/>
  <c r="P23" i="3" s="1"/>
  <c r="Q23" i="3" s="1"/>
  <c r="T22" i="2"/>
  <c r="V22" i="2" s="1"/>
  <c r="W22" i="2" s="1"/>
  <c r="S22" i="2"/>
  <c r="J13" i="3"/>
  <c r="L13" i="3" s="1"/>
  <c r="M13" i="3" s="1"/>
  <c r="J9" i="3"/>
  <c r="L9" i="3" s="1"/>
  <c r="M9" i="3" s="1"/>
  <c r="S25" i="2"/>
  <c r="T25" i="2"/>
  <c r="V25" i="2" s="1"/>
  <c r="W25" i="2" s="1"/>
  <c r="E19" i="2"/>
  <c r="F19" i="2"/>
  <c r="H19" i="2" s="1"/>
  <c r="I19" i="2" s="1"/>
  <c r="S36" i="2"/>
  <c r="T36" i="2"/>
  <c r="V36" i="2" s="1"/>
  <c r="W36" i="2" s="1"/>
  <c r="F33" i="2"/>
  <c r="H33" i="2" s="1"/>
  <c r="I33" i="2" s="1"/>
  <c r="E33" i="2"/>
  <c r="AF32" i="2"/>
  <c r="AH32" i="2" s="1"/>
  <c r="AI32" i="2" s="1"/>
  <c r="P9" i="1"/>
  <c r="Q9" i="1" s="1"/>
  <c r="S23" i="2"/>
  <c r="T23" i="2"/>
  <c r="V23" i="2" s="1"/>
  <c r="W23" i="2" s="1"/>
  <c r="J30" i="3"/>
  <c r="L30" i="3" s="1"/>
  <c r="M30" i="3" s="1"/>
  <c r="M18" i="2"/>
  <c r="O18" i="2" s="1"/>
  <c r="P18" i="2" s="1"/>
  <c r="L18" i="2"/>
  <c r="G10" i="3"/>
  <c r="H10" i="3" s="1"/>
  <c r="G31" i="3"/>
  <c r="H31" i="3" s="1"/>
  <c r="P31" i="3" s="1"/>
  <c r="Q31" i="3" s="1"/>
  <c r="F7" i="2"/>
  <c r="H7" i="2" s="1"/>
  <c r="I7" i="2" s="1"/>
  <c r="E7" i="2"/>
  <c r="P8" i="1"/>
  <c r="Q8" i="1" s="1"/>
  <c r="F8" i="2"/>
  <c r="H8" i="2" s="1"/>
  <c r="I8" i="2" s="1"/>
  <c r="E8" i="2"/>
  <c r="J21" i="3"/>
  <c r="L21" i="3" s="1"/>
  <c r="M21" i="3" s="1"/>
  <c r="I13" i="1"/>
  <c r="J13" i="1" s="1"/>
  <c r="F12" i="2"/>
  <c r="H12" i="2" s="1"/>
  <c r="I12" i="2" s="1"/>
  <c r="E12" i="2"/>
  <c r="L29" i="2"/>
  <c r="M29" i="2"/>
  <c r="O29" i="2" s="1"/>
  <c r="P29" i="2" s="1"/>
  <c r="J39" i="3"/>
  <c r="L39" i="3" s="1"/>
  <c r="M39" i="3" s="1"/>
  <c r="P14" i="1"/>
  <c r="Q14" i="1" s="1"/>
  <c r="J27" i="3"/>
  <c r="L27" i="3" s="1"/>
  <c r="M27" i="3" s="1"/>
  <c r="G22" i="3"/>
  <c r="H22" i="3" s="1"/>
  <c r="S39" i="2"/>
  <c r="T39" i="2"/>
  <c r="V39" i="2" s="1"/>
  <c r="W39" i="2" s="1"/>
  <c r="L11" i="2"/>
  <c r="M11" i="2"/>
  <c r="O11" i="2" s="1"/>
  <c r="P11" i="2" s="1"/>
  <c r="M28" i="2"/>
  <c r="O28" i="2" s="1"/>
  <c r="P28" i="2" s="1"/>
  <c r="L28" i="2"/>
  <c r="AF26" i="2"/>
  <c r="AH26" i="2" s="1"/>
  <c r="AI26" i="2" s="1"/>
  <c r="J18" i="3"/>
  <c r="L18" i="3" s="1"/>
  <c r="M18" i="3" s="1"/>
  <c r="G36" i="3"/>
  <c r="H36" i="3" s="1"/>
  <c r="F17" i="2"/>
  <c r="H17" i="2" s="1"/>
  <c r="I17" i="2" s="1"/>
  <c r="E17" i="2"/>
  <c r="J16" i="3"/>
  <c r="L16" i="3" s="1"/>
  <c r="M16" i="3" s="1"/>
  <c r="I10" i="1"/>
  <c r="J10" i="1" s="1"/>
  <c r="AZ10" i="1" s="1"/>
  <c r="BA10" i="1" s="1"/>
  <c r="G15" i="3"/>
  <c r="H15" i="3" s="1"/>
  <c r="AF8" i="2"/>
  <c r="AH8" i="2" s="1"/>
  <c r="AI8" i="2" s="1"/>
  <c r="J29" i="3"/>
  <c r="L29" i="3" s="1"/>
  <c r="M29" i="3" s="1"/>
  <c r="G8" i="3"/>
  <c r="H8" i="3" s="1"/>
  <c r="P8" i="3" s="1"/>
  <c r="Q8" i="3" s="1"/>
  <c r="AF15" i="2"/>
  <c r="AH15" i="2" s="1"/>
  <c r="AI15" i="2" s="1"/>
  <c r="L36" i="2"/>
  <c r="M36" i="2"/>
  <c r="O36" i="2" s="1"/>
  <c r="P36" i="2" s="1"/>
  <c r="S24" i="2"/>
  <c r="T24" i="2"/>
  <c r="V24" i="2" s="1"/>
  <c r="W24" i="2" s="1"/>
  <c r="M33" i="2"/>
  <c r="O33" i="2" s="1"/>
  <c r="P33" i="2" s="1"/>
  <c r="L33" i="2"/>
  <c r="M35" i="2"/>
  <c r="O35" i="2" s="1"/>
  <c r="P35" i="2" s="1"/>
  <c r="L35" i="2"/>
  <c r="G39" i="3"/>
  <c r="H39" i="3" s="1"/>
  <c r="P39" i="3" s="1"/>
  <c r="Q39" i="3" s="1"/>
  <c r="M20" i="2"/>
  <c r="O20" i="2" s="1"/>
  <c r="P20" i="2" s="1"/>
  <c r="L20" i="2"/>
  <c r="M19" i="2"/>
  <c r="O19" i="2" s="1"/>
  <c r="P19" i="2" s="1"/>
  <c r="L19" i="2"/>
  <c r="J14" i="3"/>
  <c r="L14" i="3" s="1"/>
  <c r="M14" i="3" s="1"/>
  <c r="M26" i="2"/>
  <c r="O26" i="2" s="1"/>
  <c r="P26" i="2" s="1"/>
  <c r="L26" i="2"/>
  <c r="G28" i="3"/>
  <c r="H28" i="3" s="1"/>
  <c r="P28" i="3" s="1"/>
  <c r="Q28" i="3" s="1"/>
  <c r="AT13" i="1"/>
  <c r="AV13" i="1" s="1"/>
  <c r="AW13" i="1" s="1"/>
  <c r="J17" i="3"/>
  <c r="L17" i="3" s="1"/>
  <c r="M17" i="3" s="1"/>
  <c r="E36" i="2"/>
  <c r="F36" i="2"/>
  <c r="H36" i="2" s="1"/>
  <c r="I36" i="2" s="1"/>
  <c r="AL36" i="2" s="1"/>
  <c r="AM36" i="2" s="1"/>
  <c r="M16" i="2"/>
  <c r="O16" i="2" s="1"/>
  <c r="P16" i="2" s="1"/>
  <c r="L16" i="2"/>
  <c r="AH9" i="1"/>
  <c r="AJ9" i="1" s="1"/>
  <c r="AK9" i="1" s="1"/>
  <c r="AG9" i="1"/>
  <c r="G21" i="3"/>
  <c r="H21" i="3" s="1"/>
  <c r="J34" i="3"/>
  <c r="L34" i="3" s="1"/>
  <c r="M34" i="3" s="1"/>
  <c r="S27" i="2"/>
  <c r="T27" i="2"/>
  <c r="V27" i="2" s="1"/>
  <c r="W27" i="2" s="1"/>
  <c r="T14" i="2"/>
  <c r="V14" i="2" s="1"/>
  <c r="W14" i="2" s="1"/>
  <c r="AF13" i="2"/>
  <c r="AH13" i="2" s="1"/>
  <c r="AI13" i="2" s="1"/>
  <c r="AH15" i="1"/>
  <c r="AJ15" i="1" s="1"/>
  <c r="AK15" i="1" s="1"/>
  <c r="AG15" i="1"/>
  <c r="G13" i="3"/>
  <c r="H13" i="3" s="1"/>
  <c r="P13" i="3" s="1"/>
  <c r="Q13" i="3" s="1"/>
  <c r="J20" i="3"/>
  <c r="L20" i="3" s="1"/>
  <c r="M20" i="3" s="1"/>
  <c r="J23" i="3"/>
  <c r="L23" i="3" s="1"/>
  <c r="M23" i="3" s="1"/>
  <c r="AF19" i="2"/>
  <c r="AH19" i="2" s="1"/>
  <c r="AI19" i="2" s="1"/>
  <c r="T33" i="2"/>
  <c r="V33" i="2" s="1"/>
  <c r="W33" i="2" s="1"/>
  <c r="AF23" i="2"/>
  <c r="AH23" i="2" s="1"/>
  <c r="AI23" i="2" s="1"/>
  <c r="E31" i="2"/>
  <c r="F31" i="2"/>
  <c r="H31" i="2" s="1"/>
  <c r="I31" i="2" s="1"/>
  <c r="M14" i="2"/>
  <c r="O14" i="2" s="1"/>
  <c r="P14" i="2" s="1"/>
  <c r="L14" i="2"/>
  <c r="J15" i="3"/>
  <c r="L15" i="3" s="1"/>
  <c r="M15" i="3" s="1"/>
  <c r="AT9" i="1"/>
  <c r="AV9" i="1" s="1"/>
  <c r="AW9" i="1" s="1"/>
  <c r="AG14" i="1"/>
  <c r="AH14" i="1"/>
  <c r="AJ14" i="1" s="1"/>
  <c r="AK14" i="1" s="1"/>
  <c r="L30" i="2"/>
  <c r="M30" i="2"/>
  <c r="O30" i="2" s="1"/>
  <c r="P30" i="2" s="1"/>
  <c r="AF30" i="2"/>
  <c r="AH30" i="2" s="1"/>
  <c r="AI30" i="2" s="1"/>
  <c r="F13" i="2"/>
  <c r="H13" i="2" s="1"/>
  <c r="I13" i="2" s="1"/>
  <c r="E13" i="2"/>
  <c r="F24" i="2"/>
  <c r="H24" i="2" s="1"/>
  <c r="I24" i="2" s="1"/>
  <c r="E24" i="2"/>
  <c r="P11" i="1"/>
  <c r="Q11" i="1" s="1"/>
  <c r="W15" i="1"/>
  <c r="X15" i="1" s="1"/>
  <c r="L15" i="2"/>
  <c r="M15" i="2"/>
  <c r="O15" i="2" s="1"/>
  <c r="P15" i="2" s="1"/>
  <c r="F20" i="2"/>
  <c r="H20" i="2" s="1"/>
  <c r="I20" i="2" s="1"/>
  <c r="E20" i="2"/>
  <c r="J8" i="3"/>
  <c r="L8" i="3" s="1"/>
  <c r="M8" i="3" s="1"/>
  <c r="L32" i="2"/>
  <c r="M32" i="2"/>
  <c r="O32" i="2" s="1"/>
  <c r="P32" i="2" s="1"/>
  <c r="F39" i="2"/>
  <c r="H39" i="2" s="1"/>
  <c r="I39" i="2" s="1"/>
  <c r="E39" i="2"/>
  <c r="S45" i="2"/>
  <c r="T45" i="2"/>
  <c r="V45" i="2" s="1"/>
  <c r="W45" i="2" s="1"/>
  <c r="AD14" i="1"/>
  <c r="AE14" i="1" s="1"/>
  <c r="I15" i="1"/>
  <c r="J15" i="1" s="1"/>
  <c r="J32" i="3"/>
  <c r="L32" i="3" s="1"/>
  <c r="M32" i="3" s="1"/>
  <c r="F45" i="2"/>
  <c r="H45" i="2" s="1"/>
  <c r="I45" i="2" s="1"/>
  <c r="E45" i="2"/>
  <c r="T29" i="2"/>
  <c r="V29" i="2" s="1"/>
  <c r="W29" i="2" s="1"/>
  <c r="S29" i="2"/>
  <c r="T40" i="2"/>
  <c r="V40" i="2" s="1"/>
  <c r="W40" i="2" s="1"/>
  <c r="T35" i="2"/>
  <c r="V35" i="2" s="1"/>
  <c r="W35" i="2" s="1"/>
  <c r="J22" i="3"/>
  <c r="L22" i="3" s="1"/>
  <c r="M22" i="3" s="1"/>
  <c r="E11" i="2"/>
  <c r="F11" i="2"/>
  <c r="H11" i="2" s="1"/>
  <c r="I11" i="2" s="1"/>
  <c r="G32" i="3"/>
  <c r="H32" i="3" s="1"/>
  <c r="F43" i="2"/>
  <c r="H43" i="2" s="1"/>
  <c r="I43" i="2" s="1"/>
  <c r="AL43" i="2" s="1"/>
  <c r="AM43" i="2" s="1"/>
  <c r="E43" i="2"/>
  <c r="G25" i="3"/>
  <c r="H25" i="3" s="1"/>
  <c r="P25" i="3" s="1"/>
  <c r="Q25" i="3" s="1"/>
  <c r="F25" i="2"/>
  <c r="H25" i="2" s="1"/>
  <c r="I25" i="2" s="1"/>
  <c r="E25" i="2"/>
  <c r="L21" i="2"/>
  <c r="M21" i="2"/>
  <c r="O21" i="2" s="1"/>
  <c r="P21" i="2" s="1"/>
  <c r="AF44" i="2"/>
  <c r="AH44" i="2" s="1"/>
  <c r="AI44" i="2" s="1"/>
  <c r="AF24" i="2"/>
  <c r="AH24" i="2" s="1"/>
  <c r="AI24" i="2" s="1"/>
  <c r="L43" i="2"/>
  <c r="M43" i="2"/>
  <c r="O43" i="2" s="1"/>
  <c r="P43" i="2" s="1"/>
  <c r="E22" i="2"/>
  <c r="F22" i="2"/>
  <c r="H22" i="2" s="1"/>
  <c r="I22" i="2" s="1"/>
  <c r="F38" i="2"/>
  <c r="H38" i="2" s="1"/>
  <c r="I38" i="2" s="1"/>
  <c r="AL38" i="2" s="1"/>
  <c r="AM38" i="2" s="1"/>
  <c r="E38" i="2"/>
  <c r="J35" i="3"/>
  <c r="L35" i="3" s="1"/>
  <c r="M35" i="3" s="1"/>
  <c r="L39" i="2"/>
  <c r="M39" i="2"/>
  <c r="O39" i="2" s="1"/>
  <c r="P39" i="2" s="1"/>
  <c r="AF33" i="2"/>
  <c r="AH33" i="2" s="1"/>
  <c r="AI33" i="2" s="1"/>
  <c r="G38" i="3"/>
  <c r="H38" i="3" s="1"/>
  <c r="AF43" i="2"/>
  <c r="AH43" i="2" s="1"/>
  <c r="AI43" i="2" s="1"/>
  <c r="J10" i="3"/>
  <c r="L10" i="3" s="1"/>
  <c r="M10" i="3" s="1"/>
  <c r="AF38" i="2"/>
  <c r="AH38" i="2" s="1"/>
  <c r="AI38" i="2" s="1"/>
  <c r="G27" i="3"/>
  <c r="H27" i="3" s="1"/>
  <c r="P27" i="3" s="1"/>
  <c r="Q27" i="3" s="1"/>
  <c r="F32" i="2"/>
  <c r="H32" i="2" s="1"/>
  <c r="I32" i="2" s="1"/>
  <c r="AL32" i="2" s="1"/>
  <c r="AM32" i="2" s="1"/>
  <c r="E32" i="2"/>
  <c r="AF9" i="2"/>
  <c r="AH9" i="2" s="1"/>
  <c r="AI9" i="2" s="1"/>
  <c r="AL9" i="2" s="1"/>
  <c r="AM9" i="2" s="1"/>
  <c r="AF16" i="2"/>
  <c r="AH16" i="2" s="1"/>
  <c r="AI16" i="2" s="1"/>
  <c r="S42" i="2"/>
  <c r="T42" i="2"/>
  <c r="V42" i="2" s="1"/>
  <c r="W42" i="2" s="1"/>
  <c r="S11" i="2"/>
  <c r="T11" i="2"/>
  <c r="V11" i="2" s="1"/>
  <c r="W11" i="2" s="1"/>
  <c r="F30" i="2"/>
  <c r="H30" i="2" s="1"/>
  <c r="I30" i="2" s="1"/>
  <c r="E30" i="2"/>
  <c r="AF35" i="2"/>
  <c r="AH35" i="2" s="1"/>
  <c r="AI35" i="2" s="1"/>
  <c r="F14" i="2"/>
  <c r="H14" i="2" s="1"/>
  <c r="I14" i="2" s="1"/>
  <c r="E14" i="2"/>
  <c r="S15" i="2"/>
  <c r="T15" i="2"/>
  <c r="V15" i="2" s="1"/>
  <c r="W15" i="2" s="1"/>
  <c r="L38" i="2"/>
  <c r="M38" i="2"/>
  <c r="O38" i="2" s="1"/>
  <c r="P38" i="2" s="1"/>
  <c r="S20" i="2"/>
  <c r="T20" i="2"/>
  <c r="V20" i="2" s="1"/>
  <c r="W20" i="2" s="1"/>
  <c r="G14" i="3"/>
  <c r="H14" i="3" s="1"/>
  <c r="P14" i="3" s="1"/>
  <c r="Q14" i="3" s="1"/>
  <c r="F29" i="2"/>
  <c r="H29" i="2" s="1"/>
  <c r="I29" i="2" s="1"/>
  <c r="AL29" i="2" s="1"/>
  <c r="AM29" i="2" s="1"/>
  <c r="E29" i="2"/>
  <c r="G11" i="3"/>
  <c r="H11" i="3" s="1"/>
  <c r="I9" i="1"/>
  <c r="J9" i="1" s="1"/>
  <c r="I12" i="1"/>
  <c r="J12" i="1" s="1"/>
  <c r="AZ12" i="1" s="1"/>
  <c r="BA12" i="1" s="1"/>
  <c r="J40" i="3"/>
  <c r="L40" i="3" s="1"/>
  <c r="M40" i="3" s="1"/>
  <c r="J41" i="3"/>
  <c r="L41" i="3" s="1"/>
  <c r="M41" i="3" s="1"/>
  <c r="F15" i="2"/>
  <c r="H15" i="2" s="1"/>
  <c r="I15" i="2" s="1"/>
  <c r="E15" i="2"/>
  <c r="AF34" i="2"/>
  <c r="AH34" i="2" s="1"/>
  <c r="AI34" i="2" s="1"/>
  <c r="AD12" i="1"/>
  <c r="AE12" i="1" s="1"/>
  <c r="AF21" i="2"/>
  <c r="AH21" i="2" s="1"/>
  <c r="AI21" i="2" s="1"/>
  <c r="AF20" i="2"/>
  <c r="AH20" i="2" s="1"/>
  <c r="AI20" i="2" s="1"/>
  <c r="J26" i="3"/>
  <c r="L26" i="3" s="1"/>
  <c r="M26" i="3" s="1"/>
  <c r="T32" i="2"/>
  <c r="V32" i="2" s="1"/>
  <c r="W32" i="2" s="1"/>
  <c r="S32" i="2"/>
  <c r="AF7" i="2"/>
  <c r="AH7" i="2" s="1"/>
  <c r="AI7" i="2" s="1"/>
  <c r="G18" i="3"/>
  <c r="H18" i="3" s="1"/>
  <c r="P18" i="3" s="1"/>
  <c r="Q18" i="3" s="1"/>
  <c r="I11" i="1"/>
  <c r="J11" i="1" s="1"/>
  <c r="AF25" i="2"/>
  <c r="AH25" i="2" s="1"/>
  <c r="AI25" i="2" s="1"/>
  <c r="G41" i="3"/>
  <c r="H41" i="3" s="1"/>
  <c r="G37" i="3"/>
  <c r="H37" i="3" s="1"/>
  <c r="J12" i="3"/>
  <c r="L12" i="3" s="1"/>
  <c r="M12" i="3" s="1"/>
  <c r="F23" i="2"/>
  <c r="H23" i="2" s="1"/>
  <c r="I23" i="2" s="1"/>
  <c r="E23" i="2"/>
  <c r="J33" i="3"/>
  <c r="L33" i="3" s="1"/>
  <c r="M33" i="3" s="1"/>
  <c r="AF42" i="2"/>
  <c r="AH42" i="2" s="1"/>
  <c r="AI42" i="2" s="1"/>
  <c r="M12" i="2"/>
  <c r="O12" i="2" s="1"/>
  <c r="P12" i="2" s="1"/>
  <c r="L12" i="2"/>
  <c r="J36" i="3"/>
  <c r="L36" i="3" s="1"/>
  <c r="M36" i="3" s="1"/>
  <c r="S38" i="2"/>
  <c r="T38" i="2"/>
  <c r="V38" i="2" s="1"/>
  <c r="W38" i="2" s="1"/>
  <c r="AF12" i="2"/>
  <c r="AH12" i="2" s="1"/>
  <c r="AI12" i="2" s="1"/>
  <c r="M25" i="2"/>
  <c r="O25" i="2" s="1"/>
  <c r="P25" i="2" s="1"/>
  <c r="L25" i="2"/>
  <c r="AF17" i="2"/>
  <c r="AH17" i="2" s="1"/>
  <c r="AI17" i="2" s="1"/>
  <c r="AF41" i="2"/>
  <c r="AH41" i="2" s="1"/>
  <c r="AI41" i="2" s="1"/>
  <c r="S16" i="2"/>
  <c r="T16" i="2"/>
  <c r="V16" i="2" s="1"/>
  <c r="W16" i="2" s="1"/>
  <c r="AD9" i="1"/>
  <c r="AE9" i="1" s="1"/>
  <c r="AD13" i="1"/>
  <c r="AE13" i="1" s="1"/>
  <c r="AF14" i="2"/>
  <c r="AH14" i="2" s="1"/>
  <c r="AI14" i="2" s="1"/>
  <c r="AF28" i="2"/>
  <c r="AH28" i="2" s="1"/>
  <c r="AI28" i="2" s="1"/>
  <c r="L17" i="2"/>
  <c r="M17" i="2"/>
  <c r="O17" i="2" s="1"/>
  <c r="P17" i="2" s="1"/>
  <c r="J38" i="3"/>
  <c r="L38" i="3" s="1"/>
  <c r="M38" i="3" s="1"/>
  <c r="M24" i="2"/>
  <c r="O24" i="2" s="1"/>
  <c r="P24" i="2" s="1"/>
  <c r="L24" i="2"/>
  <c r="AT12" i="1"/>
  <c r="AV12" i="1" s="1"/>
  <c r="AW12" i="1" s="1"/>
  <c r="G16" i="3"/>
  <c r="H16" i="3" s="1"/>
  <c r="P16" i="3" s="1"/>
  <c r="Q16" i="3" s="1"/>
  <c r="G9" i="3"/>
  <c r="H9" i="3" s="1"/>
  <c r="S44" i="2"/>
  <c r="T44" i="2"/>
  <c r="V44" i="2" s="1"/>
  <c r="W44" i="2" s="1"/>
  <c r="G40" i="3"/>
  <c r="H40" i="3" s="1"/>
  <c r="P40" i="3" s="1"/>
  <c r="Q40" i="3" s="1"/>
  <c r="S28" i="2"/>
  <c r="T28" i="2"/>
  <c r="V28" i="2" s="1"/>
  <c r="W28" i="2" s="1"/>
  <c r="T21" i="2"/>
  <c r="V21" i="2" s="1"/>
  <c r="W21" i="2" s="1"/>
  <c r="L7" i="2"/>
  <c r="M7" i="2"/>
  <c r="O7" i="2" s="1"/>
  <c r="P7" i="2" s="1"/>
  <c r="AF27" i="2"/>
  <c r="AH27" i="2" s="1"/>
  <c r="AI27" i="2" s="1"/>
  <c r="M44" i="2"/>
  <c r="O44" i="2" s="1"/>
  <c r="P44" i="2" s="1"/>
  <c r="L44" i="2"/>
  <c r="F18" i="2"/>
  <c r="H18" i="2" s="1"/>
  <c r="I18" i="2" s="1"/>
  <c r="E18" i="2"/>
  <c r="AT14" i="1"/>
  <c r="AV14" i="1" s="1"/>
  <c r="AW14" i="1" s="1"/>
  <c r="E41" i="2"/>
  <c r="F41" i="2"/>
  <c r="H41" i="2" s="1"/>
  <c r="I41" i="2" s="1"/>
  <c r="AH12" i="1"/>
  <c r="AJ12" i="1" s="1"/>
  <c r="AK12" i="1" s="1"/>
  <c r="AG12" i="1"/>
  <c r="S30" i="2"/>
  <c r="T30" i="2"/>
  <c r="V30" i="2" s="1"/>
  <c r="W30" i="2" s="1"/>
  <c r="AT8" i="1"/>
  <c r="AV8" i="1" s="1"/>
  <c r="AW8" i="1" s="1"/>
  <c r="L45" i="2"/>
  <c r="M45" i="2"/>
  <c r="O45" i="2" s="1"/>
  <c r="P45" i="2" s="1"/>
  <c r="G17" i="3"/>
  <c r="H17" i="3" s="1"/>
  <c r="P17" i="3" s="1"/>
  <c r="Q17" i="3" s="1"/>
  <c r="G30" i="3"/>
  <c r="H30" i="3" s="1"/>
  <c r="AT15" i="1"/>
  <c r="AV15" i="1" s="1"/>
  <c r="AW15" i="1" s="1"/>
  <c r="G19" i="3"/>
  <c r="H19" i="3" s="1"/>
  <c r="P19" i="3" s="1"/>
  <c r="Q19" i="3" s="1"/>
  <c r="M23" i="2"/>
  <c r="O23" i="2" s="1"/>
  <c r="P23" i="2" s="1"/>
  <c r="L23" i="2"/>
  <c r="T12" i="2"/>
  <c r="V12" i="2" s="1"/>
  <c r="W12" i="2" s="1"/>
  <c r="AF31" i="2"/>
  <c r="AH31" i="2" s="1"/>
  <c r="AI31" i="2" s="1"/>
  <c r="T31" i="2"/>
  <c r="V31" i="2" s="1"/>
  <c r="W31" i="2" s="1"/>
  <c r="S31" i="2"/>
  <c r="L42" i="2"/>
  <c r="M42" i="2"/>
  <c r="O42" i="2" s="1"/>
  <c r="P42" i="2" s="1"/>
  <c r="T7" i="2"/>
  <c r="V7" i="2" s="1"/>
  <c r="W7" i="2" s="1"/>
  <c r="S7" i="2"/>
  <c r="AF37" i="2"/>
  <c r="AH37" i="2" s="1"/>
  <c r="AI37" i="2" s="1"/>
  <c r="AL37" i="2" s="1"/>
  <c r="AM37" i="2" s="1"/>
  <c r="S26" i="2"/>
  <c r="T26" i="2"/>
  <c r="V26" i="2" s="1"/>
  <c r="W26" i="2" s="1"/>
  <c r="I8" i="1"/>
  <c r="J8" i="1" s="1"/>
  <c r="S41" i="2"/>
  <c r="T41" i="2"/>
  <c r="V41" i="2" s="1"/>
  <c r="W41" i="2" s="1"/>
  <c r="G12" i="3"/>
  <c r="H12" i="3" s="1"/>
  <c r="P12" i="3" s="1"/>
  <c r="Q12" i="3" s="1"/>
  <c r="P13" i="1"/>
  <c r="Q13" i="1" s="1"/>
  <c r="S34" i="2"/>
  <c r="T34" i="2"/>
  <c r="V34" i="2" s="1"/>
  <c r="W34" i="2" s="1"/>
  <c r="AL34" i="2" s="1"/>
  <c r="AM34" i="2" s="1"/>
  <c r="J24" i="3"/>
  <c r="L24" i="3" s="1"/>
  <c r="M24" i="3" s="1"/>
  <c r="F44" i="2"/>
  <c r="H44" i="2" s="1"/>
  <c r="I44" i="2" s="1"/>
  <c r="E44" i="2"/>
  <c r="AF22" i="2"/>
  <c r="AH22" i="2" s="1"/>
  <c r="AI22" i="2" s="1"/>
  <c r="M41" i="2"/>
  <c r="O41" i="2" s="1"/>
  <c r="P41" i="2" s="1"/>
  <c r="L41" i="2"/>
  <c r="T19" i="2"/>
  <c r="V19" i="2" s="1"/>
  <c r="W19" i="2" s="1"/>
  <c r="S19" i="2"/>
  <c r="AF36" i="2"/>
  <c r="AH36" i="2" s="1"/>
  <c r="AI36" i="2" s="1"/>
  <c r="F28" i="2"/>
  <c r="H28" i="2" s="1"/>
  <c r="I28" i="2" s="1"/>
  <c r="E28" i="2"/>
  <c r="AH13" i="1"/>
  <c r="AJ13" i="1" s="1"/>
  <c r="AK13" i="1" s="1"/>
  <c r="AG13" i="1"/>
  <c r="L8" i="2"/>
  <c r="M8" i="2"/>
  <c r="O8" i="2" s="1"/>
  <c r="P8" i="2" s="1"/>
  <c r="J37" i="3"/>
  <c r="L37" i="3" s="1"/>
  <c r="M37" i="3" s="1"/>
  <c r="L27" i="2"/>
  <c r="M27" i="2"/>
  <c r="O27" i="2" s="1"/>
  <c r="P27" i="2" s="1"/>
  <c r="G35" i="3"/>
  <c r="H35" i="3" s="1"/>
  <c r="P35" i="3" s="1"/>
  <c r="Q35" i="3" s="1"/>
  <c r="G33" i="3"/>
  <c r="H33" i="3" s="1"/>
  <c r="G26" i="3"/>
  <c r="H26" i="3" s="1"/>
  <c r="AT10" i="1"/>
  <c r="AV10" i="1" s="1"/>
  <c r="AW10" i="1" s="1"/>
  <c r="E42" i="2"/>
  <c r="F42" i="2"/>
  <c r="H42" i="2" s="1"/>
  <c r="I42" i="2" s="1"/>
  <c r="AF18" i="2"/>
  <c r="AH18" i="2" s="1"/>
  <c r="AI18" i="2" s="1"/>
  <c r="L13" i="2"/>
  <c r="M13" i="2"/>
  <c r="O13" i="2" s="1"/>
  <c r="P13" i="2" s="1"/>
  <c r="J11" i="3"/>
  <c r="L11" i="3" s="1"/>
  <c r="M11" i="3" s="1"/>
  <c r="S8" i="2"/>
  <c r="T8" i="2"/>
  <c r="V8" i="2" s="1"/>
  <c r="W8" i="2" s="1"/>
  <c r="AF40" i="2"/>
  <c r="AH40" i="2" s="1"/>
  <c r="AI40" i="2" s="1"/>
  <c r="AF10" i="2"/>
  <c r="AH10" i="2" s="1"/>
  <c r="AI10" i="2" s="1"/>
  <c r="AL10" i="2" s="1"/>
  <c r="AM10" i="2" s="1"/>
  <c r="T43" i="2"/>
  <c r="V43" i="2" s="1"/>
  <c r="W43" i="2" s="1"/>
  <c r="S43" i="2"/>
  <c r="M40" i="2"/>
  <c r="O40" i="2" s="1"/>
  <c r="P40" i="2" s="1"/>
  <c r="L40" i="2"/>
  <c r="G29" i="3"/>
  <c r="H29" i="3" s="1"/>
  <c r="G34" i="3"/>
  <c r="H34" i="3" s="1"/>
  <c r="P34" i="3" s="1"/>
  <c r="Q34" i="3" s="1"/>
  <c r="L31" i="2"/>
  <c r="M31" i="2"/>
  <c r="O31" i="2" s="1"/>
  <c r="P31" i="2" s="1"/>
  <c r="AL27" i="2" l="1"/>
  <c r="AM27" i="2" s="1"/>
  <c r="AL35" i="2"/>
  <c r="AM35" i="2" s="1"/>
  <c r="AZ13" i="1"/>
  <c r="BA13" i="1" s="1"/>
  <c r="AL30" i="2"/>
  <c r="AM30" i="2" s="1"/>
  <c r="P38" i="3"/>
  <c r="Q38" i="3" s="1"/>
  <c r="AZ11" i="1"/>
  <c r="BA11" i="1" s="1"/>
  <c r="AL45" i="2"/>
  <c r="AM45" i="2" s="1"/>
  <c r="AL20" i="2"/>
  <c r="AM20" i="2" s="1"/>
  <c r="AL12" i="2"/>
  <c r="AM12" i="2" s="1"/>
  <c r="P22" i="3"/>
  <c r="Q22" i="3" s="1"/>
  <c r="AL24" i="2"/>
  <c r="AM24" i="2" s="1"/>
  <c r="AL16" i="2"/>
  <c r="AM16" i="2" s="1"/>
  <c r="AL22" i="2"/>
  <c r="AM22" i="2" s="1"/>
  <c r="P30" i="3"/>
  <c r="Q30" i="3" s="1"/>
  <c r="AL8" i="2"/>
  <c r="AM8" i="2" s="1"/>
  <c r="AL40" i="2"/>
  <c r="AM40" i="2" s="1"/>
  <c r="AZ15" i="1"/>
  <c r="BA15" i="1" s="1"/>
  <c r="AL44" i="2"/>
  <c r="AM44" i="2" s="1"/>
  <c r="P11" i="3"/>
  <c r="Q11" i="3" s="1"/>
  <c r="AL42" i="2"/>
  <c r="AM42" i="2" s="1"/>
  <c r="AL23" i="2"/>
  <c r="AM23" i="2" s="1"/>
  <c r="AL39" i="2"/>
  <c r="AM39" i="2" s="1"/>
  <c r="AL17" i="2"/>
  <c r="AM17" i="2" s="1"/>
  <c r="AL7" i="2"/>
  <c r="AM7" i="2" s="1"/>
  <c r="P24" i="3"/>
  <c r="Q24" i="3" s="1"/>
  <c r="AZ9" i="1"/>
  <c r="BA9" i="1" s="1"/>
  <c r="AL33" i="2"/>
  <c r="AM33" i="2" s="1"/>
  <c r="AL28" i="2"/>
  <c r="AM28" i="2" s="1"/>
  <c r="P26" i="3"/>
  <c r="Q26" i="3" s="1"/>
  <c r="AL21" i="2"/>
  <c r="AM21" i="2" s="1"/>
  <c r="AL13" i="2"/>
  <c r="AM13" i="2" s="1"/>
  <c r="P36" i="3"/>
  <c r="Q36" i="3" s="1"/>
  <c r="AL41" i="2"/>
  <c r="AM41" i="2" s="1"/>
  <c r="AL14" i="2"/>
  <c r="AM14" i="2" s="1"/>
  <c r="P15" i="3"/>
  <c r="Q15" i="3" s="1"/>
  <c r="P29" i="3"/>
  <c r="Q29" i="3" s="1"/>
  <c r="AL18" i="2"/>
  <c r="AM18" i="2" s="1"/>
  <c r="AL11" i="2"/>
  <c r="AM11" i="2" s="1"/>
  <c r="P37" i="3"/>
  <c r="Q37" i="3" s="1"/>
  <c r="P21" i="3"/>
  <c r="Q21" i="3" s="1"/>
  <c r="P10" i="3"/>
  <c r="Q10" i="3" s="1"/>
  <c r="AL19" i="2"/>
  <c r="AM19" i="2" s="1"/>
  <c r="P9" i="3"/>
  <c r="Q9" i="3" s="1"/>
  <c r="AZ14" i="1"/>
  <c r="BA14" i="1" s="1"/>
  <c r="AL31" i="2"/>
  <c r="AM31" i="2" s="1"/>
  <c r="P33" i="3"/>
  <c r="Q33" i="3" s="1"/>
  <c r="P41" i="3"/>
  <c r="Q41" i="3" s="1"/>
  <c r="AL26" i="2"/>
  <c r="AM26" i="2" s="1"/>
  <c r="P32" i="3"/>
  <c r="Q32" i="3" s="1"/>
  <c r="AZ8" i="1"/>
  <c r="BA8" i="1" s="1"/>
  <c r="AL15" i="2"/>
  <c r="AM15" i="2" s="1"/>
  <c r="AL25" i="2"/>
  <c r="AM25" i="2" s="1"/>
  <c r="P20" i="3"/>
  <c r="Q20" i="3" s="1"/>
</calcChain>
</file>

<file path=xl/sharedStrings.xml><?xml version="1.0" encoding="utf-8"?>
<sst xmlns="http://schemas.openxmlformats.org/spreadsheetml/2006/main" count="2408" uniqueCount="220">
  <si>
    <t xml:space="preserve">Bharatiya Vidya Bhavan's 
SARDAR PATEL INSTITUTE OF TECHNOLOGY </t>
  </si>
  <si>
    <t xml:space="preserve"> An Autonomous Institute Affiliated To University Of Mumbai
         Munshi Nagar,Andheri (W) Mumbai 400 058</t>
  </si>
  <si>
    <t xml:space="preserve">EC402 </t>
  </si>
  <si>
    <t>Microwave Communication</t>
  </si>
  <si>
    <t>Information Theory and Coding</t>
  </si>
  <si>
    <t>Speech and Audio Processing</t>
  </si>
  <si>
    <t>Optical Fiber Communication</t>
  </si>
  <si>
    <t>Open Elective IV(NPTEL)</t>
  </si>
  <si>
    <t>Main Project Stage - II</t>
  </si>
  <si>
    <t>SEVA / SATVA</t>
  </si>
  <si>
    <t>TOTAL COURSE CREDITS</t>
  </si>
  <si>
    <t>Credits Earned</t>
  </si>
  <si>
    <t>Total C*GP</t>
  </si>
  <si>
    <t>SEM VIII SGPA</t>
  </si>
  <si>
    <t>Remark</t>
  </si>
  <si>
    <t>Sr. No.</t>
  </si>
  <si>
    <t>UID No.</t>
  </si>
  <si>
    <t>Name</t>
  </si>
  <si>
    <t>ESE marks(out of 100</t>
  </si>
  <si>
    <t>Total marks(out of 100)including Theory ISe+MSE+ESE+Lab ISE+Lab ESE</t>
  </si>
  <si>
    <t>Pass/Fail</t>
  </si>
  <si>
    <t>Grade</t>
  </si>
  <si>
    <t>grade point</t>
  </si>
  <si>
    <t>GP*C</t>
  </si>
  <si>
    <t>SEM I</t>
  </si>
  <si>
    <t>SEM II</t>
  </si>
  <si>
    <t>SEM III</t>
  </si>
  <si>
    <t>SEM IV</t>
  </si>
  <si>
    <t>SEM V</t>
  </si>
  <si>
    <t>SEM VI</t>
  </si>
  <si>
    <t>SEM VII</t>
  </si>
  <si>
    <t>SEM VIII</t>
  </si>
  <si>
    <t>CGPI</t>
  </si>
  <si>
    <t>YCGPI</t>
  </si>
  <si>
    <t>D</t>
  </si>
  <si>
    <t>Successful</t>
  </si>
  <si>
    <t>Open Elective - IV (NPTEL)</t>
  </si>
  <si>
    <t>PE V</t>
  </si>
  <si>
    <t>PE VI</t>
  </si>
  <si>
    <t>SEVA/SATVA</t>
  </si>
  <si>
    <t>Total marks(out of 100)including ISE+ESE</t>
  </si>
  <si>
    <t>Elective</t>
  </si>
  <si>
    <t>Blockchain &amp; Application</t>
  </si>
  <si>
    <t>C</t>
  </si>
  <si>
    <t>Cloud Computing</t>
  </si>
  <si>
    <t>Renewable Energy</t>
  </si>
  <si>
    <t>P</t>
  </si>
  <si>
    <t>Economics</t>
  </si>
  <si>
    <t>Privacy and Security in Online Social Media</t>
  </si>
  <si>
    <t>Internship</t>
  </si>
  <si>
    <t>A</t>
  </si>
  <si>
    <t>uid no</t>
  </si>
  <si>
    <t>name</t>
  </si>
  <si>
    <t>/ AGRAWAL KHUSHI KIRTESH MANISHA</t>
  </si>
  <si>
    <t>ARORA MANAN MANISH MANISHA</t>
  </si>
  <si>
    <t>CHATTERJEE SREEJIT</t>
  </si>
  <si>
    <t>DAMANI JAI VIPUL SHEELA</t>
  </si>
  <si>
    <t>/ DASGUPTA ANUPRIYA SUBHANKAR CHANDRANI</t>
  </si>
  <si>
    <t>DSOUZA DYLAN OSWALD JENNIFER</t>
  </si>
  <si>
    <t>GAWADE ANIKET PRAKASH SUREKHA</t>
  </si>
  <si>
    <t>/ GHOSH OINDRELLA</t>
  </si>
  <si>
    <t>KOUL RITIK DURGA NATH RANJANA</t>
  </si>
  <si>
    <t>KULKARNI SUDHANSHU SUDHEENDRA ASHWINI</t>
  </si>
  <si>
    <t>LADDHA SANSKAR RASHMIN CHHAYA</t>
  </si>
  <si>
    <t>MURALIDARAN SAIKRISHNA N MURALIDARAN LALITHA</t>
  </si>
  <si>
    <t>PUROHIT YUVRAJ MITHALAL PARVATI</t>
  </si>
  <si>
    <t>SARJE SURAJ GOPAL SHOBHA</t>
  </si>
  <si>
    <t>PRANAV SWAMINATHAN</t>
  </si>
  <si>
    <t>CHRIS PAUL CEENA</t>
  </si>
  <si>
    <t>DATTA SOHEL</t>
  </si>
  <si>
    <t>/ ARORA PRERNA JITENDRAKUMAR VIJETA</t>
  </si>
  <si>
    <t>CHALLAWALA HUSAIN KUTBI MOBINA</t>
  </si>
  <si>
    <t>/ GUPTA GARIMA DEVESH</t>
  </si>
  <si>
    <t>/ JOSHI SANSKRUTI SATISH SUJATA</t>
  </si>
  <si>
    <t>/ MOTWANI RICHA JAIRAM DEEPIKA</t>
  </si>
  <si>
    <t>/ NIMRAT KAUR AMAR PAL SINGH SUKHINDER KAUR</t>
  </si>
  <si>
    <t>BADHE NIRANJAN VIJAY SWATI</t>
  </si>
  <si>
    <t>BAFNA HITEN SANTOSH NEETU</t>
  </si>
  <si>
    <t>BANE JAYESH VIKAS NEETA</t>
  </si>
  <si>
    <t>BYWAR PARTH RAJESH</t>
  </si>
  <si>
    <t>/ CHATURVEDI ADITI MAHENDRA SUNITA</t>
  </si>
  <si>
    <t>CHAVAN ANUJ PRAFULLA ANAGHA</t>
  </si>
  <si>
    <t>EVRE SIDDHANT SANTOSH SAKSHI</t>
  </si>
  <si>
    <t>GOKARN ARYAMAN RAJESH VRINDA</t>
  </si>
  <si>
    <t>MANDAVILLI SWAPNIL RAVI KESAV ASHA LATHA</t>
  </si>
  <si>
    <t>MOHANTY SIDDHARTH RAJESH CHINMAYEE</t>
  </si>
  <si>
    <t>MOHIDDIN ADNAN ARSHAD AAFREEN</t>
  </si>
  <si>
    <t>PALLAYIL ABHINAV RAMESH KUMAR DHIVYA</t>
  </si>
  <si>
    <t>PANCHAL GAURAV RAJNIKANT CHANDRIKA</t>
  </si>
  <si>
    <t>/ PATNI KHUSHI NAVIN HEMA</t>
  </si>
  <si>
    <t>SANKHE NACHIKET KALPESH SWATI</t>
  </si>
  <si>
    <t>/ SHETH SARA SAMIR SAMITA</t>
  </si>
  <si>
    <t>SOLANKI PRATHAM DEEPAK SHYAMLEE</t>
  </si>
  <si>
    <t>SOLANKI PRATHAM PRAKASH PUSHPA</t>
  </si>
  <si>
    <t>SONAVANE ATHARVA SANTOSH</t>
  </si>
  <si>
    <t>TIWARI PRANAY DHARMENDRA</t>
  </si>
  <si>
    <t>/ VORA MAITRI TARUN AMITA</t>
  </si>
  <si>
    <t>BLESSED SAM JOSHUA S JESURAJ GEETHA</t>
  </si>
  <si>
    <t>CHOKSHI VISHRUT PANKAJ SEJAL</t>
  </si>
  <si>
    <t>/ HADAL AKSHADA RAMESH CHHAYA</t>
  </si>
  <si>
    <t>/ ISLUR SMRITI VENKAT VARSHA</t>
  </si>
  <si>
    <t>SHAH MITASH ASHISH NAMITA</t>
  </si>
  <si>
    <t>/ WADIKAR YUGANDHARA DATTATRAY SUNITA</t>
  </si>
  <si>
    <t>CHOUDHARI DHIRAJ SHASHIKANT MEGHALI</t>
  </si>
  <si>
    <t>DALI ARYAN MAYUR SAVITRI</t>
  </si>
  <si>
    <t>DESAI ROHIT MANSINGRAO MANGAL</t>
  </si>
  <si>
    <t>/ GADGE SNEHAL ASHOK</t>
  </si>
  <si>
    <t>KADAM YOGESH DASHRATH GANGASAGAR</t>
  </si>
  <si>
    <t>SOMANI DARSHAN AMOL ARUNA</t>
  </si>
  <si>
    <t>DHODI NIRAJ SURESH SUNITA</t>
  </si>
  <si>
    <t>PATEL SHIVAM DHANSUKH RITA</t>
  </si>
  <si>
    <t>/ TRUPTI GOPINATH JAYALAKSHMI</t>
  </si>
  <si>
    <t>/ CHOUDHARY SHWETA GANESH PRIYA</t>
  </si>
  <si>
    <t>LOHAR VISHAL SHANKERLAL LEELA</t>
  </si>
  <si>
    <t>PADOLE ANSHAL SANJAY SNEHAL</t>
  </si>
  <si>
    <t>/ PAL DEEKSHA SANJAY KUMAR PRAGATI</t>
  </si>
  <si>
    <t>/ PETHKAR GAURI SACHIN VANDANA</t>
  </si>
  <si>
    <t>/ RAIPURE ISHIKA RAJKUMAR SUNITA</t>
  </si>
  <si>
    <t>REVANTH VENKATA SOMASUNDARAMURTHY JYOTHULA SURYAPRABHA</t>
  </si>
  <si>
    <t>/ SAVARKAR SNEHA DEVANAND KAMAL</t>
  </si>
  <si>
    <t>SHARMA AYUSH MANOJ DOLLY</t>
  </si>
  <si>
    <t>SINGH HARGOBIND MOHINDER</t>
  </si>
  <si>
    <t>THOSAR KESHAV JAY RADHA</t>
  </si>
  <si>
    <t>GODAMBE MANDAR RAJENDRA JAYSHREE</t>
  </si>
  <si>
    <t>K SREERAM PARAMESWARAN NANDINI</t>
  </si>
  <si>
    <t>/ KALE PURVA VISHWAS VISHAKHA</t>
  </si>
  <si>
    <t>MHATRE KAUSTUBH JANARDAN JYOTI</t>
  </si>
  <si>
    <t>/ MISHRA SHRADDHA SANTOSH SARITA</t>
  </si>
  <si>
    <t>PANCHAL UTSAV SURESH SANGITA</t>
  </si>
  <si>
    <t>SAYED MOHAMMED SAUD NISAR ALMAS</t>
  </si>
  <si>
    <t>/ SHINDE SARVESHA RAJENDRA DEEPA</t>
  </si>
  <si>
    <t>/ THORAT RUTUJA RAMESH KALPANA</t>
  </si>
  <si>
    <t>CONTRACTOR VARUN MANOJ DARSHANA</t>
  </si>
  <si>
    <t>/ RAGHUWANSHI ISHIKA RAJESH SAPNA</t>
  </si>
  <si>
    <t>I</t>
  </si>
  <si>
    <t>II</t>
  </si>
  <si>
    <t>III</t>
  </si>
  <si>
    <t>IV</t>
  </si>
  <si>
    <t>V</t>
  </si>
  <si>
    <t>VI</t>
  </si>
  <si>
    <t>VII</t>
  </si>
  <si>
    <t>VIII</t>
  </si>
  <si>
    <t>TOTAL</t>
  </si>
  <si>
    <t>Final Gazette for  B.Tech Electronics &amp; Telecommunication   Engineering Even  Semester VIII (Inhouse) Regular  Examination May 2023</t>
  </si>
  <si>
    <t>Subject Name</t>
  </si>
  <si>
    <t>Subject Code</t>
  </si>
  <si>
    <t>1T12</t>
  </si>
  <si>
    <t>EC331</t>
  </si>
  <si>
    <t>1T21</t>
  </si>
  <si>
    <t>EC332</t>
  </si>
  <si>
    <t>NPTEL</t>
  </si>
  <si>
    <t>SV/ST</t>
  </si>
  <si>
    <t>-</t>
  </si>
  <si>
    <t>Female</t>
  </si>
  <si>
    <t>/</t>
  </si>
  <si>
    <t>Credit</t>
  </si>
  <si>
    <t>Grade table</t>
  </si>
  <si>
    <t>Grade table with penalty</t>
  </si>
  <si>
    <t>Grace</t>
  </si>
  <si>
    <t>*</t>
  </si>
  <si>
    <t>G</t>
  </si>
  <si>
    <t>% Marks</t>
  </si>
  <si>
    <t>GP</t>
  </si>
  <si>
    <t>Performance</t>
  </si>
  <si>
    <t>LD</t>
  </si>
  <si>
    <t>!</t>
  </si>
  <si>
    <t>Grade Point</t>
  </si>
  <si>
    <t>80.00 and Above</t>
  </si>
  <si>
    <t>O</t>
  </si>
  <si>
    <t>Outstanding</t>
  </si>
  <si>
    <t>75.00 and Above</t>
  </si>
  <si>
    <t>B</t>
  </si>
  <si>
    <t>Very Good</t>
  </si>
  <si>
    <t>RCC</t>
  </si>
  <si>
    <t>C*GP</t>
  </si>
  <si>
    <t>CGP</t>
  </si>
  <si>
    <t>75.00 - 79.99</t>
  </si>
  <si>
    <t>Excellent</t>
  </si>
  <si>
    <t>70.00 - 74.99</t>
  </si>
  <si>
    <t>Good</t>
  </si>
  <si>
    <t>Pass</t>
  </si>
  <si>
    <t>Sum of Credits</t>
  </si>
  <si>
    <t>∑C</t>
  </si>
  <si>
    <t>60.00 - 69.99</t>
  </si>
  <si>
    <t>Fair</t>
  </si>
  <si>
    <t>Fail</t>
  </si>
  <si>
    <t>F</t>
  </si>
  <si>
    <t>Sum of CGPs</t>
  </si>
  <si>
    <t>∑CGP</t>
  </si>
  <si>
    <t>50.00 - 59.99</t>
  </si>
  <si>
    <t>E</t>
  </si>
  <si>
    <t>Average</t>
  </si>
  <si>
    <t>Exempted</t>
  </si>
  <si>
    <t>∑CGP/∑C</t>
  </si>
  <si>
    <t>GPA</t>
  </si>
  <si>
    <t>40.00 - 49.99</t>
  </si>
  <si>
    <t>Reserved for Lower Exam</t>
  </si>
  <si>
    <t>RLE</t>
  </si>
  <si>
    <t>Null &amp; Void</t>
  </si>
  <si>
    <t>NULL</t>
  </si>
  <si>
    <t>45.00 - 49.99</t>
  </si>
  <si>
    <t>Less than 40.00</t>
  </si>
  <si>
    <t>Absent</t>
  </si>
  <si>
    <t>Ab</t>
  </si>
  <si>
    <t>40.00 - 44.99</t>
  </si>
  <si>
    <t>--</t>
  </si>
  <si>
    <t>X</t>
  </si>
  <si>
    <t>Defaulter</t>
  </si>
  <si>
    <t>AB</t>
  </si>
  <si>
    <t xml:space="preserve">Entered By </t>
  </si>
  <si>
    <t>Checked By</t>
  </si>
  <si>
    <t>Verified By</t>
  </si>
  <si>
    <t>Principal</t>
  </si>
  <si>
    <t>Final Gazette for  B.Tech Electronics &amp; Telecommunication   Engineering Even  Semester VIII (Internship Without Credit) Regular  Examination May 2023</t>
  </si>
  <si>
    <t>College Code 735</t>
  </si>
  <si>
    <t>IT403</t>
  </si>
  <si>
    <t>Final Gazette for  B.Tech Electronics &amp; Telecommunication   Engineering Even  Semester VIII (Internship With Credit) Regular  Examination May 2023</t>
  </si>
  <si>
    <t xml:space="preserve">sd/- </t>
  </si>
  <si>
    <t xml:space="preserve">sd/-  </t>
  </si>
  <si>
    <t>sd/-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</si>
</sst>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0"/>
      <color rgb="FF000000"/>
      <name val="Arial"/>
      <scheme val="minor"/>
    </font>
    <font>
      <b/>
      <sz val="14"/>
      <color theme="1"/>
      <name val="Calibri"/>
      <family val="2"/>
    </font>
    <font>
      <b/>
      <sz val="13"/>
      <color theme="1"/>
      <name val="Calibri"/>
      <family val="2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rgb="FF000000"/>
      <name val="Calibri"/>
      <family val="2"/>
    </font>
    <font>
      <sz val="9"/>
      <color rgb="FF000000"/>
      <name val="&quot;Google Sans Mono&quot;"/>
    </font>
    <font>
      <sz val="9"/>
      <color theme="1"/>
      <name val="&quot;Google Sans Mono&quot;"/>
    </font>
    <font>
      <b/>
      <sz val="9"/>
      <color rgb="FF000000"/>
      <name val="Calibri"/>
      <family val="2"/>
    </font>
    <font>
      <sz val="11"/>
      <color theme="1"/>
      <name val="Calibri"/>
      <family val="2"/>
    </font>
    <font>
      <sz val="9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  <scheme val="minor"/>
    </font>
    <font>
      <b/>
      <sz val="8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  <scheme val="minor"/>
    </font>
    <font>
      <sz val="9"/>
      <color theme="1"/>
      <name val="Arial"/>
      <family val="2"/>
      <scheme val="minor"/>
    </font>
    <font>
      <b/>
      <sz val="8"/>
      <color theme="1"/>
      <name val="Arial"/>
      <family val="2"/>
      <scheme val="minor"/>
    </font>
    <font>
      <b/>
      <sz val="10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5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0" fillId="2" borderId="0" xfId="0" applyFont="1" applyFill="1" applyAlignment="1">
      <alignment horizontal="center"/>
    </xf>
    <xf numFmtId="0" fontId="8" fillId="0" borderId="3" xfId="0" applyFont="1" applyBorder="1" applyAlignment="1"/>
    <xf numFmtId="0" fontId="8" fillId="0" borderId="6" xfId="0" applyFont="1" applyBorder="1" applyAlignment="1"/>
    <xf numFmtId="0" fontId="13" fillId="0" borderId="8" xfId="0" applyFont="1" applyBorder="1" applyAlignment="1">
      <alignment horizontal="center"/>
    </xf>
    <xf numFmtId="0" fontId="13" fillId="0" borderId="7" xfId="0" applyFont="1" applyBorder="1" applyAlignment="1"/>
    <xf numFmtId="0" fontId="13" fillId="0" borderId="11" xfId="0" applyFont="1" applyBorder="1" applyAlignment="1">
      <alignment horizontal="center"/>
    </xf>
    <xf numFmtId="0" fontId="14" fillId="0" borderId="11" xfId="0" applyFont="1" applyBorder="1" applyAlignment="1">
      <alignment horizontal="center"/>
    </xf>
    <xf numFmtId="0" fontId="14" fillId="0" borderId="12" xfId="0" applyFont="1" applyBorder="1" applyAlignment="1">
      <alignment horizontal="center"/>
    </xf>
    <xf numFmtId="0" fontId="13" fillId="0" borderId="13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13" fillId="0" borderId="6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14" fillId="0" borderId="13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4" fillId="5" borderId="0" xfId="0" applyFont="1" applyFill="1" applyAlignment="1">
      <alignment horizontal="center"/>
    </xf>
    <xf numFmtId="0" fontId="13" fillId="5" borderId="13" xfId="0" applyFont="1" applyFill="1" applyBorder="1" applyAlignment="1">
      <alignment horizontal="center"/>
    </xf>
    <xf numFmtId="0" fontId="14" fillId="3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8" fillId="3" borderId="10" xfId="0" applyFont="1" applyFill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3" fillId="0" borderId="11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14" fillId="0" borderId="12" xfId="0" applyFont="1" applyBorder="1" applyAlignment="1">
      <alignment horizontal="center"/>
    </xf>
    <xf numFmtId="0" fontId="13" fillId="0" borderId="13" xfId="0" applyFont="1" applyBorder="1" applyAlignment="1">
      <alignment horizontal="center"/>
    </xf>
    <xf numFmtId="0" fontId="3" fillId="0" borderId="11" xfId="0" applyFont="1" applyBorder="1"/>
    <xf numFmtId="0" fontId="3" fillId="0" borderId="13" xfId="0" applyFont="1" applyBorder="1"/>
    <xf numFmtId="0" fontId="13" fillId="0" borderId="13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13" fillId="0" borderId="11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14" fillId="0" borderId="9" xfId="0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13" fillId="5" borderId="6" xfId="0" applyFont="1" applyFill="1" applyBorder="1" applyAlignment="1">
      <alignment horizontal="center"/>
    </xf>
    <xf numFmtId="0" fontId="13" fillId="5" borderId="11" xfId="0" applyFont="1" applyFill="1" applyBorder="1" applyAlignment="1">
      <alignment horizontal="center"/>
    </xf>
    <xf numFmtId="0" fontId="14" fillId="5" borderId="10" xfId="0" applyFont="1" applyFill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8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top" wrapText="1"/>
    </xf>
    <xf numFmtId="0" fontId="9" fillId="2" borderId="6" xfId="0" applyFont="1" applyFill="1" applyBorder="1" applyAlignment="1">
      <alignment horizontal="left" vertical="top" wrapText="1"/>
    </xf>
    <xf numFmtId="0" fontId="8" fillId="0" borderId="7" xfId="0" applyFont="1" applyFill="1" applyBorder="1" applyAlignment="1">
      <alignment horizontal="left" vertical="top" wrapText="1"/>
    </xf>
    <xf numFmtId="0" fontId="2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15" fillId="0" borderId="0" xfId="0" applyFont="1" applyAlignment="1"/>
    <xf numFmtId="0" fontId="9" fillId="2" borderId="8" xfId="0" applyFont="1" applyFill="1" applyBorder="1" applyAlignment="1">
      <alignment horizontal="left" vertical="top" wrapText="1"/>
    </xf>
    <xf numFmtId="0" fontId="15" fillId="0" borderId="14" xfId="0" applyFont="1" applyBorder="1" applyAlignment="1"/>
    <xf numFmtId="0" fontId="4" fillId="0" borderId="1" xfId="0" applyFont="1" applyBorder="1" applyAlignment="1">
      <alignment horizontal="left" vertical="top"/>
    </xf>
    <xf numFmtId="0" fontId="4" fillId="0" borderId="14" xfId="0" applyFont="1" applyBorder="1" applyAlignment="1">
      <alignment horizontal="left" vertical="top"/>
    </xf>
    <xf numFmtId="0" fontId="17" fillId="0" borderId="14" xfId="0" applyFont="1" applyBorder="1" applyAlignment="1">
      <alignment horizontal="center" vertical="top" wrapText="1"/>
    </xf>
    <xf numFmtId="0" fontId="17" fillId="0" borderId="14" xfId="0" applyFont="1" applyBorder="1" applyAlignment="1">
      <alignment horizontal="center" vertical="top"/>
    </xf>
    <xf numFmtId="2" fontId="17" fillId="0" borderId="14" xfId="0" applyNumberFormat="1" applyFont="1" applyBorder="1" applyAlignment="1">
      <alignment horizontal="center" vertical="top" wrapText="1"/>
    </xf>
    <xf numFmtId="0" fontId="10" fillId="2" borderId="8" xfId="0" applyFont="1" applyFill="1" applyBorder="1" applyAlignment="1">
      <alignment horizontal="center" vertical="center"/>
    </xf>
    <xf numFmtId="2" fontId="10" fillId="2" borderId="8" xfId="0" applyNumberFormat="1" applyFont="1" applyFill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2" fontId="9" fillId="2" borderId="8" xfId="0" applyNumberFormat="1" applyFont="1" applyFill="1" applyBorder="1" applyAlignment="1">
      <alignment horizontal="center" vertical="center"/>
    </xf>
    <xf numFmtId="2" fontId="9" fillId="3" borderId="8" xfId="0" applyNumberFormat="1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1" fontId="9" fillId="3" borderId="8" xfId="0" applyNumberFormat="1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1" fontId="9" fillId="2" borderId="8" xfId="0" applyNumberFormat="1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1" fontId="10" fillId="2" borderId="8" xfId="0" applyNumberFormat="1" applyFont="1" applyFill="1" applyBorder="1" applyAlignment="1">
      <alignment horizontal="center" vertical="center"/>
    </xf>
    <xf numFmtId="2" fontId="10" fillId="2" borderId="7" xfId="0" applyNumberFormat="1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2" fontId="10" fillId="2" borderId="6" xfId="0" applyNumberFormat="1" applyFont="1" applyFill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1" fontId="9" fillId="2" borderId="6" xfId="0" applyNumberFormat="1" applyFont="1" applyFill="1" applyBorder="1" applyAlignment="1">
      <alignment horizontal="center" vertical="center"/>
    </xf>
    <xf numFmtId="2" fontId="9" fillId="2" borderId="6" xfId="0" applyNumberFormat="1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" fontId="10" fillId="2" borderId="6" xfId="0" applyNumberFormat="1" applyFont="1" applyFill="1" applyBorder="1" applyAlignment="1">
      <alignment horizontal="center" vertical="center"/>
    </xf>
    <xf numFmtId="2" fontId="10" fillId="2" borderId="3" xfId="0" applyNumberFormat="1" applyFont="1" applyFill="1" applyBorder="1" applyAlignment="1">
      <alignment horizontal="center" vertical="center"/>
    </xf>
    <xf numFmtId="0" fontId="4" fillId="0" borderId="6" xfId="0" applyFont="1" applyBorder="1" applyAlignment="1">
      <alignment horizontal="left" vertical="top" wrapText="1"/>
    </xf>
    <xf numFmtId="0" fontId="3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18" fillId="0" borderId="14" xfId="0" applyFont="1" applyBorder="1" applyAlignment="1">
      <alignment horizontal="left"/>
    </xf>
    <xf numFmtId="0" fontId="18" fillId="0" borderId="14" xfId="0" applyFont="1" applyBorder="1" applyAlignment="1">
      <alignment horizontal="center"/>
    </xf>
    <xf numFmtId="0" fontId="19" fillId="0" borderId="0" xfId="0" applyFont="1" applyAlignment="1">
      <alignment horizontal="center"/>
    </xf>
    <xf numFmtId="0" fontId="0" fillId="0" borderId="0" xfId="0"/>
    <xf numFmtId="0" fontId="3" fillId="0" borderId="0" xfId="0" applyFont="1" applyAlignment="1">
      <alignment wrapText="1"/>
    </xf>
    <xf numFmtId="0" fontId="8" fillId="0" borderId="6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17" fillId="0" borderId="6" xfId="0" applyFont="1" applyBorder="1" applyAlignment="1">
      <alignment horizontal="center" vertical="top" wrapText="1"/>
    </xf>
    <xf numFmtId="0" fontId="17" fillId="0" borderId="3" xfId="0" applyFont="1" applyBorder="1" applyAlignment="1">
      <alignment horizontal="center" vertical="top" wrapText="1"/>
    </xf>
    <xf numFmtId="0" fontId="17" fillId="0" borderId="8" xfId="0" applyFont="1" applyBorder="1" applyAlignment="1">
      <alignment horizontal="center" vertical="top" wrapText="1"/>
    </xf>
    <xf numFmtId="0" fontId="17" fillId="0" borderId="7" xfId="0" applyFont="1" applyBorder="1" applyAlignment="1">
      <alignment horizontal="center" vertical="top"/>
    </xf>
    <xf numFmtId="0" fontId="17" fillId="0" borderId="7" xfId="0" applyFont="1" applyBorder="1" applyAlignment="1">
      <alignment horizontal="center" vertical="top" wrapText="1"/>
    </xf>
    <xf numFmtId="2" fontId="17" fillId="0" borderId="7" xfId="0" applyNumberFormat="1" applyFont="1" applyBorder="1" applyAlignment="1">
      <alignment horizontal="center" vertical="top" wrapText="1"/>
    </xf>
    <xf numFmtId="0" fontId="17" fillId="0" borderId="6" xfId="0" applyFont="1" applyBorder="1" applyAlignment="1">
      <alignment horizontal="center" vertical="top"/>
    </xf>
    <xf numFmtId="2" fontId="9" fillId="3" borderId="6" xfId="0" applyNumberFormat="1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12" fillId="3" borderId="6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0" fillId="0" borderId="14" xfId="0" applyFont="1" applyBorder="1" applyAlignment="1"/>
    <xf numFmtId="0" fontId="8" fillId="0" borderId="8" xfId="0" applyFont="1" applyBorder="1" applyAlignment="1">
      <alignment horizontal="left" vertical="top"/>
    </xf>
    <xf numFmtId="0" fontId="8" fillId="0" borderId="7" xfId="0" applyFont="1" applyBorder="1" applyAlignment="1">
      <alignment horizontal="left" vertical="top"/>
    </xf>
    <xf numFmtId="0" fontId="6" fillId="0" borderId="7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/>
    </xf>
    <xf numFmtId="2" fontId="3" fillId="0" borderId="6" xfId="0" applyNumberFormat="1" applyFont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12" fillId="4" borderId="6" xfId="0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10" fillId="4" borderId="6" xfId="0" applyFont="1" applyFill="1" applyBorder="1" applyAlignment="1">
      <alignment horizontal="center" vertical="center"/>
    </xf>
    <xf numFmtId="2" fontId="10" fillId="2" borderId="5" xfId="0" applyNumberFormat="1" applyFont="1" applyFill="1" applyBorder="1" applyAlignment="1">
      <alignment horizontal="center" vertical="center"/>
    </xf>
    <xf numFmtId="2" fontId="10" fillId="2" borderId="0" xfId="0" applyNumberFormat="1" applyFont="1" applyFill="1" applyBorder="1" applyAlignment="1">
      <alignment horizontal="right"/>
    </xf>
    <xf numFmtId="2" fontId="10" fillId="2" borderId="2" xfId="0" applyNumberFormat="1" applyFont="1" applyFill="1" applyBorder="1" applyAlignment="1">
      <alignment horizontal="center" vertical="center"/>
    </xf>
    <xf numFmtId="2" fontId="10" fillId="2" borderId="14" xfId="0" applyNumberFormat="1" applyFont="1" applyFill="1" applyBorder="1" applyAlignment="1">
      <alignment horizontal="center" vertical="center"/>
    </xf>
    <xf numFmtId="0" fontId="4" fillId="0" borderId="8" xfId="0" applyFont="1" applyBorder="1" applyAlignment="1">
      <alignment vertical="top" wrapText="1"/>
    </xf>
    <xf numFmtId="0" fontId="4" fillId="0" borderId="8" xfId="0" applyFont="1" applyBorder="1" applyAlignment="1">
      <alignment vertical="top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5" fillId="0" borderId="14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16" fillId="0" borderId="15" xfId="0" applyFont="1" applyBorder="1" applyAlignment="1">
      <alignment horizontal="center" vertical="top" wrapText="1"/>
    </xf>
    <xf numFmtId="0" fontId="16" fillId="0" borderId="16" xfId="0" applyFont="1" applyBorder="1" applyAlignment="1">
      <alignment horizontal="center" vertical="top" wrapText="1"/>
    </xf>
    <xf numFmtId="0" fontId="16" fillId="0" borderId="17" xfId="0" applyFont="1" applyBorder="1" applyAlignment="1">
      <alignment horizontal="center" vertical="top" wrapText="1"/>
    </xf>
    <xf numFmtId="0" fontId="4" fillId="0" borderId="14" xfId="0" applyFont="1" applyBorder="1" applyAlignment="1">
      <alignment horizontal="center" vertical="top"/>
    </xf>
    <xf numFmtId="0" fontId="5" fillId="0" borderId="14" xfId="0" applyFont="1" applyBorder="1" applyAlignment="1">
      <alignment vertical="top"/>
    </xf>
    <xf numFmtId="0" fontId="6" fillId="0" borderId="14" xfId="0" applyFont="1" applyBorder="1" applyAlignment="1">
      <alignment horizontal="center" vertical="top"/>
    </xf>
    <xf numFmtId="0" fontId="17" fillId="0" borderId="15" xfId="0" applyFont="1" applyBorder="1" applyAlignment="1">
      <alignment horizontal="center" vertical="top" wrapText="1"/>
    </xf>
    <xf numFmtId="0" fontId="17" fillId="0" borderId="16" xfId="0" applyFont="1" applyBorder="1" applyAlignment="1">
      <alignment horizontal="center" vertical="top" wrapText="1"/>
    </xf>
    <xf numFmtId="0" fontId="17" fillId="0" borderId="17" xfId="0" applyFont="1" applyBorder="1" applyAlignment="1">
      <alignment horizontal="center" vertical="top" wrapText="1"/>
    </xf>
    <xf numFmtId="0" fontId="17" fillId="0" borderId="15" xfId="0" applyFont="1" applyBorder="1" applyAlignment="1">
      <alignment horizontal="center" vertical="top"/>
    </xf>
    <xf numFmtId="0" fontId="17" fillId="0" borderId="16" xfId="0" applyFont="1" applyBorder="1" applyAlignment="1">
      <alignment horizontal="center" vertical="top"/>
    </xf>
    <xf numFmtId="0" fontId="17" fillId="0" borderId="17" xfId="0" applyFont="1" applyBorder="1" applyAlignment="1">
      <alignment horizontal="center" vertical="top"/>
    </xf>
    <xf numFmtId="0" fontId="18" fillId="0" borderId="14" xfId="0" applyFont="1" applyBorder="1" applyAlignment="1">
      <alignment horizontal="left"/>
    </xf>
    <xf numFmtId="0" fontId="20" fillId="0" borderId="14" xfId="0" applyFont="1" applyBorder="1" applyAlignment="1">
      <alignment horizontal="center"/>
    </xf>
    <xf numFmtId="0" fontId="18" fillId="0" borderId="14" xfId="0" applyFont="1" applyBorder="1" applyAlignment="1">
      <alignment horizontal="center"/>
    </xf>
    <xf numFmtId="0" fontId="20" fillId="0" borderId="18" xfId="0" applyFont="1" applyBorder="1" applyAlignment="1">
      <alignment horizontal="center"/>
    </xf>
    <xf numFmtId="0" fontId="20" fillId="0" borderId="19" xfId="0" applyFont="1" applyBorder="1" applyAlignment="1">
      <alignment horizontal="center"/>
    </xf>
    <xf numFmtId="0" fontId="17" fillId="0" borderId="5" xfId="0" applyFont="1" applyBorder="1" applyAlignment="1">
      <alignment horizontal="center" vertical="top" wrapText="1"/>
    </xf>
    <xf numFmtId="0" fontId="22" fillId="0" borderId="7" xfId="0" applyFont="1" applyBorder="1" applyAlignment="1">
      <alignment vertical="top"/>
    </xf>
    <xf numFmtId="0" fontId="6" fillId="0" borderId="14" xfId="0" applyFont="1" applyBorder="1" applyAlignment="1">
      <alignment horizontal="center" vertical="top" wrapText="1"/>
    </xf>
    <xf numFmtId="0" fontId="22" fillId="0" borderId="7" xfId="0" applyFont="1" applyBorder="1" applyAlignment="1">
      <alignment vertical="top" wrapText="1"/>
    </xf>
    <xf numFmtId="0" fontId="17" fillId="0" borderId="12" xfId="0" applyFont="1" applyBorder="1" applyAlignment="1">
      <alignment horizontal="center" vertical="top"/>
    </xf>
    <xf numFmtId="0" fontId="22" fillId="0" borderId="10" xfId="0" applyFont="1" applyBorder="1" applyAlignment="1">
      <alignment vertical="top"/>
    </xf>
    <xf numFmtId="0" fontId="6" fillId="0" borderId="1" xfId="0" applyFont="1" applyBorder="1" applyAlignment="1">
      <alignment horizontal="center" vertical="top"/>
    </xf>
    <xf numFmtId="0" fontId="21" fillId="0" borderId="2" xfId="0" applyFont="1" applyBorder="1" applyAlignment="1">
      <alignment vertical="top"/>
    </xf>
    <xf numFmtId="0" fontId="21" fillId="0" borderId="3" xfId="0" applyFont="1" applyBorder="1" applyAlignment="1">
      <alignment vertical="top"/>
    </xf>
    <xf numFmtId="0" fontId="6" fillId="0" borderId="2" xfId="0" applyFont="1" applyBorder="1" applyAlignment="1">
      <alignment horizontal="center" vertical="top"/>
    </xf>
    <xf numFmtId="0" fontId="17" fillId="0" borderId="4" xfId="0" applyFont="1" applyBorder="1" applyAlignment="1">
      <alignment horizontal="center" vertical="top" wrapText="1"/>
    </xf>
    <xf numFmtId="0" fontId="22" fillId="0" borderId="8" xfId="0" applyFont="1" applyBorder="1" applyAlignment="1">
      <alignment vertical="top"/>
    </xf>
    <xf numFmtId="0" fontId="17" fillId="0" borderId="5" xfId="0" applyFont="1" applyBorder="1" applyAlignment="1">
      <alignment horizontal="center" vertical="top"/>
    </xf>
    <xf numFmtId="0" fontId="6" fillId="0" borderId="4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21" fillId="0" borderId="14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0</xdr:row>
      <xdr:rowOff>190500</xdr:rowOff>
    </xdr:from>
    <xdr:to>
      <xdr:col>2</xdr:col>
      <xdr:colOff>438150</xdr:colOff>
      <xdr:row>2</xdr:row>
      <xdr:rowOff>95250</xdr:rowOff>
    </xdr:to>
    <xdr:pic>
      <xdr:nvPicPr>
        <xdr:cNvPr id="2" name="Picture 1" descr="logo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190500"/>
          <a:ext cx="109537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0</xdr:row>
      <xdr:rowOff>190500</xdr:rowOff>
    </xdr:from>
    <xdr:to>
      <xdr:col>1</xdr:col>
      <xdr:colOff>1171575</xdr:colOff>
      <xdr:row>2</xdr:row>
      <xdr:rowOff>19050</xdr:rowOff>
    </xdr:to>
    <xdr:pic>
      <xdr:nvPicPr>
        <xdr:cNvPr id="2" name="Picture 1" descr="logo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190500"/>
          <a:ext cx="109537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0</xdr:row>
      <xdr:rowOff>190500</xdr:rowOff>
    </xdr:from>
    <xdr:to>
      <xdr:col>2</xdr:col>
      <xdr:colOff>333375</xdr:colOff>
      <xdr:row>2</xdr:row>
      <xdr:rowOff>85725</xdr:rowOff>
    </xdr:to>
    <xdr:pic>
      <xdr:nvPicPr>
        <xdr:cNvPr id="2" name="Picture 1" descr="logo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190500"/>
          <a:ext cx="109537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M30"/>
  <sheetViews>
    <sheetView topLeftCell="L13" workbookViewId="0">
      <selection activeCell="AR21" sqref="AR21"/>
    </sheetView>
  </sheetViews>
  <sheetFormatPr defaultColWidth="12.5703125" defaultRowHeight="15.75" customHeight="1"/>
  <cols>
    <col min="1" max="1" width="4.28515625" customWidth="1"/>
    <col min="2" max="2" width="11" bestFit="1" customWidth="1"/>
    <col min="3" max="3" width="16.7109375" customWidth="1"/>
    <col min="4" max="5" width="7.5703125" customWidth="1"/>
    <col min="6" max="6" width="12.5703125" hidden="1" customWidth="1"/>
    <col min="7" max="7" width="9.85546875" customWidth="1"/>
    <col min="8" max="8" width="8.42578125" customWidth="1"/>
    <col min="9" max="9" width="8.5703125" customWidth="1"/>
    <col min="10" max="10" width="8" customWidth="1"/>
    <col min="11" max="11" width="5.85546875" customWidth="1"/>
    <col min="12" max="12" width="9" customWidth="1"/>
    <col min="13" max="13" width="12.5703125" hidden="1" customWidth="1"/>
    <col min="14" max="15" width="7.42578125" customWidth="1"/>
    <col min="16" max="16" width="8.5703125" customWidth="1"/>
    <col min="17" max="17" width="6" customWidth="1"/>
    <col min="18" max="18" width="8.28515625" customWidth="1"/>
    <col min="19" max="19" width="12" customWidth="1"/>
    <col min="20" max="20" width="12.5703125" hidden="1" customWidth="1"/>
    <col min="21" max="21" width="7.85546875" customWidth="1"/>
    <col min="22" max="22" width="6.85546875" customWidth="1"/>
    <col min="23" max="23" width="7.7109375" customWidth="1"/>
    <col min="24" max="24" width="6.42578125" customWidth="1"/>
    <col min="25" max="25" width="9.7109375" customWidth="1"/>
    <col min="26" max="26" width="9" customWidth="1"/>
    <col min="27" max="27" width="12.5703125" hidden="1" customWidth="1"/>
    <col min="28" max="28" width="6.140625" customWidth="1"/>
    <col min="29" max="29" width="7.85546875" customWidth="1"/>
    <col min="30" max="30" width="6.140625" customWidth="1"/>
    <col min="31" max="31" width="6.5703125" customWidth="1"/>
    <col min="32" max="32" width="8.42578125" customWidth="1"/>
    <col min="33" max="33" width="12.5703125" hidden="1"/>
    <col min="34" max="34" width="5.5703125" customWidth="1"/>
    <col min="35" max="35" width="8" customWidth="1"/>
    <col min="36" max="36" width="8.140625" customWidth="1"/>
    <col min="37" max="37" width="5.5703125" customWidth="1"/>
    <col min="39" max="39" width="12.5703125" hidden="1"/>
    <col min="40" max="40" width="8.42578125" customWidth="1"/>
    <col min="41" max="41" width="8.5703125" customWidth="1"/>
    <col min="42" max="42" width="6.7109375" customWidth="1"/>
    <col min="43" max="43" width="7.140625" customWidth="1"/>
    <col min="44" max="44" width="9" customWidth="1"/>
    <col min="45" max="45" width="12.5703125" hidden="1"/>
    <col min="46" max="46" width="5.140625" customWidth="1"/>
    <col min="47" max="47" width="6.85546875" customWidth="1"/>
    <col min="48" max="48" width="6.140625" customWidth="1"/>
    <col min="49" max="49" width="6.5703125" customWidth="1"/>
    <col min="50" max="50" width="8" customWidth="1"/>
    <col min="51" max="51" width="7" customWidth="1"/>
    <col min="52" max="52" width="8.42578125" customWidth="1"/>
    <col min="53" max="53" width="7.28515625" customWidth="1"/>
    <col min="54" max="54" width="9.5703125" customWidth="1"/>
    <col min="55" max="55" width="7" customWidth="1"/>
    <col min="56" max="56" width="6.42578125" customWidth="1"/>
    <col min="57" max="57" width="6.5703125" customWidth="1"/>
    <col min="58" max="58" width="7" customWidth="1"/>
    <col min="59" max="59" width="7.140625" customWidth="1"/>
    <col min="60" max="60" width="6.7109375" customWidth="1"/>
    <col min="61" max="61" width="5.85546875" customWidth="1"/>
    <col min="62" max="62" width="5" customWidth="1"/>
    <col min="63" max="63" width="5.85546875" customWidth="1"/>
    <col min="64" max="64" width="5.5703125" customWidth="1"/>
  </cols>
  <sheetData>
    <row r="1" spans="1:65" ht="33" customHeight="1">
      <c r="A1" s="137" t="s">
        <v>0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7"/>
      <c r="AA1" s="137"/>
      <c r="AB1" s="137"/>
      <c r="AC1" s="137"/>
      <c r="AD1" s="137"/>
      <c r="AE1" s="137"/>
      <c r="AF1" s="137"/>
      <c r="AG1" s="137"/>
      <c r="AH1" s="137"/>
      <c r="AI1" s="137"/>
      <c r="AJ1" s="137"/>
      <c r="AK1" s="137"/>
      <c r="AL1" s="137"/>
      <c r="AM1" s="137"/>
      <c r="AN1" s="137"/>
      <c r="AO1" s="137"/>
      <c r="AP1" s="137"/>
      <c r="AQ1" s="137"/>
      <c r="AR1" s="137"/>
      <c r="AS1" s="137"/>
      <c r="AT1" s="137"/>
      <c r="AU1" s="137"/>
      <c r="AV1" s="137"/>
      <c r="AW1" s="137"/>
      <c r="AX1" s="137"/>
      <c r="AY1" s="137"/>
      <c r="AZ1" s="137"/>
      <c r="BA1" s="137"/>
      <c r="BB1" s="137"/>
      <c r="BC1" s="137"/>
      <c r="BD1" s="137"/>
      <c r="BE1" s="137"/>
      <c r="BF1" s="137"/>
      <c r="BG1" s="137"/>
      <c r="BH1" s="137"/>
      <c r="BI1" s="137"/>
      <c r="BJ1" s="137"/>
      <c r="BK1" s="137"/>
      <c r="BL1" s="137"/>
      <c r="BM1" s="1"/>
    </row>
    <row r="2" spans="1:65" ht="30.75" customHeight="1">
      <c r="A2" s="138" t="s">
        <v>1</v>
      </c>
      <c r="B2" s="138"/>
      <c r="C2" s="138"/>
      <c r="D2" s="138"/>
      <c r="E2" s="138"/>
      <c r="F2" s="138"/>
      <c r="G2" s="138"/>
      <c r="H2" s="138"/>
      <c r="I2" s="138"/>
      <c r="J2" s="138"/>
      <c r="K2" s="138"/>
      <c r="L2" s="138"/>
      <c r="M2" s="138"/>
      <c r="N2" s="138"/>
      <c r="O2" s="138"/>
      <c r="P2" s="138"/>
      <c r="Q2" s="138"/>
      <c r="R2" s="138"/>
      <c r="S2" s="138"/>
      <c r="T2" s="138"/>
      <c r="U2" s="138"/>
      <c r="V2" s="138"/>
      <c r="W2" s="138"/>
      <c r="X2" s="138"/>
      <c r="Y2" s="138"/>
      <c r="Z2" s="138"/>
      <c r="AA2" s="138"/>
      <c r="AB2" s="138"/>
      <c r="AC2" s="138"/>
      <c r="AD2" s="138"/>
      <c r="AE2" s="138"/>
      <c r="AF2" s="138"/>
      <c r="AG2" s="138"/>
      <c r="AH2" s="138"/>
      <c r="AI2" s="138"/>
      <c r="AJ2" s="138"/>
      <c r="AK2" s="138"/>
      <c r="AL2" s="138"/>
      <c r="AM2" s="138"/>
      <c r="AN2" s="138"/>
      <c r="AO2" s="138"/>
      <c r="AP2" s="138"/>
      <c r="AQ2" s="138"/>
      <c r="AR2" s="138"/>
      <c r="AS2" s="138"/>
      <c r="AT2" s="138"/>
      <c r="AU2" s="138"/>
      <c r="AV2" s="138"/>
      <c r="AW2" s="138"/>
      <c r="AX2" s="138"/>
      <c r="AY2" s="138"/>
      <c r="AZ2" s="138"/>
      <c r="BA2" s="138"/>
      <c r="BB2" s="138"/>
      <c r="BC2" s="138"/>
      <c r="BD2" s="138"/>
      <c r="BE2" s="138"/>
      <c r="BF2" s="138"/>
      <c r="BG2" s="138"/>
      <c r="BH2" s="138"/>
      <c r="BI2" s="138"/>
      <c r="BJ2" s="138"/>
      <c r="BK2" s="138"/>
      <c r="BL2" s="138"/>
      <c r="BM2" s="2"/>
    </row>
    <row r="3" spans="1:65" ht="15.75" customHeight="1">
      <c r="A3" s="139" t="s">
        <v>143</v>
      </c>
      <c r="B3" s="139"/>
      <c r="C3" s="139"/>
      <c r="D3" s="139"/>
      <c r="E3" s="139"/>
      <c r="F3" s="139"/>
      <c r="G3" s="139"/>
      <c r="H3" s="139"/>
      <c r="I3" s="139"/>
      <c r="J3" s="139"/>
      <c r="K3" s="139"/>
      <c r="L3" s="139"/>
      <c r="M3" s="139"/>
      <c r="N3" s="139"/>
      <c r="O3" s="139"/>
      <c r="P3" s="139"/>
      <c r="Q3" s="139"/>
      <c r="R3" s="139"/>
      <c r="S3" s="139"/>
      <c r="T3" s="139"/>
      <c r="U3" s="139"/>
      <c r="V3" s="139"/>
      <c r="W3" s="139"/>
      <c r="X3" s="139"/>
      <c r="Y3" s="139"/>
      <c r="Z3" s="139"/>
      <c r="AA3" s="139"/>
      <c r="AB3" s="139"/>
      <c r="AC3" s="139"/>
      <c r="AD3" s="139"/>
      <c r="AE3" s="139"/>
      <c r="AF3" s="139"/>
      <c r="AG3" s="139"/>
      <c r="AH3" s="139"/>
      <c r="AI3" s="139"/>
      <c r="AJ3" s="139"/>
      <c r="AK3" s="139"/>
      <c r="AL3" s="139"/>
      <c r="AM3" s="139"/>
      <c r="AN3" s="139"/>
      <c r="AO3" s="139"/>
      <c r="AP3" s="139"/>
      <c r="AQ3" s="139"/>
      <c r="AR3" s="139"/>
      <c r="AS3" s="139"/>
      <c r="AT3" s="139"/>
      <c r="AU3" s="139"/>
      <c r="AV3" s="139"/>
      <c r="AW3" s="139"/>
      <c r="AX3" s="139"/>
      <c r="AY3" s="139"/>
      <c r="AZ3" s="139"/>
      <c r="BA3" s="139"/>
      <c r="BB3" s="139"/>
      <c r="BC3" s="139"/>
      <c r="BD3" s="139"/>
      <c r="BE3" s="139"/>
      <c r="BF3" s="139"/>
      <c r="BG3" s="139"/>
      <c r="BH3" s="139"/>
      <c r="BI3" s="139"/>
      <c r="BJ3" s="139"/>
      <c r="BK3" s="139"/>
      <c r="BL3" s="139"/>
      <c r="BM3" s="3"/>
    </row>
    <row r="4" spans="1:65" ht="12.75"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</row>
    <row r="5" spans="1:65" ht="12.75">
      <c r="C5" s="58" t="s">
        <v>145</v>
      </c>
      <c r="D5" s="140" t="s">
        <v>146</v>
      </c>
      <c r="E5" s="140"/>
      <c r="F5" s="140"/>
      <c r="G5" s="140"/>
      <c r="H5" s="140"/>
      <c r="I5" s="140"/>
      <c r="J5" s="140"/>
      <c r="K5" s="140" t="s">
        <v>147</v>
      </c>
      <c r="L5" s="140"/>
      <c r="M5" s="140"/>
      <c r="N5" s="140"/>
      <c r="O5" s="140"/>
      <c r="P5" s="140"/>
      <c r="Q5" s="140"/>
      <c r="R5" s="140" t="s">
        <v>148</v>
      </c>
      <c r="S5" s="140"/>
      <c r="T5" s="140"/>
      <c r="U5" s="140"/>
      <c r="V5" s="140"/>
      <c r="W5" s="140"/>
      <c r="X5" s="140"/>
      <c r="Y5" s="140" t="s">
        <v>149</v>
      </c>
      <c r="Z5" s="140"/>
      <c r="AA5" s="140"/>
      <c r="AB5" s="140"/>
      <c r="AC5" s="140"/>
      <c r="AD5" s="140"/>
      <c r="AE5" s="140"/>
      <c r="AF5" s="141" t="s">
        <v>150</v>
      </c>
      <c r="AG5" s="141"/>
      <c r="AH5" s="141"/>
      <c r="AI5" s="141"/>
      <c r="AJ5" s="141"/>
      <c r="AK5" s="141"/>
      <c r="AL5" s="141" t="s">
        <v>2</v>
      </c>
      <c r="AM5" s="141"/>
      <c r="AN5" s="141"/>
      <c r="AO5" s="141"/>
      <c r="AP5" s="141"/>
      <c r="AQ5" s="141"/>
      <c r="AR5" s="141" t="s">
        <v>151</v>
      </c>
      <c r="AS5" s="141"/>
      <c r="AT5" s="141"/>
      <c r="AU5" s="141"/>
      <c r="AV5" s="141"/>
      <c r="AW5" s="141"/>
      <c r="AX5" s="148" t="s">
        <v>10</v>
      </c>
      <c r="AY5" s="148" t="s">
        <v>11</v>
      </c>
      <c r="AZ5" s="148" t="s">
        <v>12</v>
      </c>
      <c r="BA5" s="148" t="s">
        <v>13</v>
      </c>
      <c r="BB5" s="151" t="s">
        <v>14</v>
      </c>
      <c r="BC5" s="142" t="s">
        <v>24</v>
      </c>
      <c r="BD5" s="142" t="s">
        <v>25</v>
      </c>
      <c r="BE5" s="142" t="s">
        <v>26</v>
      </c>
      <c r="BF5" s="142" t="s">
        <v>27</v>
      </c>
      <c r="BG5" s="142" t="s">
        <v>28</v>
      </c>
      <c r="BH5" s="142" t="s">
        <v>29</v>
      </c>
      <c r="BI5" s="142" t="s">
        <v>30</v>
      </c>
      <c r="BJ5" s="142" t="s">
        <v>31</v>
      </c>
      <c r="BK5" s="142" t="s">
        <v>32</v>
      </c>
      <c r="BL5" s="142" t="s">
        <v>33</v>
      </c>
      <c r="BM5" s="91"/>
    </row>
    <row r="6" spans="1:65" ht="64.5" customHeight="1">
      <c r="C6" s="58" t="s">
        <v>144</v>
      </c>
      <c r="D6" s="145" t="s">
        <v>3</v>
      </c>
      <c r="E6" s="146"/>
      <c r="F6" s="146"/>
      <c r="G6" s="146"/>
      <c r="H6" s="146"/>
      <c r="I6" s="146"/>
      <c r="J6" s="146"/>
      <c r="K6" s="145" t="s">
        <v>4</v>
      </c>
      <c r="L6" s="146"/>
      <c r="M6" s="146"/>
      <c r="N6" s="146"/>
      <c r="O6" s="146"/>
      <c r="P6" s="146"/>
      <c r="Q6" s="146"/>
      <c r="R6" s="145" t="s">
        <v>5</v>
      </c>
      <c r="S6" s="146"/>
      <c r="T6" s="146"/>
      <c r="U6" s="146"/>
      <c r="V6" s="146"/>
      <c r="W6" s="146"/>
      <c r="X6" s="146"/>
      <c r="Y6" s="145" t="s">
        <v>6</v>
      </c>
      <c r="Z6" s="146"/>
      <c r="AA6" s="146"/>
      <c r="AB6" s="146"/>
      <c r="AC6" s="146"/>
      <c r="AD6" s="146"/>
      <c r="AE6" s="146"/>
      <c r="AF6" s="145" t="s">
        <v>7</v>
      </c>
      <c r="AG6" s="146"/>
      <c r="AH6" s="146"/>
      <c r="AI6" s="146"/>
      <c r="AJ6" s="146"/>
      <c r="AK6" s="146"/>
      <c r="AL6" s="147" t="s">
        <v>8</v>
      </c>
      <c r="AM6" s="146"/>
      <c r="AN6" s="146"/>
      <c r="AO6" s="146"/>
      <c r="AP6" s="146"/>
      <c r="AQ6" s="146"/>
      <c r="AR6" s="145" t="s">
        <v>9</v>
      </c>
      <c r="AS6" s="146"/>
      <c r="AT6" s="146"/>
      <c r="AU6" s="146"/>
      <c r="AV6" s="146"/>
      <c r="AW6" s="146"/>
      <c r="AX6" s="149"/>
      <c r="AY6" s="149"/>
      <c r="AZ6" s="149"/>
      <c r="BA6" s="149"/>
      <c r="BB6" s="152"/>
      <c r="BC6" s="143"/>
      <c r="BD6" s="143"/>
      <c r="BE6" s="143"/>
      <c r="BF6" s="143"/>
      <c r="BG6" s="143"/>
      <c r="BH6" s="143"/>
      <c r="BI6" s="143"/>
      <c r="BJ6" s="143"/>
      <c r="BK6" s="143"/>
      <c r="BL6" s="143"/>
      <c r="BM6" s="92"/>
    </row>
    <row r="7" spans="1:65" ht="138.75" customHeight="1">
      <c r="A7" s="90" t="s">
        <v>15</v>
      </c>
      <c r="B7" s="59" t="s">
        <v>16</v>
      </c>
      <c r="C7" s="60" t="s">
        <v>17</v>
      </c>
      <c r="D7" s="61" t="s">
        <v>18</v>
      </c>
      <c r="E7" s="61" t="s">
        <v>19</v>
      </c>
      <c r="F7" s="62" t="s">
        <v>20</v>
      </c>
      <c r="G7" s="62" t="s">
        <v>21</v>
      </c>
      <c r="H7" s="61" t="s">
        <v>11</v>
      </c>
      <c r="I7" s="61" t="s">
        <v>22</v>
      </c>
      <c r="J7" s="61" t="s">
        <v>23</v>
      </c>
      <c r="K7" s="61" t="s">
        <v>18</v>
      </c>
      <c r="L7" s="61" t="s">
        <v>19</v>
      </c>
      <c r="M7" s="62" t="s">
        <v>20</v>
      </c>
      <c r="N7" s="62" t="s">
        <v>21</v>
      </c>
      <c r="O7" s="61" t="s">
        <v>11</v>
      </c>
      <c r="P7" s="61" t="s">
        <v>22</v>
      </c>
      <c r="Q7" s="61" t="s">
        <v>23</v>
      </c>
      <c r="R7" s="61" t="s">
        <v>18</v>
      </c>
      <c r="S7" s="61" t="s">
        <v>19</v>
      </c>
      <c r="T7" s="62" t="s">
        <v>20</v>
      </c>
      <c r="U7" s="62" t="s">
        <v>21</v>
      </c>
      <c r="V7" s="61" t="s">
        <v>11</v>
      </c>
      <c r="W7" s="61" t="s">
        <v>22</v>
      </c>
      <c r="X7" s="61" t="s">
        <v>23</v>
      </c>
      <c r="Y7" s="61" t="s">
        <v>18</v>
      </c>
      <c r="Z7" s="61" t="s">
        <v>19</v>
      </c>
      <c r="AA7" s="62" t="s">
        <v>20</v>
      </c>
      <c r="AB7" s="62" t="s">
        <v>21</v>
      </c>
      <c r="AC7" s="61" t="s">
        <v>11</v>
      </c>
      <c r="AD7" s="61" t="s">
        <v>22</v>
      </c>
      <c r="AE7" s="61" t="s">
        <v>23</v>
      </c>
      <c r="AF7" s="61" t="s">
        <v>18</v>
      </c>
      <c r="AG7" s="62" t="s">
        <v>20</v>
      </c>
      <c r="AH7" s="62" t="s">
        <v>21</v>
      </c>
      <c r="AI7" s="61" t="s">
        <v>11</v>
      </c>
      <c r="AJ7" s="61" t="s">
        <v>22</v>
      </c>
      <c r="AK7" s="61" t="s">
        <v>23</v>
      </c>
      <c r="AL7" s="63" t="s">
        <v>19</v>
      </c>
      <c r="AM7" s="62" t="s">
        <v>20</v>
      </c>
      <c r="AN7" s="62" t="s">
        <v>21</v>
      </c>
      <c r="AO7" s="61" t="s">
        <v>11</v>
      </c>
      <c r="AP7" s="61" t="s">
        <v>22</v>
      </c>
      <c r="AQ7" s="61" t="s">
        <v>23</v>
      </c>
      <c r="AR7" s="61" t="s">
        <v>18</v>
      </c>
      <c r="AS7" s="62" t="s">
        <v>20</v>
      </c>
      <c r="AT7" s="62" t="s">
        <v>21</v>
      </c>
      <c r="AU7" s="61" t="s">
        <v>11</v>
      </c>
      <c r="AV7" s="61" t="s">
        <v>22</v>
      </c>
      <c r="AW7" s="61" t="s">
        <v>23</v>
      </c>
      <c r="AX7" s="150"/>
      <c r="AY7" s="150"/>
      <c r="AZ7" s="150"/>
      <c r="BA7" s="150"/>
      <c r="BB7" s="153"/>
      <c r="BC7" s="144"/>
      <c r="BD7" s="144"/>
      <c r="BE7" s="144"/>
      <c r="BF7" s="144"/>
      <c r="BG7" s="144"/>
      <c r="BH7" s="144"/>
      <c r="BI7" s="144"/>
      <c r="BJ7" s="144"/>
      <c r="BK7" s="144"/>
      <c r="BL7" s="144"/>
      <c r="BM7" s="92"/>
    </row>
    <row r="8" spans="1:65" ht="47.25" customHeight="1">
      <c r="A8" s="49">
        <v>1</v>
      </c>
      <c r="B8" s="50">
        <v>2019120025</v>
      </c>
      <c r="C8" s="57" t="str">
        <f t="array" ref="C8">VLOOKUP(B8,studentnames!$A$6:$B917,2,FALSE)</f>
        <v>GOKARN ARYAMAN RAJESH VRINDA</v>
      </c>
      <c r="D8" s="64">
        <f ca="1">IFERROR(__xludf.DUMMYFUNCTION("(VLOOKUP(B8,{(IMPORTRANGE(""https://docs.google.com/spreadsheets/d/1DiCkE-z-GlHYvc5ApMt3jWM8ky5Jm5xs_5zn3yfMkTI/edit#gid=1005196620"",""MARKSHEET!B9:N160""))},6,FALSE))"),74.5)</f>
        <v>74.5</v>
      </c>
      <c r="E8" s="65">
        <f ca="1">IFERROR(__xludf.DUMMYFUNCTION("IFERROR(VLOOKUP(B8,{(IMPORTRANGE(""https://docs.google.com/spreadsheets/d/1DiCkE-z-GlHYvc5ApMt3jWM8ky5Jm5xs_5zn3yfMkTI/edit#gid=1005196620"",""MARKSHEET!B9:N160""))},11,FALSE),"" "")"),84)</f>
        <v>84</v>
      </c>
      <c r="F8" s="64" t="str">
        <f ca="1">IFERROR(__xludf.DUMMYFUNCTION("IFERROR(VLOOKUP(B8,{(IMPORTRANGE(""https://docs.google.com/spreadsheets/d/1DiCkE-z-GlHYvc5ApMt3jWM8ky5Jm5xs_5zn3yfMkTI/edit#gid=1005196620"",""MARKSHEET!B9:N160""))},12,FALSE),"""")"),"Pass")</f>
        <v>Pass</v>
      </c>
      <c r="G8" s="64" t="str">
        <f ca="1">IFERROR(__xludf.DUMMYFUNCTION("IFERROR(VLOOKUP(B8,{(IMPORTRANGE(""https://docs.google.com/spreadsheets/d/1DiCkE-z-GlHYvc5ApMt3jWM8ky5Jm5xs_5zn3yfMkTI/edit#gid=1005196620"",""MARKSHEET!B9:N160""))},13,FALSE),"""")"),"O")</f>
        <v>O</v>
      </c>
      <c r="H8" s="64">
        <v>3</v>
      </c>
      <c r="I8" s="66">
        <f t="shared" ref="I8:I15" ca="1" si="0">IF(G8="O",10,IF(G8="A",9,IF(G8="B",8,IF(G8="C",7,IF(G8="D",6,IF(G8="E",5,IF(G8="P",4,0)))))))</f>
        <v>10</v>
      </c>
      <c r="J8" s="64">
        <f t="shared" ref="J8:J15" ca="1" si="1">I8*H8</f>
        <v>30</v>
      </c>
      <c r="K8" s="64">
        <f ca="1">IFERROR(__xludf.DUMMYFUNCTION("(IFERROR(VLOOKUP(B8,{(IMPORTRANGE(""https://docs.google.com/spreadsheets/d/14A_r3BvwRThEoTtBTKe2qw_1RK0ZLOcRhi-qy1jAh3g/edit#gid=1005196620"",""MARKSHEET!B9:N160""))},6,FALSE),"" ""))"),74)</f>
        <v>74</v>
      </c>
      <c r="L8" s="65">
        <f ca="1">IFERROR(__xludf.DUMMYFUNCTION("IFERROR(VLOOKUP(B8,{(IMPORTRANGE(""https://docs.google.com/spreadsheets/d/14A_r3BvwRThEoTtBTKe2qw_1RK0ZLOcRhi-qy1jAh3g/edit#gid=1005196620"",""MARKSHEET!B9:N160""))},12,FALSE),"" "")"),82)</f>
        <v>82</v>
      </c>
      <c r="M8" s="64" t="str">
        <f ca="1">IFERROR(__xludf.DUMMYFUNCTION("IFERROR(VLOOKUP(B8,{(IMPORTRANGE(""https://docs.google.com/spreadsheets/d/14A_r3BvwRThEoTtBTKe2qw_1RK0ZLOcRhi-qy1jAh3g/edit#gid=1005196620"",""MARKSHEET!B9:N160""))},13,FALSE),"""")"),"Pass")</f>
        <v>Pass</v>
      </c>
      <c r="N8" s="64" t="str">
        <f ca="1">IFERROR(__xludf.DUMMYFUNCTION("IFERROR(VLOOKUP(B8,{(IMPORTRANGE(""https://docs.google.com/spreadsheets/d/14A_r3BvwRThEoTtBTKe2qw_1RK0ZLOcRhi-qy1jAh3g/edit#gid=1005196620"",""MARKSHEET!B9:O160""))},14,FALSE),"" "")"),"O")</f>
        <v>O</v>
      </c>
      <c r="O8" s="64">
        <v>3</v>
      </c>
      <c r="P8" s="66">
        <f t="shared" ref="P8:P9" ca="1" si="2">IF(N8="O",10,IF(N8="A",9,IF(N8="B",8,IF(N8="C",7,IF(N8="D",6,IF(N8="E",5,IF(N8="P",4,0)))))))</f>
        <v>10</v>
      </c>
      <c r="Q8" s="64">
        <f t="shared" ref="Q8:Q9" ca="1" si="3">P8*O8</f>
        <v>30</v>
      </c>
      <c r="R8" s="64" t="str">
        <f ca="1">IFERROR(__xludf.DUMMYFUNCTION("(IFERROR(VLOOKUP(B8,{(IMPORTRANGE(""https://docs.google.com/spreadsheets/d/1upH6fbA84Z4BX1j10sbPBNIoznju0InoGwzdp-Ig7gc/edit#gid=1005196620"",""MARKSHEET!B9:N160""))},6,FALSE),"" ""))")," ")</f>
        <v xml:space="preserve"> </v>
      </c>
      <c r="S8" s="65" t="str">
        <f ca="1">IFERROR(__xludf.DUMMYFUNCTION("IFERROR(VLOOKUP(B8,{(IMPORTRANGE(""https://docs.google.com/spreadsheets/d/1upH6fbA84Z4BX1j10sbPBNIoznju0InoGwzdp-Ig7gc/edit#gid=1005196620"",""MARKSHEET!B9:N160""))},12,FALSE),"" "")")," ")</f>
        <v xml:space="preserve"> </v>
      </c>
      <c r="T8" s="64" t="str">
        <f ca="1">IFERROR(__xludf.DUMMYFUNCTION("IFERROR(VLOOKUP(B8,{(IMPORTRANGE(""https://docs.google.com/spreadsheets/d/1upH6fbA84Z4BX1j10sbPBNIoznju0InoGwzdp-Ig7gc/edit#gid=1005196620"",""MARKSHEET!B9:N160""))},13,FALSE),"""")"),"")</f>
        <v/>
      </c>
      <c r="U8" s="64" t="str">
        <f ca="1">IFERROR(__xludf.DUMMYFUNCTION("IFERROR(VLOOKUP(B8,{(IMPORTRANGE(""https://docs.google.com/spreadsheets/d/1upH6fbA84Z4BX1j10sbPBNIoznju0InoGwzdp-Ig7gc/edit#gid=1005196620"",""MARKSHEET!B9:O160""))},14,FALSE),"""")"),"")</f>
        <v/>
      </c>
      <c r="V8" s="64"/>
      <c r="W8" s="64"/>
      <c r="X8" s="64"/>
      <c r="Y8" s="64" t="str">
        <f ca="1">IFERROR(__xludf.DUMMYFUNCTION("(IFERROR(VLOOKUP(B8,{(IMPORTRANGE(""https://docs.google.com/spreadsheets/d/1eIdk5Axau8wGiwJcgdGQdOeePXUt5GCPnvl48qWYA0A/edit#gid=1005196620"",""MARKSHEET!B9:N160""))},6,FALSE),"" ""))")," ")</f>
        <v xml:space="preserve"> </v>
      </c>
      <c r="Z8" s="65" t="str">
        <f ca="1">IFERROR(__xludf.DUMMYFUNCTION("IFERROR(VLOOKUP(B8,{(IMPORTRANGE(""https://docs.google.com/spreadsheets/d/1eIdk5Axau8wGiwJcgdGQdOeePXUt5GCPnvl48qWYA0A/edit#gid=1005196620"",""MARKSHEET!B9:N160""))},12,FALSE),"" "")")," ")</f>
        <v xml:space="preserve"> </v>
      </c>
      <c r="AA8" s="64" t="str">
        <f ca="1">IFERROR(__xludf.DUMMYFUNCTION("IFERROR(VLOOKUP(B8,{(IMPORTRANGE(""https://docs.google.com/spreadsheets/d/1eIdk5Axau8wGiwJcgdGQdOeePXUt5GCPnvl48qWYA0A/edit#gid=1005196620"",""MARKSHEET!B9:N160""))},13,FALSE),"""")"),"")</f>
        <v/>
      </c>
      <c r="AB8" s="64" t="str">
        <f ca="1">IFERROR(__xludf.DUMMYFUNCTION("IFERROR(VLOOKUP(B8,{(IMPORTRANGE(""https://docs.google.com/spreadsheets/d/1eIdk5Axau8wGiwJcgdGQdOeePXUt5GCPnvl48qWYA0A/edit#gid=1005196620"",""MARKSHEET!B9:O160""))},14,FALSE),"""")"),"")</f>
        <v/>
      </c>
      <c r="AC8" s="67"/>
      <c r="AD8" s="67"/>
      <c r="AE8" s="67"/>
      <c r="AF8" s="68">
        <v>59</v>
      </c>
      <c r="AG8" s="69" t="str">
        <f t="shared" ref="AG8:AG15" si="4">IF((AF8&gt;=40),"Pass","Fail")</f>
        <v>Pass</v>
      </c>
      <c r="AH8" s="70" t="s">
        <v>34</v>
      </c>
      <c r="AI8" s="71">
        <v>3</v>
      </c>
      <c r="AJ8" s="72">
        <f t="shared" ref="AJ8:AJ15" si="5">IF(AH8="O",10,IF(AH8="A",9,IF(AH8="B",8,IF(AH8="C",7,IF(AH8="D",6,IF(AH8="E",5,IF(AH8="P",4,0)))))))</f>
        <v>6</v>
      </c>
      <c r="AK8" s="73">
        <f t="shared" ref="AK8:AK15" si="6">AJ8*AI8</f>
        <v>18</v>
      </c>
      <c r="AL8" s="74">
        <v>90</v>
      </c>
      <c r="AM8" s="75" t="str">
        <f t="shared" ref="AM8:AM15" si="7">IF((AL8&gt;=40),"Pass","Fail")</f>
        <v>Pass</v>
      </c>
      <c r="AN8" s="76" t="str">
        <f t="shared" ref="AN8:AN15" si="8">IF(AL8&gt;=80,"O",IF(AL8&gt;=75,"A",IF(AL8&gt;=70,"B",IF(AL8&gt;=60,"C",IF(AL8&gt;=50,"D", IF(AL8&gt;=45,"E",IF(AL8&gt;=40,"P","F")))))))</f>
        <v>O</v>
      </c>
      <c r="AO8" s="77">
        <v>6</v>
      </c>
      <c r="AP8" s="66">
        <f t="shared" ref="AP8:AP15" si="9">IF(AN8="O",10,IF(AN8="A",9,IF(AN8="B",8,IF(AN8="C",7,IF(AN8="D",6,IF(AN8="E",5,IF(AN8="P",4,0)))))))</f>
        <v>10</v>
      </c>
      <c r="AQ8" s="64">
        <f t="shared" ref="AQ8:AQ15" si="10">AP8*AO8</f>
        <v>60</v>
      </c>
      <c r="AR8" s="77">
        <f ca="1">IFERROR(__xludf.DUMMYFUNCTION("(VLOOKUP(B8,{(IMPORTRANGE(""https://docs.google.com/spreadsheets/d/1bhPzFUTLMV7e35kNXQBjHBx0hnSRtnD8lSPi2nGpa7Y/edit#gid=1774387053"",""BE EXTC!B11:E91""))},4,FALSE))"),82)</f>
        <v>82</v>
      </c>
      <c r="AS8" s="77"/>
      <c r="AT8" s="76" t="str">
        <f t="shared" ref="AT8:AT15" ca="1" si="11">IF(AR8&gt;=80,"O",IF(AR8&gt;=75,"A",IF(AR8&gt;=70,"B",IF(AR8&gt;=60,"C",IF(AR8&gt;=50,"D", IF(AR8&gt;=45,"E",IF(AR8&gt;=40,"P","F")))))))</f>
        <v>O</v>
      </c>
      <c r="AU8" s="77">
        <v>1</v>
      </c>
      <c r="AV8" s="66">
        <f t="shared" ref="AV8:AV15" ca="1" si="12">IF(AT8="O",10,IF(AT8="A",9,IF(AT8="B",8,IF(AT8="C",7,IF(AT8="D",6,IF(AT8="E",5,IF(AT8="P",4,0)))))))</f>
        <v>10</v>
      </c>
      <c r="AW8" s="64">
        <f t="shared" ref="AW8:AW15" ca="1" si="13">AV8*AU8</f>
        <v>10</v>
      </c>
      <c r="AX8" s="64">
        <v>16</v>
      </c>
      <c r="AY8" s="78">
        <f t="shared" ref="AY8:AY15" si="14">H8+O8+V8+AC8+AI8+AO8+AU8</f>
        <v>16</v>
      </c>
      <c r="AZ8" s="78">
        <f t="shared" ref="AZ8:AZ15" ca="1" si="15">J8+Q8+X8+AE8+AK8+AQ8+AW8</f>
        <v>148</v>
      </c>
      <c r="BA8" s="65">
        <f t="shared" ref="BA8:BA15" ca="1" si="16">AZ8/AY8</f>
        <v>9.25</v>
      </c>
      <c r="BB8" s="64" t="s">
        <v>35</v>
      </c>
      <c r="BC8" s="65">
        <f t="array" ref="BC8">VLOOKUP(B8,cgpi!$A$8:$K917,2,FALSE)</f>
        <v>9.8000000000000007</v>
      </c>
      <c r="BD8" s="79">
        <f t="array" ref="BD8">VLOOKUP(B8,cgpi!$A$8:$K917,3,FALSE)</f>
        <v>9.85</v>
      </c>
      <c r="BE8" s="79">
        <f t="array" ref="BE8">VLOOKUP(B8,cgpi!$A$8:$K917,4,FALSE)</f>
        <v>9.81</v>
      </c>
      <c r="BF8" s="79">
        <f t="array" ref="BF8">VLOOKUP(B8,cgpi!$A$8:$K917,5,FALSE)</f>
        <v>9.42</v>
      </c>
      <c r="BG8" s="79">
        <f t="array" ref="BG8">VLOOKUP(B8,cgpi!$A$8:$K917,6,FALSE)</f>
        <v>9.24</v>
      </c>
      <c r="BH8" s="79">
        <f t="array" ref="BH8">VLOOKUP(B8,cgpi!$A$8:$K917,7,FALSE)</f>
        <v>9.7100000000000009</v>
      </c>
      <c r="BI8" s="79">
        <f t="array" ref="BI8">VLOOKUP(B8,cgpi!$A$8:$K917,8,FALSE)</f>
        <v>8.1300000000000008</v>
      </c>
      <c r="BJ8" s="79">
        <f t="array" ref="BJ8">VLOOKUP(B8,cgpi!$A$8:$K917,9,FALSE)</f>
        <v>9.25</v>
      </c>
      <c r="BK8" s="79">
        <f t="array" ref="BK8">VLOOKUP(B8,cgpi!$A$8:$K917,10,FALSE)</f>
        <v>9.44</v>
      </c>
      <c r="BL8" s="79">
        <f t="array" ref="BL8">VLOOKUP(B8,cgpi!$A$8:$K917,11,FALSE)</f>
        <v>8.69</v>
      </c>
      <c r="BM8" s="5"/>
    </row>
    <row r="9" spans="1:65" ht="47.25" customHeight="1">
      <c r="A9" s="49">
        <v>2</v>
      </c>
      <c r="B9" s="50">
        <v>2019120028</v>
      </c>
      <c r="C9" s="51" t="str">
        <f t="array" ref="C9">VLOOKUP(B9,studentnames!$A$6:$B917,2,FALSE)</f>
        <v>/ HADAL AKSHADA RAMESH CHHAYA</v>
      </c>
      <c r="D9" s="80" t="str">
        <f ca="1">IFERROR(__xludf.DUMMYFUNCTION("(IFERROR(VLOOKUP(B9,{(IMPORTRANGE(""https://docs.google.com/spreadsheets/d/1DiCkE-z-GlHYvc5ApMt3jWM8ky5Jm5xs_5zn3yfMkTI/edit#gid=1005196620"",""MARKSHEET!B9:N160""))},6,FALSE),"" ""))")," ")</f>
        <v xml:space="preserve"> </v>
      </c>
      <c r="E9" s="81" t="str">
        <f ca="1">IFERROR(__xludf.DUMMYFUNCTION("IFERROR(VLOOKUP(B9,{(IMPORTRANGE(""https://docs.google.com/spreadsheets/d/1DiCkE-z-GlHYvc5ApMt3jWM8ky5Jm5xs_5zn3yfMkTI/edit#gid=1005196620"",""MARKSHEET!B9:N160""))},11,FALSE),"" "")")," ")</f>
        <v xml:space="preserve"> </v>
      </c>
      <c r="F9" s="80" t="str">
        <f ca="1">IFERROR(__xludf.DUMMYFUNCTION("IFERROR(VLOOKUP(B9,{(IMPORTRANGE(""https://docs.google.com/spreadsheets/d/1DiCkE-z-GlHYvc5ApMt3jWM8ky5Jm5xs_5zn3yfMkTI/edit#gid=1005196620"",""MARKSHEET!B9:N160""))},12,FALSE),"""")"),"")</f>
        <v/>
      </c>
      <c r="G9" s="80" t="str">
        <f ca="1">IFERROR(__xludf.DUMMYFUNCTION("IFERROR(VLOOKUP(B9,{(IMPORTRANGE(""https://docs.google.com/spreadsheets/d/1DiCkE-z-GlHYvc5ApMt3jWM8ky5Jm5xs_5zn3yfMkTI/edit#gid=1005196620"",""MARKSHEET!B9:N160""))},13,FALSE),"""")"),"")</f>
        <v/>
      </c>
      <c r="H9" s="80"/>
      <c r="I9" s="82">
        <f t="shared" ca="1" si="0"/>
        <v>0</v>
      </c>
      <c r="J9" s="80">
        <f t="shared" ca="1" si="1"/>
        <v>0</v>
      </c>
      <c r="K9" s="80">
        <f ca="1">IFERROR(__xludf.DUMMYFUNCTION("(IFERROR(VLOOKUP(B9,{(IMPORTRANGE(""https://docs.google.com/spreadsheets/d/14A_r3BvwRThEoTtBTKe2qw_1RK0ZLOcRhi-qy1jAh3g/edit#gid=1005196620"",""MARKSHEET!B9:N160""))},6,FALSE),"" ""))"),49)</f>
        <v>49</v>
      </c>
      <c r="L9" s="81">
        <f ca="1">IFERROR(__xludf.DUMMYFUNCTION("IFERROR(VLOOKUP(B9,{(IMPORTRANGE(""https://docs.google.com/spreadsheets/d/14A_r3BvwRThEoTtBTKe2qw_1RK0ZLOcRhi-qy1jAh3g/edit#gid=1005196620"",""MARKSHEET!B9:N160""))},12,FALSE),"" "")"),69)</f>
        <v>69</v>
      </c>
      <c r="M9" s="80" t="str">
        <f ca="1">IFERROR(__xludf.DUMMYFUNCTION("IFERROR(VLOOKUP(B9,{(IMPORTRANGE(""https://docs.google.com/spreadsheets/d/14A_r3BvwRThEoTtBTKe2qw_1RK0ZLOcRhi-qy1jAh3g/edit#gid=1005196620"",""MARKSHEET!B9:N160""))},13,FALSE),"""")"),"Pass")</f>
        <v>Pass</v>
      </c>
      <c r="N9" s="80" t="str">
        <f ca="1">IFERROR(__xludf.DUMMYFUNCTION("IFERROR(VLOOKUP(B9,{(IMPORTRANGE(""https://docs.google.com/spreadsheets/d/14A_r3BvwRThEoTtBTKe2qw_1RK0ZLOcRhi-qy1jAh3g/edit#gid=1005196620"",""MARKSHEET!B9:O160""))},14,FALSE),"" "")"),"C")</f>
        <v>C</v>
      </c>
      <c r="O9" s="80">
        <v>3</v>
      </c>
      <c r="P9" s="82">
        <f t="shared" ca="1" si="2"/>
        <v>7</v>
      </c>
      <c r="Q9" s="80">
        <f t="shared" ca="1" si="3"/>
        <v>21</v>
      </c>
      <c r="R9" s="80" t="str">
        <f ca="1">IFERROR(__xludf.DUMMYFUNCTION("(IFERROR(VLOOKUP(B9,{(IMPORTRANGE(""https://docs.google.com/spreadsheets/d/1upH6fbA84Z4BX1j10sbPBNIoznju0InoGwzdp-Ig7gc/edit#gid=1005196620"",""MARKSHEET!B9:N160""))},6,FALSE),"" ""))")," ")</f>
        <v xml:space="preserve"> </v>
      </c>
      <c r="S9" s="81" t="str">
        <f ca="1">IFERROR(__xludf.DUMMYFUNCTION("IFERROR(VLOOKUP(B9,{(IMPORTRANGE(""https://docs.google.com/spreadsheets/d/1upH6fbA84Z4BX1j10sbPBNIoznju0InoGwzdp-Ig7gc/edit#gid=1005196620"",""MARKSHEET!B9:N160""))},12,FALSE),"" "")")," ")</f>
        <v xml:space="preserve"> </v>
      </c>
      <c r="T9" s="80" t="str">
        <f ca="1">IFERROR(__xludf.DUMMYFUNCTION("IFERROR(VLOOKUP(B9,{(IMPORTRANGE(""https://docs.google.com/spreadsheets/d/1upH6fbA84Z4BX1j10sbPBNIoznju0InoGwzdp-Ig7gc/edit#gid=1005196620"",""MARKSHEET!B9:N160""))},13,FALSE),"""")"),"")</f>
        <v/>
      </c>
      <c r="U9" s="80" t="str">
        <f ca="1">IFERROR(__xludf.DUMMYFUNCTION("IFERROR(VLOOKUP(B9,{(IMPORTRANGE(""https://docs.google.com/spreadsheets/d/1upH6fbA84Z4BX1j10sbPBNIoznju0InoGwzdp-Ig7gc/edit#gid=1005196620"",""MARKSHEET!B9:O160""))},14,FALSE),"""")"),"")</f>
        <v/>
      </c>
      <c r="V9" s="80"/>
      <c r="W9" s="80"/>
      <c r="X9" s="80"/>
      <c r="Y9" s="80">
        <f ca="1">IFERROR(__xludf.DUMMYFUNCTION("(IFERROR(VLOOKUP(B9,{(IMPORTRANGE(""https://docs.google.com/spreadsheets/d/1eIdk5Axau8wGiwJcgdGQdOeePXUt5GCPnvl48qWYA0A/edit#gid=1005196620"",""MARKSHEET!B9:N160""))},6,FALSE),"" ""))"),43)</f>
        <v>43</v>
      </c>
      <c r="Z9" s="81">
        <f ca="1">IFERROR(__xludf.DUMMYFUNCTION("IFERROR(VLOOKUP(B9,{(IMPORTRANGE(""https://docs.google.com/spreadsheets/d/1eIdk5Axau8wGiwJcgdGQdOeePXUt5GCPnvl48qWYA0A/edit#gid=1005196620"",""MARKSHEET!B9:N160""))},12,FALSE),"" "")"),63)</f>
        <v>63</v>
      </c>
      <c r="AA9" s="80" t="str">
        <f ca="1">IFERROR(__xludf.DUMMYFUNCTION("IFERROR(VLOOKUP(B9,{(IMPORTRANGE(""https://docs.google.com/spreadsheets/d/1eIdk5Axau8wGiwJcgdGQdOeePXUt5GCPnvl48qWYA0A/edit#gid=1005196620"",""MARKSHEET!B9:N160""))},13,FALSE),"""")"),"Pass")</f>
        <v>Pass</v>
      </c>
      <c r="AB9" s="80" t="str">
        <f ca="1">IFERROR(__xludf.DUMMYFUNCTION("IFERROR(VLOOKUP(B9,{(IMPORTRANGE(""https://docs.google.com/spreadsheets/d/1eIdk5Axau8wGiwJcgdGQdOeePXUt5GCPnvl48qWYA0A/edit#gid=1005196620"",""MARKSHEET!B9:O160""))},14,FALSE),"""")"),"C")</f>
        <v>C</v>
      </c>
      <c r="AC9" s="83">
        <v>3</v>
      </c>
      <c r="AD9" s="82">
        <f t="shared" ref="AD9:AD10" ca="1" si="17">IF(AB9="O",10,IF(AB9="A",9,IF(AB9="B",8,IF(AB9="C",7,IF(AB9="D",6,IF(AB9="E",5,IF(AB9="P",4,0)))))))</f>
        <v>7</v>
      </c>
      <c r="AE9" s="80">
        <f t="shared" ref="AE9:AE10" ca="1" si="18">AD9*AC9</f>
        <v>21</v>
      </c>
      <c r="AF9" s="84">
        <f ca="1">IFERROR(__xludf.DUMMYFUNCTION("(VLOOKUP(B9,{(IMPORTRANGE(""https://docs.google.com/spreadsheets/d/1IgGENpYbL2rI7gfQAXyk9JS3FgAuuh8Wul__oPf-faY/edit#gid=838365050"",""BE-OESall branches!J9:K298""))},2,FALSE))"),80)</f>
        <v>80</v>
      </c>
      <c r="AG9" s="85" t="str">
        <f t="shared" ca="1" si="4"/>
        <v>Pass</v>
      </c>
      <c r="AH9" s="86" t="str">
        <f t="shared" ref="AH9:AH15" ca="1" si="19">IF(AF9&gt;=80,"O",IF(AF9&gt;=75,"A",IF(AF9&gt;=70,"B",IF(AF9&gt;=60,"C",IF(AF9&gt;=50,"D", IF(AF9&gt;=45,"E",IF(AF9&gt;=40,"P","F")))))))</f>
        <v>O</v>
      </c>
      <c r="AI9" s="83">
        <v>3</v>
      </c>
      <c r="AJ9" s="82">
        <f t="shared" ca="1" si="5"/>
        <v>10</v>
      </c>
      <c r="AK9" s="80">
        <f t="shared" ca="1" si="6"/>
        <v>30</v>
      </c>
      <c r="AL9" s="85">
        <v>93</v>
      </c>
      <c r="AM9" s="85" t="str">
        <f t="shared" si="7"/>
        <v>Pass</v>
      </c>
      <c r="AN9" s="86" t="str">
        <f t="shared" si="8"/>
        <v>O</v>
      </c>
      <c r="AO9" s="87">
        <v>6</v>
      </c>
      <c r="AP9" s="82">
        <f t="shared" si="9"/>
        <v>10</v>
      </c>
      <c r="AQ9" s="80">
        <f t="shared" si="10"/>
        <v>60</v>
      </c>
      <c r="AR9" s="87">
        <f ca="1">IFERROR(__xludf.DUMMYFUNCTION("(VLOOKUP(B9,{(IMPORTRANGE(""https://docs.google.com/spreadsheets/d/1bhPzFUTLMV7e35kNXQBjHBx0hnSRtnD8lSPi2nGpa7Y/edit#gid=1774387053"",""BE EXTC!B11:E91""))},4,FALSE))"),96)</f>
        <v>96</v>
      </c>
      <c r="AS9" s="87"/>
      <c r="AT9" s="86" t="str">
        <f t="shared" ca="1" si="11"/>
        <v>O</v>
      </c>
      <c r="AU9" s="87">
        <v>1</v>
      </c>
      <c r="AV9" s="82">
        <f t="shared" ca="1" si="12"/>
        <v>10</v>
      </c>
      <c r="AW9" s="80">
        <f t="shared" ca="1" si="13"/>
        <v>10</v>
      </c>
      <c r="AX9" s="80">
        <v>16</v>
      </c>
      <c r="AY9" s="88">
        <f t="shared" si="14"/>
        <v>16</v>
      </c>
      <c r="AZ9" s="88">
        <f t="shared" ca="1" si="15"/>
        <v>142</v>
      </c>
      <c r="BA9" s="81">
        <f t="shared" ca="1" si="16"/>
        <v>8.875</v>
      </c>
      <c r="BB9" s="80" t="s">
        <v>35</v>
      </c>
      <c r="BC9" s="81">
        <f t="array" ref="BC9">VLOOKUP(B9,cgpi!$A$8:$K917,2,FALSE)</f>
        <v>6.65</v>
      </c>
      <c r="BD9" s="89">
        <f t="array" ref="BD9">VLOOKUP(B9,cgpi!$A$8:$K917,3,FALSE)</f>
        <v>6.75</v>
      </c>
      <c r="BE9" s="89">
        <f t="array" ref="BE9">VLOOKUP(B9,cgpi!$A$8:$K917,4,FALSE)</f>
        <v>8.9</v>
      </c>
      <c r="BF9" s="89">
        <f t="array" ref="BF9">VLOOKUP(B9,cgpi!$A$8:$K917,5,FALSE)</f>
        <v>8.32</v>
      </c>
      <c r="BG9" s="89">
        <f t="array" ref="BG9">VLOOKUP(B9,cgpi!$A$8:$K917,6,FALSE)</f>
        <v>8.1</v>
      </c>
      <c r="BH9" s="89">
        <f t="array" ref="BH9">VLOOKUP(B9,cgpi!$A$8:$K917,7,FALSE)</f>
        <v>7.55</v>
      </c>
      <c r="BI9" s="89">
        <f t="array" ref="BI9">VLOOKUP(B9,cgpi!$A$8:$K917,8,FALSE)</f>
        <v>7.94</v>
      </c>
      <c r="BJ9" s="89">
        <f t="array" ref="BJ9">VLOOKUP(B9,cgpi!$A$8:$K917,9,FALSE)</f>
        <v>8.8800000000000008</v>
      </c>
      <c r="BK9" s="89">
        <f t="array" ref="BK9">VLOOKUP(B9,cgpi!$A$8:$K917,10,FALSE)</f>
        <v>7.86</v>
      </c>
      <c r="BL9" s="89">
        <f t="array" ref="BL9">VLOOKUP(B9,cgpi!$A$8:$K917,11,FALSE)</f>
        <v>8.41</v>
      </c>
      <c r="BM9" s="5"/>
    </row>
    <row r="10" spans="1:65" ht="47.25" customHeight="1">
      <c r="A10" s="49">
        <v>3</v>
      </c>
      <c r="B10" s="50">
        <v>2019120043</v>
      </c>
      <c r="C10" s="51" t="str">
        <f t="array" ref="C10">VLOOKUP(B10,studentnames!$A$6:$B917,2,FALSE)</f>
        <v>PADOLE ANSHAL SANJAY SNEHAL</v>
      </c>
      <c r="D10" s="80">
        <f ca="1">IFERROR(__xludf.DUMMYFUNCTION("(IFERROR(VLOOKUP(B10,{(IMPORTRANGE(""https://docs.google.com/spreadsheets/d/1DiCkE-z-GlHYvc5ApMt3jWM8ky5Jm5xs_5zn3yfMkTI/edit#gid=1005196620"",""MARKSHEET!B9:N160""))},6,FALSE),"" ""))"),43)</f>
        <v>43</v>
      </c>
      <c r="E10" s="81">
        <f ca="1">IFERROR(__xludf.DUMMYFUNCTION("IFERROR(VLOOKUP(B10,{(IMPORTRANGE(""https://docs.google.com/spreadsheets/d/1DiCkE-z-GlHYvc5ApMt3jWM8ky5Jm5xs_5zn3yfMkTI/edit#gid=1005196620"",""MARKSHEET!B9:N160""))},11,FALSE),"" "")"),63)</f>
        <v>63</v>
      </c>
      <c r="F10" s="80" t="str">
        <f ca="1">IFERROR(__xludf.DUMMYFUNCTION("IFERROR(VLOOKUP(B10,{(IMPORTRANGE(""https://docs.google.com/spreadsheets/d/1DiCkE-z-GlHYvc5ApMt3jWM8ky5Jm5xs_5zn3yfMkTI/edit#gid=1005196620"",""MARKSHEET!B9:N160""))},12,FALSE),"""")"),"Pass")</f>
        <v>Pass</v>
      </c>
      <c r="G10" s="80" t="str">
        <f ca="1">IFERROR(__xludf.DUMMYFUNCTION("IFERROR(VLOOKUP(B10,{(IMPORTRANGE(""https://docs.google.com/spreadsheets/d/1DiCkE-z-GlHYvc5ApMt3jWM8ky5Jm5xs_5zn3yfMkTI/edit#gid=1005196620"",""MARKSHEET!B9:N160""))},13,FALSE),"""")"),"C")</f>
        <v>C</v>
      </c>
      <c r="H10" s="80">
        <v>3</v>
      </c>
      <c r="I10" s="82">
        <f t="shared" ca="1" si="0"/>
        <v>7</v>
      </c>
      <c r="J10" s="80">
        <f t="shared" ca="1" si="1"/>
        <v>21</v>
      </c>
      <c r="K10" s="80" t="str">
        <f ca="1">IFERROR(__xludf.DUMMYFUNCTION("(IFERROR(VLOOKUP(B10,{(IMPORTRANGE(""https://docs.google.com/spreadsheets/d/14A_r3BvwRThEoTtBTKe2qw_1RK0ZLOcRhi-qy1jAh3g/edit#gid=1005196620"",""MARKSHEET!B9:N160""))},6,FALSE),"" ""))")," ")</f>
        <v xml:space="preserve"> </v>
      </c>
      <c r="L10" s="81" t="str">
        <f ca="1">IFERROR(__xludf.DUMMYFUNCTION("IFERROR(VLOOKUP(B10,{(IMPORTRANGE(""https://docs.google.com/spreadsheets/d/14A_r3BvwRThEoTtBTKe2qw_1RK0ZLOcRhi-qy1jAh3g/edit#gid=1005196620"",""MARKSHEET!B9:N160""))},12,FALSE),"" "")")," ")</f>
        <v xml:space="preserve"> </v>
      </c>
      <c r="M10" s="80" t="str">
        <f ca="1">IFERROR(__xludf.DUMMYFUNCTION("IFERROR(VLOOKUP(B10,{(IMPORTRANGE(""https://docs.google.com/spreadsheets/d/14A_r3BvwRThEoTtBTKe2qw_1RK0ZLOcRhi-qy1jAh3g/edit#gid=1005196620"",""MARKSHEET!B9:N160""))},13,FALSE),"""")"),"")</f>
        <v/>
      </c>
      <c r="N10" s="80" t="str">
        <f ca="1">IFERROR(__xludf.DUMMYFUNCTION("IFERROR(VLOOKUP(B10,{(IMPORTRANGE(""https://docs.google.com/spreadsheets/d/14A_r3BvwRThEoTtBTKe2qw_1RK0ZLOcRhi-qy1jAh3g/edit#gid=1005196620"",""MARKSHEET!B9:O160""))},14,FALSE),"" "")")," ")</f>
        <v xml:space="preserve"> </v>
      </c>
      <c r="O10" s="80"/>
      <c r="P10" s="80"/>
      <c r="Q10" s="80"/>
      <c r="R10" s="80" t="str">
        <f ca="1">IFERROR(__xludf.DUMMYFUNCTION("(IFERROR(VLOOKUP(B10,{(IMPORTRANGE(""https://docs.google.com/spreadsheets/d/1upH6fbA84Z4BX1j10sbPBNIoznju0InoGwzdp-Ig7gc/edit#gid=1005196620"",""MARKSHEET!B9:N160""))},6,FALSE),"" ""))")," ")</f>
        <v xml:space="preserve"> </v>
      </c>
      <c r="S10" s="81" t="str">
        <f ca="1">IFERROR(__xludf.DUMMYFUNCTION("IFERROR(VLOOKUP(B10,{(IMPORTRANGE(""https://docs.google.com/spreadsheets/d/1upH6fbA84Z4BX1j10sbPBNIoznju0InoGwzdp-Ig7gc/edit#gid=1005196620"",""MARKSHEET!B9:N160""))},12,FALSE),"" "")")," ")</f>
        <v xml:space="preserve"> </v>
      </c>
      <c r="T10" s="80" t="str">
        <f ca="1">IFERROR(__xludf.DUMMYFUNCTION("IFERROR(VLOOKUP(B10,{(IMPORTRANGE(""https://docs.google.com/spreadsheets/d/1upH6fbA84Z4BX1j10sbPBNIoznju0InoGwzdp-Ig7gc/edit#gid=1005196620"",""MARKSHEET!B9:N160""))},13,FALSE),"""")"),"")</f>
        <v/>
      </c>
      <c r="U10" s="80" t="str">
        <f ca="1">IFERROR(__xludf.DUMMYFUNCTION("IFERROR(VLOOKUP(B10,{(IMPORTRANGE(""https://docs.google.com/spreadsheets/d/1upH6fbA84Z4BX1j10sbPBNIoznju0InoGwzdp-Ig7gc/edit#gid=1005196620"",""MARKSHEET!B9:O160""))},14,FALSE),"""")"),"")</f>
        <v/>
      </c>
      <c r="V10" s="80"/>
      <c r="W10" s="80"/>
      <c r="X10" s="80"/>
      <c r="Y10" s="80">
        <f ca="1">IFERROR(__xludf.DUMMYFUNCTION("(IFERROR(VLOOKUP(B10,{(IMPORTRANGE(""https://docs.google.com/spreadsheets/d/1eIdk5Axau8wGiwJcgdGQdOeePXUt5GCPnvl48qWYA0A/edit#gid=1005196620"",""MARKSHEET!B9:N160""))},6,FALSE),"" ""))"),48)</f>
        <v>48</v>
      </c>
      <c r="Z10" s="81">
        <f ca="1">IFERROR(__xludf.DUMMYFUNCTION("IFERROR(VLOOKUP(B10,{(IMPORTRANGE(""https://docs.google.com/spreadsheets/d/1eIdk5Axau8wGiwJcgdGQdOeePXUt5GCPnvl48qWYA0A/edit#gid=1005196620"",""MARKSHEET!B9:N160""))},12,FALSE),"" "")"),68)</f>
        <v>68</v>
      </c>
      <c r="AA10" s="80" t="str">
        <f ca="1">IFERROR(__xludf.DUMMYFUNCTION("IFERROR(VLOOKUP(B10,{(IMPORTRANGE(""https://docs.google.com/spreadsheets/d/1eIdk5Axau8wGiwJcgdGQdOeePXUt5GCPnvl48qWYA0A/edit#gid=1005196620"",""MARKSHEET!B9:N160""))},13,FALSE),"""")"),"Pass")</f>
        <v>Pass</v>
      </c>
      <c r="AB10" s="80" t="str">
        <f ca="1">IFERROR(__xludf.DUMMYFUNCTION("IFERROR(VLOOKUP(B10,{(IMPORTRANGE(""https://docs.google.com/spreadsheets/d/1eIdk5Axau8wGiwJcgdGQdOeePXUt5GCPnvl48qWYA0A/edit#gid=1005196620"",""MARKSHEET!B9:O160""))},14,FALSE),"""")"),"C")</f>
        <v>C</v>
      </c>
      <c r="AC10" s="83">
        <v>3</v>
      </c>
      <c r="AD10" s="82">
        <f t="shared" ca="1" si="17"/>
        <v>7</v>
      </c>
      <c r="AE10" s="80">
        <f t="shared" ca="1" si="18"/>
        <v>21</v>
      </c>
      <c r="AF10" s="84">
        <f ca="1">IFERROR(__xludf.DUMMYFUNCTION("(VLOOKUP(B10,{(IMPORTRANGE(""https://docs.google.com/spreadsheets/d/1IgGENpYbL2rI7gfQAXyk9JS3FgAuuh8Wul__oPf-faY/edit#gid=838365050"",""BE-OESall branches!J9:K298""))},2,FALSE))"),64)</f>
        <v>64</v>
      </c>
      <c r="AG10" s="85" t="str">
        <f t="shared" ca="1" si="4"/>
        <v>Pass</v>
      </c>
      <c r="AH10" s="86" t="str">
        <f t="shared" ca="1" si="19"/>
        <v>C</v>
      </c>
      <c r="AI10" s="83">
        <v>3</v>
      </c>
      <c r="AJ10" s="82">
        <f t="shared" ca="1" si="5"/>
        <v>7</v>
      </c>
      <c r="AK10" s="80">
        <f t="shared" ca="1" si="6"/>
        <v>21</v>
      </c>
      <c r="AL10" s="85">
        <v>92</v>
      </c>
      <c r="AM10" s="85" t="str">
        <f t="shared" si="7"/>
        <v>Pass</v>
      </c>
      <c r="AN10" s="86" t="str">
        <f t="shared" si="8"/>
        <v>O</v>
      </c>
      <c r="AO10" s="87">
        <v>6</v>
      </c>
      <c r="AP10" s="82">
        <f t="shared" si="9"/>
        <v>10</v>
      </c>
      <c r="AQ10" s="80">
        <f t="shared" si="10"/>
        <v>60</v>
      </c>
      <c r="AR10" s="87">
        <f ca="1">IFERROR(__xludf.DUMMYFUNCTION("(VLOOKUP(B10,{(IMPORTRANGE(""https://docs.google.com/spreadsheets/d/1bhPzFUTLMV7e35kNXQBjHBx0hnSRtnD8lSPi2nGpa7Y/edit#gid=1774387053"",""BE EXTC!B11:E91""))},4,FALSE))"),85)</f>
        <v>85</v>
      </c>
      <c r="AS10" s="87"/>
      <c r="AT10" s="86" t="str">
        <f t="shared" ca="1" si="11"/>
        <v>O</v>
      </c>
      <c r="AU10" s="87">
        <v>1</v>
      </c>
      <c r="AV10" s="82">
        <f t="shared" ca="1" si="12"/>
        <v>10</v>
      </c>
      <c r="AW10" s="80">
        <f t="shared" ca="1" si="13"/>
        <v>10</v>
      </c>
      <c r="AX10" s="80">
        <v>16</v>
      </c>
      <c r="AY10" s="88">
        <f t="shared" si="14"/>
        <v>16</v>
      </c>
      <c r="AZ10" s="88">
        <f t="shared" ca="1" si="15"/>
        <v>133</v>
      </c>
      <c r="BA10" s="81">
        <f t="shared" ca="1" si="16"/>
        <v>8.3125</v>
      </c>
      <c r="BB10" s="80" t="s">
        <v>35</v>
      </c>
      <c r="BC10" s="81">
        <f t="array" ref="BC10">VLOOKUP(B10,cgpi!$A$8:$K917,2,FALSE)</f>
        <v>7.7</v>
      </c>
      <c r="BD10" s="89">
        <f t="array" ref="BD10">VLOOKUP(B10,cgpi!$A$8:$K917,3,FALSE)</f>
        <v>9.1</v>
      </c>
      <c r="BE10" s="89">
        <f t="array" ref="BE10">VLOOKUP(B10,cgpi!$A$8:$K917,4,FALSE)</f>
        <v>9.2899999999999991</v>
      </c>
      <c r="BF10" s="89">
        <f t="array" ref="BF10">VLOOKUP(B10,cgpi!$A$8:$K917,5,FALSE)</f>
        <v>8.42</v>
      </c>
      <c r="BG10" s="89">
        <f t="array" ref="BG10">VLOOKUP(B10,cgpi!$A$8:$K917,6,FALSE)</f>
        <v>9.0500000000000007</v>
      </c>
      <c r="BH10" s="89">
        <f t="array" ref="BH10">VLOOKUP(B10,cgpi!$A$8:$K917,7,FALSE)</f>
        <v>9.43</v>
      </c>
      <c r="BI10" s="89">
        <f t="array" ref="BI10">VLOOKUP(B10,cgpi!$A$8:$K917,8,FALSE)</f>
        <v>8.8800000000000008</v>
      </c>
      <c r="BJ10" s="89">
        <f t="array" ref="BJ10">VLOOKUP(B10,cgpi!$A$8:$K917,9,FALSE)</f>
        <v>8.31</v>
      </c>
      <c r="BK10" s="89">
        <f t="array" ref="BK10">VLOOKUP(B10,cgpi!$A$8:$K917,10,FALSE)</f>
        <v>8.7899999999999991</v>
      </c>
      <c r="BL10" s="89">
        <f t="array" ref="BL10">VLOOKUP(B10,cgpi!$A$8:$K917,11,FALSE)</f>
        <v>8.59</v>
      </c>
      <c r="BM10" s="5"/>
    </row>
    <row r="11" spans="1:65" ht="47.25" customHeight="1">
      <c r="A11" s="49">
        <v>4</v>
      </c>
      <c r="B11" s="50">
        <v>2019120047</v>
      </c>
      <c r="C11" s="51" t="str">
        <f t="array" ref="C11">VLOOKUP(B11,studentnames!$A$6:$B917,2,FALSE)</f>
        <v>/ PATNI KHUSHI NAVIN HEMA</v>
      </c>
      <c r="D11" s="80">
        <f ca="1">IFERROR(__xludf.DUMMYFUNCTION("(IFERROR(VLOOKUP(B11,{(IMPORTRANGE(""https://docs.google.com/spreadsheets/d/1DiCkE-z-GlHYvc5ApMt3jWM8ky5Jm5xs_5zn3yfMkTI/edit#gid=1005196620"",""MARKSHEET!B9:N160""))},6,FALSE),"" ""))"),52.5)</f>
        <v>52.5</v>
      </c>
      <c r="E11" s="81">
        <f ca="1">IFERROR(__xludf.DUMMYFUNCTION("IFERROR(VLOOKUP(B11,{(IMPORTRANGE(""https://docs.google.com/spreadsheets/d/1DiCkE-z-GlHYvc5ApMt3jWM8ky5Jm5xs_5zn3yfMkTI/edit#gid=1005196620"",""MARKSHEET!B9:N160""))},11,FALSE),"" "")"),72)</f>
        <v>72</v>
      </c>
      <c r="F11" s="80" t="str">
        <f ca="1">IFERROR(__xludf.DUMMYFUNCTION("IFERROR(VLOOKUP(B11,{(IMPORTRANGE(""https://docs.google.com/spreadsheets/d/1DiCkE-z-GlHYvc5ApMt3jWM8ky5Jm5xs_5zn3yfMkTI/edit#gid=1005196620"",""MARKSHEET!B9:N160""))},12,FALSE),"""")"),"Pass")</f>
        <v>Pass</v>
      </c>
      <c r="G11" s="80" t="str">
        <f ca="1">IFERROR(__xludf.DUMMYFUNCTION("IFERROR(VLOOKUP(B11,{(IMPORTRANGE(""https://docs.google.com/spreadsheets/d/1DiCkE-z-GlHYvc5ApMt3jWM8ky5Jm5xs_5zn3yfMkTI/edit#gid=1005196620"",""MARKSHEET!B9:N160""))},13,FALSE),"""")"),"B")</f>
        <v>B</v>
      </c>
      <c r="H11" s="80">
        <v>3</v>
      </c>
      <c r="I11" s="82">
        <f t="shared" ca="1" si="0"/>
        <v>8</v>
      </c>
      <c r="J11" s="80">
        <f t="shared" ca="1" si="1"/>
        <v>24</v>
      </c>
      <c r="K11" s="80">
        <f ca="1">IFERROR(__xludf.DUMMYFUNCTION("(IFERROR(VLOOKUP(B11,{(IMPORTRANGE(""https://docs.google.com/spreadsheets/d/14A_r3BvwRThEoTtBTKe2qw_1RK0ZLOcRhi-qy1jAh3g/edit#gid=1005196620"",""MARKSHEET!B9:N160""))},6,FALSE),"" ""))"),82)</f>
        <v>82</v>
      </c>
      <c r="L11" s="81">
        <f ca="1">IFERROR(__xludf.DUMMYFUNCTION("IFERROR(VLOOKUP(B11,{(IMPORTRANGE(""https://docs.google.com/spreadsheets/d/14A_r3BvwRThEoTtBTKe2qw_1RK0ZLOcRhi-qy1jAh3g/edit#gid=1005196620"",""MARKSHEET!B9:N160""))},12,FALSE),"" "")"),87)</f>
        <v>87</v>
      </c>
      <c r="M11" s="80" t="str">
        <f ca="1">IFERROR(__xludf.DUMMYFUNCTION("IFERROR(VLOOKUP(B11,{(IMPORTRANGE(""https://docs.google.com/spreadsheets/d/14A_r3BvwRThEoTtBTKe2qw_1RK0ZLOcRhi-qy1jAh3g/edit#gid=1005196620"",""MARKSHEET!B9:N160""))},13,FALSE),"""")"),"Pass")</f>
        <v>Pass</v>
      </c>
      <c r="N11" s="80" t="str">
        <f ca="1">IFERROR(__xludf.DUMMYFUNCTION("IFERROR(VLOOKUP(B11,{(IMPORTRANGE(""https://docs.google.com/spreadsheets/d/14A_r3BvwRThEoTtBTKe2qw_1RK0ZLOcRhi-qy1jAh3g/edit#gid=1005196620"",""MARKSHEET!B9:O160""))},14,FALSE),"" "")"),"O")</f>
        <v>O</v>
      </c>
      <c r="O11" s="80">
        <v>3</v>
      </c>
      <c r="P11" s="82">
        <f ca="1">IF(N11="O",10,IF(N11="A",9,IF(N11="B",8,IF(N11="C",7,IF(N11="D",6,IF(N11="E",5,IF(N11="P",4,0)))))))</f>
        <v>10</v>
      </c>
      <c r="Q11" s="80">
        <f ca="1">P11*O11</f>
        <v>30</v>
      </c>
      <c r="R11" s="80" t="str">
        <f ca="1">IFERROR(__xludf.DUMMYFUNCTION("(IFERROR(VLOOKUP(B11,{(IMPORTRANGE(""https://docs.google.com/spreadsheets/d/1upH6fbA84Z4BX1j10sbPBNIoznju0InoGwzdp-Ig7gc/edit#gid=1005196620"",""MARKSHEET!B9:N160""))},6,FALSE),"" ""))")," ")</f>
        <v xml:space="preserve"> </v>
      </c>
      <c r="S11" s="81" t="str">
        <f ca="1">IFERROR(__xludf.DUMMYFUNCTION("IFERROR(VLOOKUP(B11,{(IMPORTRANGE(""https://docs.google.com/spreadsheets/d/1upH6fbA84Z4BX1j10sbPBNIoznju0InoGwzdp-Ig7gc/edit#gid=1005196620"",""MARKSHEET!B9:N160""))},12,FALSE),"" "")")," ")</f>
        <v xml:space="preserve"> </v>
      </c>
      <c r="T11" s="80" t="str">
        <f ca="1">IFERROR(__xludf.DUMMYFUNCTION("IFERROR(VLOOKUP(B11,{(IMPORTRANGE(""https://docs.google.com/spreadsheets/d/1upH6fbA84Z4BX1j10sbPBNIoznju0InoGwzdp-Ig7gc/edit#gid=1005196620"",""MARKSHEET!B9:N160""))},13,FALSE),"""")"),"")</f>
        <v/>
      </c>
      <c r="U11" s="80" t="str">
        <f ca="1">IFERROR(__xludf.DUMMYFUNCTION("IFERROR(VLOOKUP(B11,{(IMPORTRANGE(""https://docs.google.com/spreadsheets/d/1upH6fbA84Z4BX1j10sbPBNIoznju0InoGwzdp-Ig7gc/edit#gid=1005196620"",""MARKSHEET!B9:O160""))},14,FALSE),"""")"),"")</f>
        <v/>
      </c>
      <c r="V11" s="80"/>
      <c r="W11" s="80"/>
      <c r="X11" s="80"/>
      <c r="Y11" s="80" t="str">
        <f ca="1">IFERROR(__xludf.DUMMYFUNCTION("(IFERROR(VLOOKUP(B11,{(IMPORTRANGE(""https://docs.google.com/spreadsheets/d/1eIdk5Axau8wGiwJcgdGQdOeePXUt5GCPnvl48qWYA0A/edit#gid=1005196620"",""MARKSHEET!B9:N160""))},6,FALSE),"" ""))")," ")</f>
        <v xml:space="preserve"> </v>
      </c>
      <c r="Z11" s="81" t="str">
        <f ca="1">IFERROR(__xludf.DUMMYFUNCTION("IFERROR(VLOOKUP(B11,{(IMPORTRANGE(""https://docs.google.com/spreadsheets/d/1eIdk5Axau8wGiwJcgdGQdOeePXUt5GCPnvl48qWYA0A/edit#gid=1005196620"",""MARKSHEET!B9:N160""))},12,FALSE),"" "")")," ")</f>
        <v xml:space="preserve"> </v>
      </c>
      <c r="AA11" s="80" t="str">
        <f ca="1">IFERROR(__xludf.DUMMYFUNCTION("IFERROR(VLOOKUP(B11,{(IMPORTRANGE(""https://docs.google.com/spreadsheets/d/1eIdk5Axau8wGiwJcgdGQdOeePXUt5GCPnvl48qWYA0A/edit#gid=1005196620"",""MARKSHEET!B9:N160""))},13,FALSE),"""")"),"")</f>
        <v/>
      </c>
      <c r="AB11" s="80" t="str">
        <f ca="1">IFERROR(__xludf.DUMMYFUNCTION("IFERROR(VLOOKUP(B11,{(IMPORTRANGE(""https://docs.google.com/spreadsheets/d/1eIdk5Axau8wGiwJcgdGQdOeePXUt5GCPnvl48qWYA0A/edit#gid=1005196620"",""MARKSHEET!B9:O160""))},14,FALSE),"""")"),"")</f>
        <v/>
      </c>
      <c r="AC11" s="84"/>
      <c r="AD11" s="84"/>
      <c r="AE11" s="84"/>
      <c r="AF11" s="84">
        <f ca="1">IFERROR(__xludf.DUMMYFUNCTION("(VLOOKUP(B11,{(IMPORTRANGE(""https://docs.google.com/spreadsheets/d/1IgGENpYbL2rI7gfQAXyk9JS3FgAuuh8Wul__oPf-faY/edit#gid=838365050"",""BE-OESall branches!J9:K298""))},2,FALSE))"),80)</f>
        <v>80</v>
      </c>
      <c r="AG11" s="85" t="str">
        <f t="shared" ca="1" si="4"/>
        <v>Pass</v>
      </c>
      <c r="AH11" s="86" t="str">
        <f t="shared" ca="1" si="19"/>
        <v>O</v>
      </c>
      <c r="AI11" s="83">
        <v>3</v>
      </c>
      <c r="AJ11" s="82">
        <f t="shared" ca="1" si="5"/>
        <v>10</v>
      </c>
      <c r="AK11" s="80">
        <f t="shared" ca="1" si="6"/>
        <v>30</v>
      </c>
      <c r="AL11" s="85">
        <v>90</v>
      </c>
      <c r="AM11" s="85" t="str">
        <f t="shared" si="7"/>
        <v>Pass</v>
      </c>
      <c r="AN11" s="86" t="str">
        <f t="shared" si="8"/>
        <v>O</v>
      </c>
      <c r="AO11" s="87">
        <v>6</v>
      </c>
      <c r="AP11" s="82">
        <f t="shared" si="9"/>
        <v>10</v>
      </c>
      <c r="AQ11" s="80">
        <f t="shared" si="10"/>
        <v>60</v>
      </c>
      <c r="AR11" s="87">
        <f ca="1">IFERROR(__xludf.DUMMYFUNCTION("(VLOOKUP(B11,{(IMPORTRANGE(""https://docs.google.com/spreadsheets/d/1bhPzFUTLMV7e35kNXQBjHBx0hnSRtnD8lSPi2nGpa7Y/edit#gid=1774387053"",""BE EXTC!B11:E91""))},4,FALSE))"),42)</f>
        <v>42</v>
      </c>
      <c r="AS11" s="87"/>
      <c r="AT11" s="86" t="str">
        <f t="shared" ca="1" si="11"/>
        <v>P</v>
      </c>
      <c r="AU11" s="87">
        <v>1</v>
      </c>
      <c r="AV11" s="82">
        <f t="shared" ca="1" si="12"/>
        <v>4</v>
      </c>
      <c r="AW11" s="80">
        <f t="shared" ca="1" si="13"/>
        <v>4</v>
      </c>
      <c r="AX11" s="80">
        <v>16</v>
      </c>
      <c r="AY11" s="88">
        <f t="shared" si="14"/>
        <v>16</v>
      </c>
      <c r="AZ11" s="88">
        <f t="shared" ca="1" si="15"/>
        <v>148</v>
      </c>
      <c r="BA11" s="81">
        <f t="shared" ca="1" si="16"/>
        <v>9.25</v>
      </c>
      <c r="BB11" s="80" t="s">
        <v>35</v>
      </c>
      <c r="BC11" s="81">
        <f t="array" ref="BC11">VLOOKUP(B11,cgpi!$A$8:$K917,2,FALSE)</f>
        <v>8.6</v>
      </c>
      <c r="BD11" s="89">
        <f t="array" ref="BD11">VLOOKUP(B11,cgpi!$A$8:$K917,3,FALSE)</f>
        <v>9.4499999999999993</v>
      </c>
      <c r="BE11" s="89">
        <f t="array" ref="BE11">VLOOKUP(B11,cgpi!$A$8:$K917,4,FALSE)</f>
        <v>10</v>
      </c>
      <c r="BF11" s="89">
        <f t="array" ref="BF11">VLOOKUP(B11,cgpi!$A$8:$K917,5,FALSE)</f>
        <v>9.11</v>
      </c>
      <c r="BG11" s="89">
        <f t="array" ref="BG11">VLOOKUP(B11,cgpi!$A$8:$K917,6,FALSE)</f>
        <v>9.6199999999999992</v>
      </c>
      <c r="BH11" s="89">
        <f t="array" ref="BH11">VLOOKUP(B11,cgpi!$A$8:$K917,7,FALSE)</f>
        <v>9</v>
      </c>
      <c r="BI11" s="89">
        <f t="array" ref="BI11">VLOOKUP(B11,cgpi!$A$8:$K917,8,FALSE)</f>
        <v>8.31</v>
      </c>
      <c r="BJ11" s="89">
        <f t="array" ref="BJ11">VLOOKUP(B11,cgpi!$A$8:$K917,9,FALSE)</f>
        <v>9.25</v>
      </c>
      <c r="BK11" s="89">
        <f t="array" ref="BK11">VLOOKUP(B11,cgpi!$A$8:$K917,10,FALSE)</f>
        <v>9.19</v>
      </c>
      <c r="BL11" s="89">
        <f t="array" ref="BL11">VLOOKUP(B11,cgpi!$A$8:$K917,11,FALSE)</f>
        <v>8.7799999999999994</v>
      </c>
      <c r="BM11" s="5"/>
    </row>
    <row r="12" spans="1:65" ht="47.25" customHeight="1">
      <c r="A12" s="49">
        <v>5</v>
      </c>
      <c r="B12" s="50">
        <v>2019120054</v>
      </c>
      <c r="C12" s="51" t="str">
        <f t="array" ref="C12">VLOOKUP(B12,studentnames!$A$6:$B917,2,FALSE)</f>
        <v>SARJE SURAJ GOPAL SHOBHA</v>
      </c>
      <c r="D12" s="80">
        <f ca="1">IFERROR(__xludf.DUMMYFUNCTION("(IFERROR(VLOOKUP(B12,{(IMPORTRANGE(""https://docs.google.com/spreadsheets/d/1DiCkE-z-GlHYvc5ApMt3jWM8ky5Jm5xs_5zn3yfMkTI/edit#gid=1005196620"",""MARKSHEET!B9:N160""))},6,FALSE),"" ""))"),23.5)</f>
        <v>23.5</v>
      </c>
      <c r="E12" s="81">
        <f ca="1">IFERROR(__xludf.DUMMYFUNCTION("IFERROR(VLOOKUP(B12,{(IMPORTRANGE(""https://docs.google.com/spreadsheets/d/1DiCkE-z-GlHYvc5ApMt3jWM8ky5Jm5xs_5zn3yfMkTI/edit#gid=1005196620"",""MARKSHEET!B9:N160""))},11,FALSE),"" "")"),40)</f>
        <v>40</v>
      </c>
      <c r="F12" s="80" t="str">
        <f ca="1">IFERROR(__xludf.DUMMYFUNCTION("IFERROR(VLOOKUP(B12,{(IMPORTRANGE(""https://docs.google.com/spreadsheets/d/1DiCkE-z-GlHYvc5ApMt3jWM8ky5Jm5xs_5zn3yfMkTI/edit#gid=1005196620"",""MARKSHEET!B9:N160""))},12,FALSE),"""")"),"Pass")</f>
        <v>Pass</v>
      </c>
      <c r="G12" s="80" t="str">
        <f ca="1">IFERROR(__xludf.DUMMYFUNCTION("IFERROR(VLOOKUP(B12,{(IMPORTRANGE(""https://docs.google.com/spreadsheets/d/1DiCkE-z-GlHYvc5ApMt3jWM8ky5Jm5xs_5zn3yfMkTI/edit#gid=1005196620"",""MARKSHEET!B9:N160""))},13,FALSE),"""")"),"P")</f>
        <v>P</v>
      </c>
      <c r="H12" s="80">
        <v>3</v>
      </c>
      <c r="I12" s="82">
        <f t="shared" ca="1" si="0"/>
        <v>4</v>
      </c>
      <c r="J12" s="80">
        <f t="shared" ca="1" si="1"/>
        <v>12</v>
      </c>
      <c r="K12" s="80" t="str">
        <f ca="1">IFERROR(__xludf.DUMMYFUNCTION("(IFERROR(VLOOKUP(B12,{(IMPORTRANGE(""https://docs.google.com/spreadsheets/d/14A_r3BvwRThEoTtBTKe2qw_1RK0ZLOcRhi-qy1jAh3g/edit#gid=1005196620"",""MARKSHEET!B9:N160""))},6,FALSE),"" ""))")," ")</f>
        <v xml:space="preserve"> </v>
      </c>
      <c r="L12" s="81" t="str">
        <f ca="1">IFERROR(__xludf.DUMMYFUNCTION("IFERROR(VLOOKUP(B12,{(IMPORTRANGE(""https://docs.google.com/spreadsheets/d/14A_r3BvwRThEoTtBTKe2qw_1RK0ZLOcRhi-qy1jAh3g/edit#gid=1005196620"",""MARKSHEET!B9:N160""))},12,FALSE),"" "")")," ")</f>
        <v xml:space="preserve"> </v>
      </c>
      <c r="M12" s="80" t="str">
        <f ca="1">IFERROR(__xludf.DUMMYFUNCTION("IFERROR(VLOOKUP(B12,{(IMPORTRANGE(""https://docs.google.com/spreadsheets/d/14A_r3BvwRThEoTtBTKe2qw_1RK0ZLOcRhi-qy1jAh3g/edit#gid=1005196620"",""MARKSHEET!B9:N160""))},13,FALSE),"""")"),"")</f>
        <v/>
      </c>
      <c r="N12" s="80" t="str">
        <f ca="1">IFERROR(__xludf.DUMMYFUNCTION("IFERROR(VLOOKUP(B12,{(IMPORTRANGE(""https://docs.google.com/spreadsheets/d/14A_r3BvwRThEoTtBTKe2qw_1RK0ZLOcRhi-qy1jAh3g/edit#gid=1005196620"",""MARKSHEET!B9:O160""))},14,FALSE),"" "")")," ")</f>
        <v xml:space="preserve"> </v>
      </c>
      <c r="O12" s="80"/>
      <c r="P12" s="80"/>
      <c r="Q12" s="80"/>
      <c r="R12" s="80" t="str">
        <f ca="1">IFERROR(__xludf.DUMMYFUNCTION("(IFERROR(VLOOKUP(B12,{(IMPORTRANGE(""https://docs.google.com/spreadsheets/d/1upH6fbA84Z4BX1j10sbPBNIoznju0InoGwzdp-Ig7gc/edit#gid=1005196620"",""MARKSHEET!B9:N160""))},6,FALSE),"" ""))")," ")</f>
        <v xml:space="preserve"> </v>
      </c>
      <c r="S12" s="81" t="str">
        <f ca="1">IFERROR(__xludf.DUMMYFUNCTION("IFERROR(VLOOKUP(B12,{(IMPORTRANGE(""https://docs.google.com/spreadsheets/d/1upH6fbA84Z4BX1j10sbPBNIoznju0InoGwzdp-Ig7gc/edit#gid=1005196620"",""MARKSHEET!B9:N160""))},12,FALSE),"" "")")," ")</f>
        <v xml:space="preserve"> </v>
      </c>
      <c r="T12" s="80" t="str">
        <f ca="1">IFERROR(__xludf.DUMMYFUNCTION("IFERROR(VLOOKUP(B12,{(IMPORTRANGE(""https://docs.google.com/spreadsheets/d/1upH6fbA84Z4BX1j10sbPBNIoznju0InoGwzdp-Ig7gc/edit#gid=1005196620"",""MARKSHEET!B9:N160""))},13,FALSE),"""")"),"")</f>
        <v/>
      </c>
      <c r="U12" s="80" t="str">
        <f ca="1">IFERROR(__xludf.DUMMYFUNCTION("IFERROR(VLOOKUP(B12,{(IMPORTRANGE(""https://docs.google.com/spreadsheets/d/1upH6fbA84Z4BX1j10sbPBNIoznju0InoGwzdp-Ig7gc/edit#gid=1005196620"",""MARKSHEET!B9:O160""))},14,FALSE),"""")"),"")</f>
        <v/>
      </c>
      <c r="V12" s="80"/>
      <c r="W12" s="80"/>
      <c r="X12" s="80"/>
      <c r="Y12" s="80">
        <f ca="1">IFERROR(__xludf.DUMMYFUNCTION("(IFERROR(VLOOKUP(B12,{(IMPORTRANGE(""https://docs.google.com/spreadsheets/d/1eIdk5Axau8wGiwJcgdGQdOeePXUt5GCPnvl48qWYA0A/edit#gid=1005196620"",""MARKSHEET!B9:N160""))},6,FALSE),"" ""))"),49)</f>
        <v>49</v>
      </c>
      <c r="Z12" s="81">
        <f ca="1">IFERROR(__xludf.DUMMYFUNCTION("IFERROR(VLOOKUP(B12,{(IMPORTRANGE(""https://docs.google.com/spreadsheets/d/1eIdk5Axau8wGiwJcgdGQdOeePXUt5GCPnvl48qWYA0A/edit#gid=1005196620"",""MARKSHEET!B9:N160""))},12,FALSE),"" "")"),56)</f>
        <v>56</v>
      </c>
      <c r="AA12" s="80" t="str">
        <f ca="1">IFERROR(__xludf.DUMMYFUNCTION("IFERROR(VLOOKUP(B12,{(IMPORTRANGE(""https://docs.google.com/spreadsheets/d/1eIdk5Axau8wGiwJcgdGQdOeePXUt5GCPnvl48qWYA0A/edit#gid=1005196620"",""MARKSHEET!B9:N160""))},13,FALSE),"""")"),"Pass")</f>
        <v>Pass</v>
      </c>
      <c r="AB12" s="80" t="str">
        <f ca="1">IFERROR(__xludf.DUMMYFUNCTION("IFERROR(VLOOKUP(B12,{(IMPORTRANGE(""https://docs.google.com/spreadsheets/d/1eIdk5Axau8wGiwJcgdGQdOeePXUt5GCPnvl48qWYA0A/edit#gid=1005196620"",""MARKSHEET!B9:O160""))},14,FALSE),"""")"),"D")</f>
        <v>D</v>
      </c>
      <c r="AC12" s="83">
        <v>3</v>
      </c>
      <c r="AD12" s="82">
        <f t="shared" ref="AD12:AD14" ca="1" si="20">IF(AB12="O",10,IF(AB12="A",9,IF(AB12="B",8,IF(AB12="C",7,IF(AB12="D",6,IF(AB12="E",5,IF(AB12="P",4,0)))))))</f>
        <v>6</v>
      </c>
      <c r="AE12" s="80">
        <f t="shared" ref="AE12:AE14" ca="1" si="21">AD12*AC12</f>
        <v>18</v>
      </c>
      <c r="AF12" s="84">
        <f ca="1">IFERROR(__xludf.DUMMYFUNCTION("(VLOOKUP(B12,{(IMPORTRANGE(""https://docs.google.com/spreadsheets/d/1IgGENpYbL2rI7gfQAXyk9JS3FgAuuh8Wul__oPf-faY/edit#gid=838365050"",""BE-OESall branches!J9:K298""))},2,FALSE))"),75)</f>
        <v>75</v>
      </c>
      <c r="AG12" s="85" t="str">
        <f t="shared" ca="1" si="4"/>
        <v>Pass</v>
      </c>
      <c r="AH12" s="86" t="str">
        <f t="shared" ca="1" si="19"/>
        <v>A</v>
      </c>
      <c r="AI12" s="83">
        <v>3</v>
      </c>
      <c r="AJ12" s="82">
        <f t="shared" ca="1" si="5"/>
        <v>9</v>
      </c>
      <c r="AK12" s="80">
        <f t="shared" ca="1" si="6"/>
        <v>27</v>
      </c>
      <c r="AL12" s="85">
        <v>90</v>
      </c>
      <c r="AM12" s="85" t="str">
        <f t="shared" si="7"/>
        <v>Pass</v>
      </c>
      <c r="AN12" s="86" t="str">
        <f t="shared" si="8"/>
        <v>O</v>
      </c>
      <c r="AO12" s="87">
        <v>6</v>
      </c>
      <c r="AP12" s="82">
        <f t="shared" si="9"/>
        <v>10</v>
      </c>
      <c r="AQ12" s="80">
        <f t="shared" si="10"/>
        <v>60</v>
      </c>
      <c r="AR12" s="87">
        <f ca="1">IFERROR(__xludf.DUMMYFUNCTION("(VLOOKUP(B12,{(IMPORTRANGE(""https://docs.google.com/spreadsheets/d/1bhPzFUTLMV7e35kNXQBjHBx0hnSRtnD8lSPi2nGpa7Y/edit#gid=1774387053"",""BE EXTC!B11:E91""))},4,FALSE))"),85)</f>
        <v>85</v>
      </c>
      <c r="AS12" s="87"/>
      <c r="AT12" s="86" t="str">
        <f t="shared" ca="1" si="11"/>
        <v>O</v>
      </c>
      <c r="AU12" s="87">
        <v>1</v>
      </c>
      <c r="AV12" s="82">
        <f t="shared" ca="1" si="12"/>
        <v>10</v>
      </c>
      <c r="AW12" s="80">
        <f t="shared" ca="1" si="13"/>
        <v>10</v>
      </c>
      <c r="AX12" s="80">
        <v>16</v>
      </c>
      <c r="AY12" s="88">
        <f t="shared" si="14"/>
        <v>16</v>
      </c>
      <c r="AZ12" s="88">
        <f t="shared" ca="1" si="15"/>
        <v>127</v>
      </c>
      <c r="BA12" s="81">
        <f t="shared" ca="1" si="16"/>
        <v>7.9375</v>
      </c>
      <c r="BB12" s="80" t="s">
        <v>35</v>
      </c>
      <c r="BC12" s="81">
        <f t="array" ref="BC12">VLOOKUP(B12,cgpi!$A$8:$K917,2,FALSE)</f>
        <v>5.85</v>
      </c>
      <c r="BD12" s="89">
        <f t="array" ref="BD12">VLOOKUP(B12,cgpi!$A$8:$K917,3,FALSE)</f>
        <v>6.5</v>
      </c>
      <c r="BE12" s="89">
        <f t="array" ref="BE12">VLOOKUP(B12,cgpi!$A$8:$K917,4,FALSE)</f>
        <v>9.48</v>
      </c>
      <c r="BF12" s="89">
        <f t="array" ref="BF12">VLOOKUP(B12,cgpi!$A$8:$K917,5,FALSE)</f>
        <v>8</v>
      </c>
      <c r="BG12" s="89">
        <f t="array" ref="BG12">VLOOKUP(B12,cgpi!$A$8:$K917,6,FALSE)</f>
        <v>8.3800000000000008</v>
      </c>
      <c r="BH12" s="89">
        <f t="array" ref="BH12">VLOOKUP(B12,cgpi!$A$8:$K917,7,FALSE)</f>
        <v>8.2899999999999991</v>
      </c>
      <c r="BI12" s="89">
        <f t="array" ref="BI12">VLOOKUP(B12,cgpi!$A$8:$K917,8,FALSE)</f>
        <v>7.5</v>
      </c>
      <c r="BJ12" s="89">
        <f t="array" ref="BJ12">VLOOKUP(B12,cgpi!$A$8:$K917,9,FALSE)</f>
        <v>7.94</v>
      </c>
      <c r="BK12" s="89">
        <f t="array" ref="BK12">VLOOKUP(B12,cgpi!$A$8:$K917,10,FALSE)</f>
        <v>7.76</v>
      </c>
      <c r="BL12" s="89">
        <f t="array" ref="BL12">VLOOKUP(B12,cgpi!$A$8:$K917,11,FALSE)</f>
        <v>7.72</v>
      </c>
      <c r="BM12" s="5"/>
    </row>
    <row r="13" spans="1:65" ht="47.25" customHeight="1">
      <c r="A13" s="49">
        <v>6</v>
      </c>
      <c r="B13" s="50">
        <v>2019120061</v>
      </c>
      <c r="C13" s="51" t="str">
        <f t="array" ref="C13">VLOOKUP(B13,studentnames!$A$6:$B917,2,FALSE)</f>
        <v>SOLANKI PRATHAM PRAKASH PUSHPA</v>
      </c>
      <c r="D13" s="80" t="str">
        <f ca="1">IFERROR(__xludf.DUMMYFUNCTION("(IFERROR(VLOOKUP(B13,{(IMPORTRANGE(""https://docs.google.com/spreadsheets/d/1DiCkE-z-GlHYvc5ApMt3jWM8ky5Jm5xs_5zn3yfMkTI/edit#gid=1005196620"",""MARKSHEET!B9:N160""))},6,FALSE),"" ""))")," ")</f>
        <v xml:space="preserve"> </v>
      </c>
      <c r="E13" s="81" t="str">
        <f ca="1">IFERROR(__xludf.DUMMYFUNCTION("IFERROR(VLOOKUP(B13,{(IMPORTRANGE(""https://docs.google.com/spreadsheets/d/1DiCkE-z-GlHYvc5ApMt3jWM8ky5Jm5xs_5zn3yfMkTI/edit#gid=1005196620"",""MARKSHEET!B9:N160""))},11,FALSE),"" "")")," ")</f>
        <v xml:space="preserve"> </v>
      </c>
      <c r="F13" s="80" t="str">
        <f ca="1">IFERROR(__xludf.DUMMYFUNCTION("IFERROR(VLOOKUP(B13,{(IMPORTRANGE(""https://docs.google.com/spreadsheets/d/1DiCkE-z-GlHYvc5ApMt3jWM8ky5Jm5xs_5zn3yfMkTI/edit#gid=1005196620"",""MARKSHEET!B9:N160""))},12,FALSE),"""")"),"")</f>
        <v/>
      </c>
      <c r="G13" s="80" t="str">
        <f ca="1">IFERROR(__xludf.DUMMYFUNCTION("IFERROR(VLOOKUP(B13,{(IMPORTRANGE(""https://docs.google.com/spreadsheets/d/1DiCkE-z-GlHYvc5ApMt3jWM8ky5Jm5xs_5zn3yfMkTI/edit#gid=1005196620"",""MARKSHEET!B9:N160""))},13,FALSE),"""")"),"")</f>
        <v/>
      </c>
      <c r="H13" s="80"/>
      <c r="I13" s="82">
        <f t="shared" ca="1" si="0"/>
        <v>0</v>
      </c>
      <c r="J13" s="80">
        <f t="shared" ca="1" si="1"/>
        <v>0</v>
      </c>
      <c r="K13" s="80">
        <f ca="1">IFERROR(__xludf.DUMMYFUNCTION("(IFERROR(VLOOKUP(B13,{(IMPORTRANGE(""https://docs.google.com/spreadsheets/d/14A_r3BvwRThEoTtBTKe2qw_1RK0ZLOcRhi-qy1jAh3g/edit#gid=1005196620"",""MARKSHEET!B9:N160""))},6,FALSE),"" ""))"),85)</f>
        <v>85</v>
      </c>
      <c r="L13" s="81">
        <f ca="1">IFERROR(__xludf.DUMMYFUNCTION("IFERROR(VLOOKUP(B13,{(IMPORTRANGE(""https://docs.google.com/spreadsheets/d/14A_r3BvwRThEoTtBTKe2qw_1RK0ZLOcRhi-qy1jAh3g/edit#gid=1005196620"",""MARKSHEET!B9:N160""))},12,FALSE),"" "")"),84)</f>
        <v>84</v>
      </c>
      <c r="M13" s="80" t="str">
        <f ca="1">IFERROR(__xludf.DUMMYFUNCTION("IFERROR(VLOOKUP(B13,{(IMPORTRANGE(""https://docs.google.com/spreadsheets/d/14A_r3BvwRThEoTtBTKe2qw_1RK0ZLOcRhi-qy1jAh3g/edit#gid=1005196620"",""MARKSHEET!B9:N160""))},13,FALSE),"""")"),"Pass")</f>
        <v>Pass</v>
      </c>
      <c r="N13" s="80" t="str">
        <f ca="1">IFERROR(__xludf.DUMMYFUNCTION("IFERROR(VLOOKUP(B13,{(IMPORTRANGE(""https://docs.google.com/spreadsheets/d/14A_r3BvwRThEoTtBTKe2qw_1RK0ZLOcRhi-qy1jAh3g/edit#gid=1005196620"",""MARKSHEET!B9:O160""))},14,FALSE),"" "")"),"O")</f>
        <v>O</v>
      </c>
      <c r="O13" s="80">
        <v>3</v>
      </c>
      <c r="P13" s="82">
        <f t="shared" ref="P13:P14" ca="1" si="22">IF(N13="O",10,IF(N13="A",9,IF(N13="B",8,IF(N13="C",7,IF(N13="D",6,IF(N13="E",5,IF(N13="P",4,0)))))))</f>
        <v>10</v>
      </c>
      <c r="Q13" s="80">
        <f t="shared" ref="Q13:Q14" ca="1" si="23">P13*O13</f>
        <v>30</v>
      </c>
      <c r="R13" s="80" t="str">
        <f ca="1">IFERROR(__xludf.DUMMYFUNCTION("(IFERROR(VLOOKUP(B13,{(IMPORTRANGE(""https://docs.google.com/spreadsheets/d/1upH6fbA84Z4BX1j10sbPBNIoznju0InoGwzdp-Ig7gc/edit#gid=1005196620"",""MARKSHEET!B9:N160""))},6,FALSE),"" ""))")," ")</f>
        <v xml:space="preserve"> </v>
      </c>
      <c r="S13" s="81" t="str">
        <f ca="1">IFERROR(__xludf.DUMMYFUNCTION("IFERROR(VLOOKUP(B13,{(IMPORTRANGE(""https://docs.google.com/spreadsheets/d/1upH6fbA84Z4BX1j10sbPBNIoznju0InoGwzdp-Ig7gc/edit#gid=1005196620"",""MARKSHEET!B9:N160""))},12,FALSE),"" "")")," ")</f>
        <v xml:space="preserve"> </v>
      </c>
      <c r="T13" s="80" t="str">
        <f ca="1">IFERROR(__xludf.DUMMYFUNCTION("IFERROR(VLOOKUP(B13,{(IMPORTRANGE(""https://docs.google.com/spreadsheets/d/1upH6fbA84Z4BX1j10sbPBNIoznju0InoGwzdp-Ig7gc/edit#gid=1005196620"",""MARKSHEET!B9:N160""))},13,FALSE),"""")"),"")</f>
        <v/>
      </c>
      <c r="U13" s="80" t="str">
        <f ca="1">IFERROR(__xludf.DUMMYFUNCTION("IFERROR(VLOOKUP(B13,{(IMPORTRANGE(""https://docs.google.com/spreadsheets/d/1upH6fbA84Z4BX1j10sbPBNIoznju0InoGwzdp-Ig7gc/edit#gid=1005196620"",""MARKSHEET!B9:O160""))},14,FALSE),"""")"),"")</f>
        <v/>
      </c>
      <c r="V13" s="80"/>
      <c r="W13" s="80"/>
      <c r="X13" s="80"/>
      <c r="Y13" s="80">
        <f ca="1">IFERROR(__xludf.DUMMYFUNCTION("(IFERROR(VLOOKUP(B13,{(IMPORTRANGE(""https://docs.google.com/spreadsheets/d/1eIdk5Axau8wGiwJcgdGQdOeePXUt5GCPnvl48qWYA0A/edit#gid=1005196620"",""MARKSHEET!B9:N160""))},6,FALSE),"" ""))"),29.5)</f>
        <v>29.5</v>
      </c>
      <c r="Z13" s="81">
        <f ca="1">IFERROR(__xludf.DUMMYFUNCTION("IFERROR(VLOOKUP(B13,{(IMPORTRANGE(""https://docs.google.com/spreadsheets/d/1eIdk5Axau8wGiwJcgdGQdOeePXUt5GCPnvl48qWYA0A/edit#gid=1005196620"",""MARKSHEET!B9:N160""))},12,FALSE),"" "")"),56)</f>
        <v>56</v>
      </c>
      <c r="AA13" s="80" t="str">
        <f ca="1">IFERROR(__xludf.DUMMYFUNCTION("IFERROR(VLOOKUP(B13,{(IMPORTRANGE(""https://docs.google.com/spreadsheets/d/1eIdk5Axau8wGiwJcgdGQdOeePXUt5GCPnvl48qWYA0A/edit#gid=1005196620"",""MARKSHEET!B9:N160""))},13,FALSE),"""")"),"Pass")</f>
        <v>Pass</v>
      </c>
      <c r="AB13" s="80" t="str">
        <f ca="1">IFERROR(__xludf.DUMMYFUNCTION("IFERROR(VLOOKUP(B13,{(IMPORTRANGE(""https://docs.google.com/spreadsheets/d/1eIdk5Axau8wGiwJcgdGQdOeePXUt5GCPnvl48qWYA0A/edit#gid=1005196620"",""MARKSHEET!B9:O160""))},14,FALSE),"""")"),"D")</f>
        <v>D</v>
      </c>
      <c r="AC13" s="83">
        <v>3</v>
      </c>
      <c r="AD13" s="82">
        <f t="shared" ca="1" si="20"/>
        <v>6</v>
      </c>
      <c r="AE13" s="80">
        <f t="shared" ca="1" si="21"/>
        <v>18</v>
      </c>
      <c r="AF13" s="84">
        <f ca="1">IFERROR(__xludf.DUMMYFUNCTION("(VLOOKUP(B13,{(IMPORTRANGE(""https://docs.google.com/spreadsheets/d/1IgGENpYbL2rI7gfQAXyk9JS3FgAuuh8Wul__oPf-faY/edit#gid=838365050"",""BE-OESall branches!J9:K298""))},2,FALSE))"),73)</f>
        <v>73</v>
      </c>
      <c r="AG13" s="85" t="str">
        <f t="shared" ca="1" si="4"/>
        <v>Pass</v>
      </c>
      <c r="AH13" s="86" t="str">
        <f t="shared" ca="1" si="19"/>
        <v>B</v>
      </c>
      <c r="AI13" s="83">
        <v>3</v>
      </c>
      <c r="AJ13" s="82">
        <f t="shared" ca="1" si="5"/>
        <v>8</v>
      </c>
      <c r="AK13" s="80">
        <f t="shared" ca="1" si="6"/>
        <v>24</v>
      </c>
      <c r="AL13" s="85">
        <v>94</v>
      </c>
      <c r="AM13" s="85" t="str">
        <f t="shared" si="7"/>
        <v>Pass</v>
      </c>
      <c r="AN13" s="86" t="str">
        <f t="shared" si="8"/>
        <v>O</v>
      </c>
      <c r="AO13" s="87">
        <v>6</v>
      </c>
      <c r="AP13" s="82">
        <f t="shared" si="9"/>
        <v>10</v>
      </c>
      <c r="AQ13" s="80">
        <f t="shared" si="10"/>
        <v>60</v>
      </c>
      <c r="AR13" s="87">
        <f ca="1">IFERROR(__xludf.DUMMYFUNCTION("(VLOOKUP(B13,{(IMPORTRANGE(""https://docs.google.com/spreadsheets/d/1bhPzFUTLMV7e35kNXQBjHBx0hnSRtnD8lSPi2nGpa7Y/edit#gid=1774387053"",""BE EXTC!B11:E91""))},4,FALSE))"),82)</f>
        <v>82</v>
      </c>
      <c r="AS13" s="87"/>
      <c r="AT13" s="86" t="str">
        <f t="shared" ca="1" si="11"/>
        <v>O</v>
      </c>
      <c r="AU13" s="87">
        <v>1</v>
      </c>
      <c r="AV13" s="82">
        <f t="shared" ca="1" si="12"/>
        <v>10</v>
      </c>
      <c r="AW13" s="80">
        <f t="shared" ca="1" si="13"/>
        <v>10</v>
      </c>
      <c r="AX13" s="80">
        <v>16</v>
      </c>
      <c r="AY13" s="88">
        <f t="shared" si="14"/>
        <v>16</v>
      </c>
      <c r="AZ13" s="88">
        <f t="shared" ca="1" si="15"/>
        <v>142</v>
      </c>
      <c r="BA13" s="81">
        <f t="shared" ca="1" si="16"/>
        <v>8.875</v>
      </c>
      <c r="BB13" s="80" t="s">
        <v>35</v>
      </c>
      <c r="BC13" s="81">
        <f t="array" ref="BC13">VLOOKUP(B13,cgpi!$A$8:$K917,2,FALSE)</f>
        <v>7.1</v>
      </c>
      <c r="BD13" s="89">
        <f t="array" ref="BD13">VLOOKUP(B13,cgpi!$A$8:$K917,3,FALSE)</f>
        <v>7.75</v>
      </c>
      <c r="BE13" s="89">
        <f t="array" ref="BE13">VLOOKUP(B13,cgpi!$A$8:$K917,4,FALSE)</f>
        <v>8.48</v>
      </c>
      <c r="BF13" s="89">
        <f t="array" ref="BF13">VLOOKUP(B13,cgpi!$A$8:$K917,5,FALSE)</f>
        <v>6.95</v>
      </c>
      <c r="BG13" s="89">
        <f t="array" ref="BG13">VLOOKUP(B13,cgpi!$A$8:$K917,6,FALSE)</f>
        <v>6.19</v>
      </c>
      <c r="BH13" s="89">
        <f t="array" ref="BH13">VLOOKUP(B13,cgpi!$A$8:$K917,7,FALSE)</f>
        <v>6.5</v>
      </c>
      <c r="BI13" s="89">
        <f t="array" ref="BI13">VLOOKUP(B13,cgpi!$A$8:$K917,8,FALSE)</f>
        <v>7.75</v>
      </c>
      <c r="BJ13" s="89">
        <f t="array" ref="BJ13">VLOOKUP(B13,cgpi!$A$8:$K917,9,FALSE)</f>
        <v>8.8800000000000008</v>
      </c>
      <c r="BK13" s="89">
        <f t="array" ref="BK13">VLOOKUP(B13,cgpi!$A$8:$K917,10,FALSE)</f>
        <v>7.41</v>
      </c>
      <c r="BL13" s="89">
        <f t="array" ref="BL13">VLOOKUP(B13,cgpi!$A$8:$K917,11,FALSE)</f>
        <v>8.31</v>
      </c>
      <c r="BM13" s="5"/>
    </row>
    <row r="14" spans="1:65" ht="47.25" customHeight="1">
      <c r="A14" s="49">
        <v>7</v>
      </c>
      <c r="B14" s="50">
        <v>2020201066</v>
      </c>
      <c r="C14" s="51" t="str">
        <f t="array" ref="C14">VLOOKUP(B14,studentnames!$A$6:$B917,2,FALSE)</f>
        <v>K SREERAM PARAMESWARAN NANDINI</v>
      </c>
      <c r="D14" s="80" t="str">
        <f ca="1">IFERROR(__xludf.DUMMYFUNCTION("(IFERROR(VLOOKUP(B14,{(IMPORTRANGE(""https://docs.google.com/spreadsheets/d/1DiCkE-z-GlHYvc5ApMt3jWM8ky5Jm5xs_5zn3yfMkTI/edit#gid=1005196620"",""MARKSHEET!B9:N160""))},6,FALSE),"" ""))")," ")</f>
        <v xml:space="preserve"> </v>
      </c>
      <c r="E14" s="81" t="str">
        <f ca="1">IFERROR(__xludf.DUMMYFUNCTION("IFERROR(VLOOKUP(B14,{(IMPORTRANGE(""https://docs.google.com/spreadsheets/d/1DiCkE-z-GlHYvc5ApMt3jWM8ky5Jm5xs_5zn3yfMkTI/edit#gid=1005196620"",""MARKSHEET!B9:N160""))},11,FALSE),"" "")")," ")</f>
        <v xml:space="preserve"> </v>
      </c>
      <c r="F14" s="80" t="str">
        <f ca="1">IFERROR(__xludf.DUMMYFUNCTION("IFERROR(VLOOKUP(B14,{(IMPORTRANGE(""https://docs.google.com/spreadsheets/d/1DiCkE-z-GlHYvc5ApMt3jWM8ky5Jm5xs_5zn3yfMkTI/edit#gid=1005196620"",""MARKSHEET!B9:N160""))},12,FALSE),"""")"),"")</f>
        <v/>
      </c>
      <c r="G14" s="80" t="str">
        <f ca="1">IFERROR(__xludf.DUMMYFUNCTION("IFERROR(VLOOKUP(B14,{(IMPORTRANGE(""https://docs.google.com/spreadsheets/d/1DiCkE-z-GlHYvc5ApMt3jWM8ky5Jm5xs_5zn3yfMkTI/edit#gid=1005196620"",""MARKSHEET!B9:N160""))},13,FALSE),"""")"),"")</f>
        <v/>
      </c>
      <c r="H14" s="80"/>
      <c r="I14" s="82">
        <f t="shared" ca="1" si="0"/>
        <v>0</v>
      </c>
      <c r="J14" s="80">
        <f t="shared" ca="1" si="1"/>
        <v>0</v>
      </c>
      <c r="K14" s="80">
        <f ca="1">IFERROR(__xludf.DUMMYFUNCTION("(IFERROR(VLOOKUP(B14,{(IMPORTRANGE(""https://docs.google.com/spreadsheets/d/14A_r3BvwRThEoTtBTKe2qw_1RK0ZLOcRhi-qy1jAh3g/edit#gid=1005196620"",""MARKSHEET!B9:N160""))},6,FALSE),"" ""))"),38)</f>
        <v>38</v>
      </c>
      <c r="L14" s="81">
        <f ca="1">IFERROR(__xludf.DUMMYFUNCTION("IFERROR(VLOOKUP(B14,{(IMPORTRANGE(""https://docs.google.com/spreadsheets/d/14A_r3BvwRThEoTtBTKe2qw_1RK0ZLOcRhi-qy1jAh3g/edit#gid=1005196620"",""MARKSHEET!B9:N160""))},12,FALSE),"" "")"),53)</f>
        <v>53</v>
      </c>
      <c r="M14" s="80" t="str">
        <f ca="1">IFERROR(__xludf.DUMMYFUNCTION("IFERROR(VLOOKUP(B14,{(IMPORTRANGE(""https://docs.google.com/spreadsheets/d/14A_r3BvwRThEoTtBTKe2qw_1RK0ZLOcRhi-qy1jAh3g/edit#gid=1005196620"",""MARKSHEET!B9:N160""))},13,FALSE),"""")"),"Pass")</f>
        <v>Pass</v>
      </c>
      <c r="N14" s="80" t="str">
        <f ca="1">IFERROR(__xludf.DUMMYFUNCTION("IFERROR(VLOOKUP(B14,{(IMPORTRANGE(""https://docs.google.com/spreadsheets/d/14A_r3BvwRThEoTtBTKe2qw_1RK0ZLOcRhi-qy1jAh3g/edit#gid=1005196620"",""MARKSHEET!B9:O160""))},14,FALSE),"" "")"),"D")</f>
        <v>D</v>
      </c>
      <c r="O14" s="80">
        <v>3</v>
      </c>
      <c r="P14" s="82">
        <f t="shared" ca="1" si="22"/>
        <v>6</v>
      </c>
      <c r="Q14" s="80">
        <f t="shared" ca="1" si="23"/>
        <v>18</v>
      </c>
      <c r="R14" s="80" t="str">
        <f ca="1">IFERROR(__xludf.DUMMYFUNCTION("(IFERROR(VLOOKUP(B14,{(IMPORTRANGE(""https://docs.google.com/spreadsheets/d/1upH6fbA84Z4BX1j10sbPBNIoznju0InoGwzdp-Ig7gc/edit#gid=1005196620"",""MARKSHEET!B9:N160""))},6,FALSE),"" ""))")," ")</f>
        <v xml:space="preserve"> </v>
      </c>
      <c r="S14" s="81" t="str">
        <f ca="1">IFERROR(__xludf.DUMMYFUNCTION("IFERROR(VLOOKUP(B14,{(IMPORTRANGE(""https://docs.google.com/spreadsheets/d/1upH6fbA84Z4BX1j10sbPBNIoznju0InoGwzdp-Ig7gc/edit#gid=1005196620"",""MARKSHEET!B9:N160""))},12,FALSE),"" "")")," ")</f>
        <v xml:space="preserve"> </v>
      </c>
      <c r="T14" s="80" t="str">
        <f ca="1">IFERROR(__xludf.DUMMYFUNCTION("IFERROR(VLOOKUP(B14,{(IMPORTRANGE(""https://docs.google.com/spreadsheets/d/1upH6fbA84Z4BX1j10sbPBNIoznju0InoGwzdp-Ig7gc/edit#gid=1005196620"",""MARKSHEET!B9:N160""))},13,FALSE),"""")"),"")</f>
        <v/>
      </c>
      <c r="U14" s="80" t="str">
        <f ca="1">IFERROR(__xludf.DUMMYFUNCTION("IFERROR(VLOOKUP(B14,{(IMPORTRANGE(""https://docs.google.com/spreadsheets/d/1upH6fbA84Z4BX1j10sbPBNIoznju0InoGwzdp-Ig7gc/edit#gid=1005196620"",""MARKSHEET!B9:O160""))},14,FALSE),"""")"),"")</f>
        <v/>
      </c>
      <c r="V14" s="80"/>
      <c r="W14" s="80"/>
      <c r="X14" s="80"/>
      <c r="Y14" s="80">
        <f ca="1">IFERROR(__xludf.DUMMYFUNCTION("(IFERROR(VLOOKUP(B14,{(IMPORTRANGE(""https://docs.google.com/spreadsheets/d/1eIdk5Axau8wGiwJcgdGQdOeePXUt5GCPnvl48qWYA0A/edit#gid=1005196620"",""MARKSHEET!B9:N160""))},6,FALSE),"" ""))"),16.5)</f>
        <v>16.5</v>
      </c>
      <c r="Z14" s="81">
        <f ca="1">IFERROR(__xludf.DUMMYFUNCTION("IFERROR(VLOOKUP(B14,{(IMPORTRANGE(""https://docs.google.com/spreadsheets/d/1eIdk5Axau8wGiwJcgdGQdOeePXUt5GCPnvl48qWYA0A/edit#gid=1005196620"",""MARKSHEET!B9:N160""))},12,FALSE),"" "")"),46)</f>
        <v>46</v>
      </c>
      <c r="AA14" s="80" t="str">
        <f ca="1">IFERROR(__xludf.DUMMYFUNCTION("IFERROR(VLOOKUP(B14,{(IMPORTRANGE(""https://docs.google.com/spreadsheets/d/1eIdk5Axau8wGiwJcgdGQdOeePXUt5GCPnvl48qWYA0A/edit#gid=1005196620"",""MARKSHEET!B9:N160""))},13,FALSE),"""")"),"Pass")</f>
        <v>Pass</v>
      </c>
      <c r="AB14" s="80" t="str">
        <f ca="1">IFERROR(__xludf.DUMMYFUNCTION("IFERROR(VLOOKUP(B14,{(IMPORTRANGE(""https://docs.google.com/spreadsheets/d/1eIdk5Axau8wGiwJcgdGQdOeePXUt5GCPnvl48qWYA0A/edit#gid=1005196620"",""MARKSHEET!B9:O160""))},14,FALSE),"""")"),"E")</f>
        <v>E</v>
      </c>
      <c r="AC14" s="83">
        <v>3</v>
      </c>
      <c r="AD14" s="82">
        <f t="shared" ca="1" si="20"/>
        <v>5</v>
      </c>
      <c r="AE14" s="80">
        <f t="shared" ca="1" si="21"/>
        <v>15</v>
      </c>
      <c r="AF14" s="84">
        <f ca="1">IFERROR(__xludf.DUMMYFUNCTION("(VLOOKUP(B14,{(IMPORTRANGE(""https://docs.google.com/spreadsheets/d/1IgGENpYbL2rI7gfQAXyk9JS3FgAuuh8Wul__oPf-faY/edit#gid=838365050"",""BE-OESall branches!J9:K298""))},2,FALSE))"),76)</f>
        <v>76</v>
      </c>
      <c r="AG14" s="85" t="str">
        <f t="shared" ca="1" si="4"/>
        <v>Pass</v>
      </c>
      <c r="AH14" s="86" t="str">
        <f t="shared" ca="1" si="19"/>
        <v>A</v>
      </c>
      <c r="AI14" s="83">
        <v>3</v>
      </c>
      <c r="AJ14" s="82">
        <f t="shared" ca="1" si="5"/>
        <v>9</v>
      </c>
      <c r="AK14" s="80">
        <f t="shared" ca="1" si="6"/>
        <v>27</v>
      </c>
      <c r="AL14" s="85">
        <v>85</v>
      </c>
      <c r="AM14" s="85" t="str">
        <f t="shared" si="7"/>
        <v>Pass</v>
      </c>
      <c r="AN14" s="86" t="str">
        <f t="shared" si="8"/>
        <v>O</v>
      </c>
      <c r="AO14" s="87">
        <v>6</v>
      </c>
      <c r="AP14" s="82">
        <f t="shared" si="9"/>
        <v>10</v>
      </c>
      <c r="AQ14" s="80">
        <f t="shared" si="10"/>
        <v>60</v>
      </c>
      <c r="AR14" s="87">
        <f ca="1">IFERROR(__xludf.DUMMYFUNCTION("(VLOOKUP(B14,{(IMPORTRANGE(""https://docs.google.com/spreadsheets/d/1bhPzFUTLMV7e35kNXQBjHBx0hnSRtnD8lSPi2nGpa7Y/edit#gid=1774387053"",""BE EXTC!B11:E91""))},4,FALSE))"),88)</f>
        <v>88</v>
      </c>
      <c r="AS14" s="87"/>
      <c r="AT14" s="86" t="str">
        <f t="shared" ca="1" si="11"/>
        <v>O</v>
      </c>
      <c r="AU14" s="87">
        <v>1</v>
      </c>
      <c r="AV14" s="82">
        <f t="shared" ca="1" si="12"/>
        <v>10</v>
      </c>
      <c r="AW14" s="80">
        <f t="shared" ca="1" si="13"/>
        <v>10</v>
      </c>
      <c r="AX14" s="80">
        <v>16</v>
      </c>
      <c r="AY14" s="88">
        <f t="shared" si="14"/>
        <v>16</v>
      </c>
      <c r="AZ14" s="88">
        <f t="shared" ca="1" si="15"/>
        <v>130</v>
      </c>
      <c r="BA14" s="81">
        <f t="shared" ca="1" si="16"/>
        <v>8.125</v>
      </c>
      <c r="BB14" s="80" t="s">
        <v>35</v>
      </c>
      <c r="BC14" s="81" t="s">
        <v>152</v>
      </c>
      <c r="BD14" s="89" t="s">
        <v>152</v>
      </c>
      <c r="BE14" s="89">
        <f t="array" ref="BE14">VLOOKUP(B14,cgpi!$A$8:$K917,4,FALSE)</f>
        <v>8</v>
      </c>
      <c r="BF14" s="89">
        <f t="array" ref="BF14">VLOOKUP(B14,cgpi!$A$8:$K917,5,FALSE)</f>
        <v>7.64</v>
      </c>
      <c r="BG14" s="89">
        <f t="array" ref="BG14">VLOOKUP(B14,cgpi!$A$8:$K917,6,FALSE)</f>
        <v>7.33</v>
      </c>
      <c r="BH14" s="89">
        <f t="array" ref="BH14">VLOOKUP(B14,cgpi!$A$8:$K917,7,FALSE)</f>
        <v>6.25</v>
      </c>
      <c r="BI14" s="89">
        <f t="array" ref="BI14">VLOOKUP(B14,cgpi!$A$8:$K917,8,FALSE)</f>
        <v>7.06</v>
      </c>
      <c r="BJ14" s="89">
        <f t="array" ref="BJ14">VLOOKUP(B14,cgpi!$A$8:$K917,9,FALSE)</f>
        <v>8.1300000000000008</v>
      </c>
      <c r="BK14" s="89">
        <f t="array" ref="BK14">VLOOKUP(B14,cgpi!$A$8:$K917,10,FALSE)</f>
        <v>7.4</v>
      </c>
      <c r="BL14" s="89">
        <f t="array" ref="BL14">VLOOKUP(B14,cgpi!$A$8:$K917,11,FALSE)</f>
        <v>7.59</v>
      </c>
      <c r="BM14" s="5"/>
    </row>
    <row r="15" spans="1:65" ht="47.25" customHeight="1">
      <c r="A15" s="49">
        <v>8</v>
      </c>
      <c r="B15" s="52">
        <v>2018120059</v>
      </c>
      <c r="C15" s="51" t="str">
        <f t="array" ref="C15">VLOOKUP(B15,studentnames!$A$6:$B917,2,FALSE)</f>
        <v>/ TRUPTI GOPINATH JAYALAKSHMI</v>
      </c>
      <c r="D15" s="80">
        <f ca="1">IFERROR(__xludf.DUMMYFUNCTION("(IFERROR(VLOOKUP(B15,{(IMPORTRANGE(""https://docs.google.com/spreadsheets/d/1DiCkE-z-GlHYvc5ApMt3jWM8ky5Jm5xs_5zn3yfMkTI/edit#gid=1005196620"",""MARKSHEET!B9:N160""))},6,FALSE),"" ""))"),31.5)</f>
        <v>31.5</v>
      </c>
      <c r="E15" s="81">
        <f ca="1">IFERROR(__xludf.DUMMYFUNCTION("IFERROR(VLOOKUP(B15,{(IMPORTRANGE(""https://docs.google.com/spreadsheets/d/1DiCkE-z-GlHYvc5ApMt3jWM8ky5Jm5xs_5zn3yfMkTI/edit#gid=1005196620"",""MARKSHEET!B9:N160""))},11,FALSE),"" "")"),51)</f>
        <v>51</v>
      </c>
      <c r="F15" s="80" t="str">
        <f ca="1">IFERROR(__xludf.DUMMYFUNCTION("IFERROR(VLOOKUP(B15,{(IMPORTRANGE(""https://docs.google.com/spreadsheets/d/1DiCkE-z-GlHYvc5ApMt3jWM8ky5Jm5xs_5zn3yfMkTI/edit#gid=1005196620"",""MARKSHEET!B9:N160""))},12,FALSE),"""")"),"Pass")</f>
        <v>Pass</v>
      </c>
      <c r="G15" s="80" t="str">
        <f ca="1">IFERROR(__xludf.DUMMYFUNCTION("IFERROR(VLOOKUP(B15,{(IMPORTRANGE(""https://docs.google.com/spreadsheets/d/1DiCkE-z-GlHYvc5ApMt3jWM8ky5Jm5xs_5zn3yfMkTI/edit#gid=1005196620"",""MARKSHEET!B9:N160""))},13,FALSE),"""")"),"D")</f>
        <v>D</v>
      </c>
      <c r="H15" s="80">
        <v>3</v>
      </c>
      <c r="I15" s="82">
        <f t="shared" ca="1" si="0"/>
        <v>6</v>
      </c>
      <c r="J15" s="80">
        <f t="shared" ca="1" si="1"/>
        <v>18</v>
      </c>
      <c r="K15" s="80" t="str">
        <f ca="1">IFERROR(__xludf.DUMMYFUNCTION("(IFERROR(VLOOKUP(B15,{(IMPORTRANGE(""https://docs.google.com/spreadsheets/d/14A_r3BvwRThEoTtBTKe2qw_1RK0ZLOcRhi-qy1jAh3g/edit#gid=1005196620"",""MARKSHEET!B9:N160""))},6,FALSE),"" ""))")," ")</f>
        <v xml:space="preserve"> </v>
      </c>
      <c r="L15" s="81" t="str">
        <f ca="1">IFERROR(__xludf.DUMMYFUNCTION("IFERROR(VLOOKUP(B15,{(IMPORTRANGE(""https://docs.google.com/spreadsheets/d/14A_r3BvwRThEoTtBTKe2qw_1RK0ZLOcRhi-qy1jAh3g/edit#gid=1005196620"",""MARKSHEET!B9:N160""))},12,FALSE),"" "")")," ")</f>
        <v xml:space="preserve"> </v>
      </c>
      <c r="M15" s="80" t="str">
        <f ca="1">IFERROR(__xludf.DUMMYFUNCTION("IFERROR(VLOOKUP(B15,{(IMPORTRANGE(""https://docs.google.com/spreadsheets/d/14A_r3BvwRThEoTtBTKe2qw_1RK0ZLOcRhi-qy1jAh3g/edit#gid=1005196620"",""MARKSHEET!B9:N160""))},13,FALSE),"""")"),"")</f>
        <v/>
      </c>
      <c r="N15" s="80" t="str">
        <f ca="1">IFERROR(__xludf.DUMMYFUNCTION("IFERROR(VLOOKUP(B15,{(IMPORTRANGE(""https://docs.google.com/spreadsheets/d/14A_r3BvwRThEoTtBTKe2qw_1RK0ZLOcRhi-qy1jAh3g/edit#gid=1005196620"",""MARKSHEET!B9:O160""))},14,FALSE),"" "")")," ")</f>
        <v xml:space="preserve"> </v>
      </c>
      <c r="O15" s="80"/>
      <c r="P15" s="80"/>
      <c r="Q15" s="80"/>
      <c r="R15" s="80">
        <f ca="1">IFERROR(__xludf.DUMMYFUNCTION("(IFERROR(VLOOKUP(B15,{(IMPORTRANGE(""https://docs.google.com/spreadsheets/d/1upH6fbA84Z4BX1j10sbPBNIoznju0InoGwzdp-Ig7gc/edit#gid=1005196620"",""MARKSHEET!B9:N160""))},6,FALSE),"" ""))"),21)</f>
        <v>21</v>
      </c>
      <c r="S15" s="81">
        <f ca="1">IFERROR(__xludf.DUMMYFUNCTION("IFERROR(VLOOKUP(B15,{(IMPORTRANGE(""https://docs.google.com/spreadsheets/d/1upH6fbA84Z4BX1j10sbPBNIoznju0InoGwzdp-Ig7gc/edit#gid=1005196620"",""MARKSHEET!B9:N160""))},12,FALSE),"" "")"),47)</f>
        <v>47</v>
      </c>
      <c r="T15" s="80" t="str">
        <f ca="1">IFERROR(__xludf.DUMMYFUNCTION("IFERROR(VLOOKUP(B15,{(IMPORTRANGE(""https://docs.google.com/spreadsheets/d/1upH6fbA84Z4BX1j10sbPBNIoznju0InoGwzdp-Ig7gc/edit#gid=1005196620"",""MARKSHEET!B9:N160""))},13,FALSE),"""")"),"Pass")</f>
        <v>Pass</v>
      </c>
      <c r="U15" s="80" t="str">
        <f ca="1">IFERROR(__xludf.DUMMYFUNCTION("IFERROR(VLOOKUP(B15,{(IMPORTRANGE(""https://docs.google.com/spreadsheets/d/1upH6fbA84Z4BX1j10sbPBNIoznju0InoGwzdp-Ig7gc/edit#gid=1005196620"",""MARKSHEET!B9:O160""))},14,FALSE),"""")"),"E")</f>
        <v>E</v>
      </c>
      <c r="V15" s="80">
        <v>3</v>
      </c>
      <c r="W15" s="82">
        <f ca="1">IF(U15="O",10,IF(U15="A",9,IF(U15="B",8,IF(U15="C",7,IF(U15="D",6,IF(U15="E",5,IF(U15="P",4,0)))))))</f>
        <v>5</v>
      </c>
      <c r="X15" s="80">
        <f ca="1">W15*V15</f>
        <v>15</v>
      </c>
      <c r="Y15" s="80" t="str">
        <f ca="1">IFERROR(__xludf.DUMMYFUNCTION("(IFERROR(VLOOKUP(B15,{(IMPORTRANGE(""https://docs.google.com/spreadsheets/d/1eIdk5Axau8wGiwJcgdGQdOeePXUt5GCPnvl48qWYA0A/edit#gid=1005196620"",""MARKSHEET!B9:N160""))},6,FALSE),"" ""))")," ")</f>
        <v xml:space="preserve"> </v>
      </c>
      <c r="Z15" s="81" t="str">
        <f ca="1">IFERROR(__xludf.DUMMYFUNCTION("IFERROR(VLOOKUP(B15,{(IMPORTRANGE(""https://docs.google.com/spreadsheets/d/1eIdk5Axau8wGiwJcgdGQdOeePXUt5GCPnvl48qWYA0A/edit#gid=1005196620"",""MARKSHEET!B9:N160""))},12,FALSE),"" "")")," ")</f>
        <v xml:space="preserve"> </v>
      </c>
      <c r="AA15" s="80" t="str">
        <f ca="1">IFERROR(__xludf.DUMMYFUNCTION("IFERROR(VLOOKUP(B15,{(IMPORTRANGE(""https://docs.google.com/spreadsheets/d/1eIdk5Axau8wGiwJcgdGQdOeePXUt5GCPnvl48qWYA0A/edit#gid=1005196620"",""MARKSHEET!B9:N160""))},13,FALSE),"""")"),"")</f>
        <v/>
      </c>
      <c r="AB15" s="80" t="str">
        <f ca="1">IFERROR(__xludf.DUMMYFUNCTION("IFERROR(VLOOKUP(B15,{(IMPORTRANGE(""https://docs.google.com/spreadsheets/d/1eIdk5Axau8wGiwJcgdGQdOeePXUt5GCPnvl48qWYA0A/edit#gid=1005196620"",""MARKSHEET!B9:O160""))},14,FALSE),"""")"),"")</f>
        <v/>
      </c>
      <c r="AC15" s="84"/>
      <c r="AD15" s="84"/>
      <c r="AE15" s="84"/>
      <c r="AF15" s="84">
        <f ca="1">IFERROR(__xludf.DUMMYFUNCTION("(VLOOKUP(B15,{(IMPORTRANGE(""https://docs.google.com/spreadsheets/d/1IgGENpYbL2rI7gfQAXyk9JS3FgAuuh8Wul__oPf-faY/edit#gid=838365050"",""BE-OESall branches!J1:K298""))},2,FALSE))"),61)</f>
        <v>61</v>
      </c>
      <c r="AG15" s="85" t="str">
        <f t="shared" ca="1" si="4"/>
        <v>Pass</v>
      </c>
      <c r="AH15" s="86" t="str">
        <f t="shared" ca="1" si="19"/>
        <v>C</v>
      </c>
      <c r="AI15" s="83">
        <v>3</v>
      </c>
      <c r="AJ15" s="82">
        <f t="shared" ca="1" si="5"/>
        <v>7</v>
      </c>
      <c r="AK15" s="80">
        <f t="shared" ca="1" si="6"/>
        <v>21</v>
      </c>
      <c r="AL15" s="85">
        <v>86</v>
      </c>
      <c r="AM15" s="85" t="str">
        <f t="shared" si="7"/>
        <v>Pass</v>
      </c>
      <c r="AN15" s="86" t="str">
        <f t="shared" si="8"/>
        <v>O</v>
      </c>
      <c r="AO15" s="87">
        <v>6</v>
      </c>
      <c r="AP15" s="82">
        <f t="shared" si="9"/>
        <v>10</v>
      </c>
      <c r="AQ15" s="80">
        <f t="shared" si="10"/>
        <v>60</v>
      </c>
      <c r="AR15" s="87">
        <f ca="1">IFERROR(__xludf.DUMMYFUNCTION("(VLOOKUP(B15,{(IMPORTRANGE(""https://docs.google.com/spreadsheets/d/1bhPzFUTLMV7e35kNXQBjHBx0hnSRtnD8lSPi2nGpa7Y/edit#gid=1774387053"",""BE EXTC!B11:E91""))},4,FALSE))"),83)</f>
        <v>83</v>
      </c>
      <c r="AS15" s="87"/>
      <c r="AT15" s="86" t="str">
        <f t="shared" ca="1" si="11"/>
        <v>O</v>
      </c>
      <c r="AU15" s="87">
        <v>1</v>
      </c>
      <c r="AV15" s="82">
        <f t="shared" ca="1" si="12"/>
        <v>10</v>
      </c>
      <c r="AW15" s="80">
        <f t="shared" ca="1" si="13"/>
        <v>10</v>
      </c>
      <c r="AX15" s="80">
        <v>16</v>
      </c>
      <c r="AY15" s="88">
        <f t="shared" si="14"/>
        <v>16</v>
      </c>
      <c r="AZ15" s="88">
        <f t="shared" ca="1" si="15"/>
        <v>124</v>
      </c>
      <c r="BA15" s="81">
        <f t="shared" ca="1" si="16"/>
        <v>7.75</v>
      </c>
      <c r="BB15" s="80" t="s">
        <v>35</v>
      </c>
      <c r="BC15" s="81">
        <f t="array" ref="BC15">VLOOKUP(B15,cgpi!$A$8:$K917,2,FALSE)</f>
        <v>4.5199999999999996</v>
      </c>
      <c r="BD15" s="89">
        <f t="array" ref="BD15">VLOOKUP(B15,cgpi!$A$8:$K917,3,FALSE)</f>
        <v>4.87</v>
      </c>
      <c r="BE15" s="89">
        <f t="array" ref="BE15">VLOOKUP(B15,cgpi!$A$8:$K917,4,FALSE)</f>
        <v>8.7100000000000009</v>
      </c>
      <c r="BF15" s="89">
        <f t="array" ref="BF15">VLOOKUP(B15,cgpi!$A$8:$K917,5,FALSE)</f>
        <v>7.42</v>
      </c>
      <c r="BG15" s="89">
        <f t="array" ref="BG15">VLOOKUP(B15,cgpi!$A$8:$K917,6,FALSE)</f>
        <v>7.24</v>
      </c>
      <c r="BH15" s="89">
        <f t="array" ref="BH15">VLOOKUP(B15,cgpi!$A$8:$K917,7,FALSE)</f>
        <v>8.57</v>
      </c>
      <c r="BI15" s="89">
        <f t="array" ref="BI15">VLOOKUP(B15,cgpi!$A$8:$K917,8,FALSE)</f>
        <v>6.44</v>
      </c>
      <c r="BJ15" s="89">
        <f t="array" ref="BJ15">VLOOKUP(B15,cgpi!$A$8:$K917,9,FALSE)</f>
        <v>7.75</v>
      </c>
      <c r="BK15" s="89">
        <f t="array" ref="BK15">VLOOKUP(B15,cgpi!$A$8:$K917,10,FALSE)</f>
        <v>6.87</v>
      </c>
      <c r="BL15" s="89">
        <f t="array" ref="BL15">VLOOKUP(B15,cgpi!$A$8:$K917,11,FALSE)</f>
        <v>7.09</v>
      </c>
      <c r="BM15" s="5"/>
    </row>
    <row r="18" spans="3:43" ht="15.75" customHeight="1">
      <c r="C18" s="93" t="s">
        <v>153</v>
      </c>
      <c r="D18" s="94" t="s">
        <v>154</v>
      </c>
      <c r="E18" s="95"/>
      <c r="F18" s="154" t="s">
        <v>155</v>
      </c>
      <c r="G18" s="154"/>
      <c r="H18" s="94" t="s">
        <v>43</v>
      </c>
      <c r="I18" s="95"/>
      <c r="J18" s="155" t="s">
        <v>156</v>
      </c>
      <c r="K18" s="155"/>
      <c r="L18" s="155"/>
      <c r="M18" s="155"/>
      <c r="N18" s="155"/>
      <c r="O18" s="155"/>
      <c r="P18" s="155"/>
      <c r="Q18" s="155"/>
      <c r="R18" s="95"/>
      <c r="S18" s="155" t="s">
        <v>157</v>
      </c>
      <c r="T18" s="155"/>
      <c r="U18" s="155"/>
      <c r="V18" s="155"/>
      <c r="W18" s="155"/>
      <c r="X18" s="155"/>
      <c r="Y18" s="155"/>
    </row>
    <row r="19" spans="3:43" ht="15.75" customHeight="1">
      <c r="C19" s="93" t="s">
        <v>158</v>
      </c>
      <c r="D19" s="94" t="s">
        <v>159</v>
      </c>
      <c r="E19" s="96"/>
      <c r="F19" s="154" t="s">
        <v>21</v>
      </c>
      <c r="G19" s="154"/>
      <c r="H19" s="94" t="s">
        <v>160</v>
      </c>
      <c r="I19" s="96"/>
      <c r="J19" s="156" t="s">
        <v>161</v>
      </c>
      <c r="K19" s="156"/>
      <c r="L19" s="156" t="s">
        <v>21</v>
      </c>
      <c r="M19" s="156"/>
      <c r="N19" s="156" t="s">
        <v>162</v>
      </c>
      <c r="O19" s="156"/>
      <c r="P19" s="156" t="s">
        <v>163</v>
      </c>
      <c r="Q19" s="156"/>
      <c r="R19" s="96"/>
      <c r="S19" s="156" t="s">
        <v>161</v>
      </c>
      <c r="T19" s="156"/>
      <c r="U19" s="156" t="s">
        <v>21</v>
      </c>
      <c r="V19" s="156"/>
      <c r="W19" s="156" t="s">
        <v>162</v>
      </c>
      <c r="X19" s="156"/>
      <c r="Y19" s="94" t="s">
        <v>163</v>
      </c>
    </row>
    <row r="20" spans="3:43" ht="15.75" customHeight="1">
      <c r="C20" s="93" t="s">
        <v>164</v>
      </c>
      <c r="D20" s="94" t="s">
        <v>165</v>
      </c>
      <c r="E20" s="96"/>
      <c r="F20" s="154" t="s">
        <v>166</v>
      </c>
      <c r="G20" s="154"/>
      <c r="H20" s="94" t="s">
        <v>162</v>
      </c>
      <c r="I20" s="96"/>
      <c r="J20" s="156" t="s">
        <v>167</v>
      </c>
      <c r="K20" s="156"/>
      <c r="L20" s="156" t="s">
        <v>168</v>
      </c>
      <c r="M20" s="156"/>
      <c r="N20" s="156">
        <v>10</v>
      </c>
      <c r="O20" s="156"/>
      <c r="P20" s="156" t="s">
        <v>169</v>
      </c>
      <c r="Q20" s="156"/>
      <c r="R20" s="96"/>
      <c r="S20" s="156" t="s">
        <v>170</v>
      </c>
      <c r="T20" s="156"/>
      <c r="U20" s="156" t="s">
        <v>171</v>
      </c>
      <c r="V20" s="156"/>
      <c r="W20" s="156">
        <v>8</v>
      </c>
      <c r="X20" s="156"/>
      <c r="Y20" s="94" t="s">
        <v>172</v>
      </c>
    </row>
    <row r="21" spans="3:43" ht="15.75" customHeight="1">
      <c r="C21" s="93">
        <v>0.505</v>
      </c>
      <c r="D21" s="94" t="s">
        <v>173</v>
      </c>
      <c r="E21" s="96"/>
      <c r="F21" s="154" t="s">
        <v>174</v>
      </c>
      <c r="G21" s="154"/>
      <c r="H21" s="94" t="s">
        <v>175</v>
      </c>
      <c r="I21" s="96"/>
      <c r="J21" s="156" t="s">
        <v>176</v>
      </c>
      <c r="K21" s="156"/>
      <c r="L21" s="156" t="s">
        <v>50</v>
      </c>
      <c r="M21" s="156"/>
      <c r="N21" s="156">
        <v>9</v>
      </c>
      <c r="O21" s="156"/>
      <c r="P21" s="156" t="s">
        <v>177</v>
      </c>
      <c r="Q21" s="156"/>
      <c r="R21" s="96"/>
      <c r="S21" s="156" t="s">
        <v>178</v>
      </c>
      <c r="T21" s="156"/>
      <c r="U21" s="156" t="s">
        <v>43</v>
      </c>
      <c r="V21" s="156"/>
      <c r="W21" s="156">
        <v>7</v>
      </c>
      <c r="X21" s="156"/>
      <c r="Y21" s="94" t="s">
        <v>179</v>
      </c>
      <c r="AC21" t="s">
        <v>217</v>
      </c>
      <c r="AH21" t="s">
        <v>218</v>
      </c>
      <c r="AL21" t="s">
        <v>219</v>
      </c>
      <c r="AQ21" t="s">
        <v>219</v>
      </c>
    </row>
    <row r="22" spans="3:43" ht="15.75" customHeight="1">
      <c r="C22" s="93" t="s">
        <v>180</v>
      </c>
      <c r="D22" s="94" t="s">
        <v>46</v>
      </c>
      <c r="E22" s="96"/>
      <c r="F22" s="154" t="s">
        <v>181</v>
      </c>
      <c r="G22" s="154"/>
      <c r="H22" s="94" t="s">
        <v>182</v>
      </c>
      <c r="I22" s="96"/>
      <c r="J22" s="156" t="s">
        <v>178</v>
      </c>
      <c r="K22" s="156"/>
      <c r="L22" s="156" t="s">
        <v>171</v>
      </c>
      <c r="M22" s="156"/>
      <c r="N22" s="156">
        <v>8</v>
      </c>
      <c r="O22" s="156"/>
      <c r="P22" s="156" t="s">
        <v>172</v>
      </c>
      <c r="Q22" s="156"/>
      <c r="R22" s="96"/>
      <c r="S22" s="156" t="s">
        <v>183</v>
      </c>
      <c r="T22" s="156"/>
      <c r="U22" s="156" t="s">
        <v>34</v>
      </c>
      <c r="V22" s="156"/>
      <c r="W22" s="156">
        <v>6</v>
      </c>
      <c r="X22" s="156"/>
      <c r="Y22" s="94" t="s">
        <v>184</v>
      </c>
      <c r="AB22" s="56" t="s">
        <v>209</v>
      </c>
      <c r="AF22" s="56" t="s">
        <v>210</v>
      </c>
      <c r="AK22" s="56" t="s">
        <v>211</v>
      </c>
      <c r="AP22" s="56" t="s">
        <v>212</v>
      </c>
    </row>
    <row r="23" spans="3:43" ht="15.75" customHeight="1">
      <c r="C23" s="93" t="s">
        <v>185</v>
      </c>
      <c r="D23" s="94" t="s">
        <v>186</v>
      </c>
      <c r="E23" s="96"/>
      <c r="F23" s="154" t="s">
        <v>187</v>
      </c>
      <c r="G23" s="154"/>
      <c r="H23" s="94" t="s">
        <v>188</v>
      </c>
      <c r="I23" s="96"/>
      <c r="J23" s="156" t="s">
        <v>183</v>
      </c>
      <c r="K23" s="156"/>
      <c r="L23" s="156" t="s">
        <v>43</v>
      </c>
      <c r="M23" s="156"/>
      <c r="N23" s="156">
        <v>7</v>
      </c>
      <c r="O23" s="156"/>
      <c r="P23" s="156" t="s">
        <v>179</v>
      </c>
      <c r="Q23" s="156"/>
      <c r="R23" s="96"/>
      <c r="S23" s="156" t="s">
        <v>189</v>
      </c>
      <c r="T23" s="156"/>
      <c r="U23" s="156" t="s">
        <v>190</v>
      </c>
      <c r="V23" s="156"/>
      <c r="W23" s="156">
        <v>5</v>
      </c>
      <c r="X23" s="156"/>
      <c r="Y23" s="94" t="s">
        <v>191</v>
      </c>
    </row>
    <row r="24" spans="3:43" ht="15.75" customHeight="1">
      <c r="C24" s="93" t="s">
        <v>192</v>
      </c>
      <c r="D24" s="94" t="s">
        <v>190</v>
      </c>
      <c r="E24" s="96"/>
      <c r="F24" s="154" t="s">
        <v>193</v>
      </c>
      <c r="G24" s="154"/>
      <c r="H24" s="94" t="s">
        <v>194</v>
      </c>
      <c r="I24" s="96"/>
      <c r="J24" s="156" t="s">
        <v>189</v>
      </c>
      <c r="K24" s="156"/>
      <c r="L24" s="156" t="s">
        <v>34</v>
      </c>
      <c r="M24" s="156"/>
      <c r="N24" s="156">
        <v>6</v>
      </c>
      <c r="O24" s="156"/>
      <c r="P24" s="156" t="s">
        <v>184</v>
      </c>
      <c r="Q24" s="156"/>
      <c r="R24" s="96"/>
      <c r="S24" s="156" t="s">
        <v>195</v>
      </c>
      <c r="T24" s="156"/>
      <c r="U24" s="156" t="s">
        <v>46</v>
      </c>
      <c r="V24" s="156"/>
      <c r="W24" s="156">
        <v>4</v>
      </c>
      <c r="X24" s="156"/>
      <c r="Y24" s="94" t="s">
        <v>180</v>
      </c>
    </row>
    <row r="25" spans="3:43" ht="15.75" customHeight="1">
      <c r="C25" s="93" t="s">
        <v>196</v>
      </c>
      <c r="D25" s="94" t="s">
        <v>197</v>
      </c>
      <c r="E25" s="96"/>
      <c r="F25" s="154" t="s">
        <v>198</v>
      </c>
      <c r="G25" s="154"/>
      <c r="H25" s="94" t="s">
        <v>199</v>
      </c>
      <c r="I25" s="96"/>
      <c r="J25" s="156" t="s">
        <v>200</v>
      </c>
      <c r="K25" s="156"/>
      <c r="L25" s="156" t="s">
        <v>190</v>
      </c>
      <c r="M25" s="156"/>
      <c r="N25" s="156">
        <v>5</v>
      </c>
      <c r="O25" s="156"/>
      <c r="P25" s="156" t="s">
        <v>191</v>
      </c>
      <c r="Q25" s="156"/>
      <c r="R25" s="96"/>
      <c r="S25" s="156" t="s">
        <v>201</v>
      </c>
      <c r="T25" s="156"/>
      <c r="U25" s="157" t="s">
        <v>186</v>
      </c>
      <c r="V25" s="158"/>
      <c r="W25" s="156">
        <v>0</v>
      </c>
      <c r="X25" s="156"/>
      <c r="Y25" s="94" t="s">
        <v>185</v>
      </c>
    </row>
    <row r="26" spans="3:43" ht="15.75" customHeight="1">
      <c r="C26" s="96"/>
      <c r="D26" s="96"/>
      <c r="E26" s="96"/>
      <c r="F26" s="154" t="s">
        <v>202</v>
      </c>
      <c r="G26" s="154"/>
      <c r="H26" s="94" t="s">
        <v>203</v>
      </c>
      <c r="I26" s="96"/>
      <c r="J26" s="156" t="s">
        <v>204</v>
      </c>
      <c r="K26" s="156"/>
      <c r="L26" s="156" t="s">
        <v>46</v>
      </c>
      <c r="M26" s="156"/>
      <c r="N26" s="156">
        <v>4</v>
      </c>
      <c r="O26" s="156"/>
      <c r="P26" s="156" t="s">
        <v>180</v>
      </c>
      <c r="Q26" s="156"/>
      <c r="R26" s="96"/>
      <c r="S26" s="156" t="s">
        <v>205</v>
      </c>
      <c r="T26" s="156"/>
      <c r="U26" s="156" t="s">
        <v>206</v>
      </c>
      <c r="V26" s="156"/>
      <c r="W26" s="156">
        <v>0</v>
      </c>
      <c r="X26" s="156"/>
      <c r="Y26" s="94" t="s">
        <v>207</v>
      </c>
    </row>
    <row r="27" spans="3:43" ht="15.75" customHeight="1">
      <c r="C27" s="96"/>
      <c r="D27" s="96"/>
      <c r="E27" s="96"/>
      <c r="F27" s="96"/>
      <c r="G27" s="96"/>
      <c r="H27" s="96"/>
      <c r="I27" s="96"/>
      <c r="J27" s="156" t="s">
        <v>201</v>
      </c>
      <c r="K27" s="156"/>
      <c r="L27" s="156" t="s">
        <v>186</v>
      </c>
      <c r="M27" s="156"/>
      <c r="N27" s="156">
        <v>0</v>
      </c>
      <c r="O27" s="156"/>
      <c r="P27" s="156" t="s">
        <v>185</v>
      </c>
      <c r="Q27" s="156"/>
      <c r="R27" s="96"/>
      <c r="S27" s="156" t="s">
        <v>205</v>
      </c>
      <c r="T27" s="156"/>
      <c r="U27" s="156" t="s">
        <v>208</v>
      </c>
      <c r="V27" s="156"/>
      <c r="W27" s="156">
        <v>0</v>
      </c>
      <c r="X27" s="156"/>
      <c r="Y27" s="94" t="s">
        <v>202</v>
      </c>
    </row>
    <row r="28" spans="3:43" ht="15.75" customHeight="1">
      <c r="C28" s="96"/>
      <c r="D28" s="96"/>
      <c r="E28" s="96"/>
      <c r="F28" s="96"/>
      <c r="G28" s="96"/>
      <c r="H28" s="96"/>
      <c r="I28" s="96"/>
      <c r="J28" s="156" t="s">
        <v>205</v>
      </c>
      <c r="K28" s="156"/>
      <c r="L28" s="156" t="s">
        <v>206</v>
      </c>
      <c r="M28" s="156"/>
      <c r="N28" s="156">
        <v>0</v>
      </c>
      <c r="O28" s="156"/>
      <c r="P28" s="156" t="s">
        <v>207</v>
      </c>
      <c r="Q28" s="156"/>
      <c r="R28" s="96"/>
      <c r="S28" s="96"/>
      <c r="T28" s="96"/>
      <c r="U28" s="96"/>
      <c r="V28" s="96"/>
      <c r="W28" s="96"/>
      <c r="X28" s="96"/>
      <c r="Y28" s="96"/>
    </row>
    <row r="29" spans="3:43" ht="15.75" customHeight="1">
      <c r="C29" s="96"/>
      <c r="D29" s="96"/>
      <c r="E29" s="96"/>
      <c r="F29" s="96"/>
      <c r="G29" s="96"/>
      <c r="H29" s="96"/>
      <c r="I29" s="96"/>
      <c r="J29" s="156" t="s">
        <v>205</v>
      </c>
      <c r="K29" s="156"/>
      <c r="L29" s="156" t="s">
        <v>208</v>
      </c>
      <c r="M29" s="156"/>
      <c r="N29" s="156">
        <v>0</v>
      </c>
      <c r="O29" s="156"/>
      <c r="P29" s="156" t="s">
        <v>202</v>
      </c>
      <c r="Q29" s="156"/>
      <c r="R29" s="96"/>
      <c r="S29" s="96"/>
      <c r="T29" s="96"/>
      <c r="U29" s="96"/>
      <c r="V29" s="96"/>
      <c r="W29" s="96"/>
      <c r="X29" s="96"/>
      <c r="Y29" s="96"/>
    </row>
    <row r="30" spans="3:43" ht="15.75" customHeight="1">
      <c r="K30" s="97"/>
      <c r="R30" s="97"/>
    </row>
  </sheetData>
  <mergeCells count="114">
    <mergeCell ref="J29:K29"/>
    <mergeCell ref="L29:M29"/>
    <mergeCell ref="N29:O29"/>
    <mergeCell ref="P29:Q29"/>
    <mergeCell ref="S26:T26"/>
    <mergeCell ref="J27:K27"/>
    <mergeCell ref="L27:M27"/>
    <mergeCell ref="N27:O27"/>
    <mergeCell ref="P27:Q27"/>
    <mergeCell ref="S27:T27"/>
    <mergeCell ref="U27:V27"/>
    <mergeCell ref="W27:X27"/>
    <mergeCell ref="J28:K28"/>
    <mergeCell ref="L28:M28"/>
    <mergeCell ref="N28:O28"/>
    <mergeCell ref="P28:Q28"/>
    <mergeCell ref="F26:G26"/>
    <mergeCell ref="J26:K26"/>
    <mergeCell ref="L26:M26"/>
    <mergeCell ref="N26:O26"/>
    <mergeCell ref="P26:Q26"/>
    <mergeCell ref="U26:V26"/>
    <mergeCell ref="W26:X26"/>
    <mergeCell ref="S24:T24"/>
    <mergeCell ref="U24:V24"/>
    <mergeCell ref="W24:X24"/>
    <mergeCell ref="F25:G25"/>
    <mergeCell ref="J25:K25"/>
    <mergeCell ref="L25:M25"/>
    <mergeCell ref="N25:O25"/>
    <mergeCell ref="P25:Q25"/>
    <mergeCell ref="S25:T25"/>
    <mergeCell ref="U25:V25"/>
    <mergeCell ref="W25:X25"/>
    <mergeCell ref="F24:G24"/>
    <mergeCell ref="J24:K24"/>
    <mergeCell ref="L24:M24"/>
    <mergeCell ref="N24:O24"/>
    <mergeCell ref="P24:Q24"/>
    <mergeCell ref="S22:T22"/>
    <mergeCell ref="U22:V22"/>
    <mergeCell ref="W22:X22"/>
    <mergeCell ref="F23:G23"/>
    <mergeCell ref="J23:K23"/>
    <mergeCell ref="L23:M23"/>
    <mergeCell ref="N23:O23"/>
    <mergeCell ref="P23:Q23"/>
    <mergeCell ref="S23:T23"/>
    <mergeCell ref="U23:V23"/>
    <mergeCell ref="W23:X23"/>
    <mergeCell ref="F22:G22"/>
    <mergeCell ref="J22:K22"/>
    <mergeCell ref="L22:M22"/>
    <mergeCell ref="N22:O22"/>
    <mergeCell ref="P22:Q22"/>
    <mergeCell ref="F21:G21"/>
    <mergeCell ref="J21:K21"/>
    <mergeCell ref="L21:M21"/>
    <mergeCell ref="N21:O21"/>
    <mergeCell ref="P21:Q21"/>
    <mergeCell ref="S21:T21"/>
    <mergeCell ref="U21:V21"/>
    <mergeCell ref="W21:X21"/>
    <mergeCell ref="F20:G20"/>
    <mergeCell ref="J20:K20"/>
    <mergeCell ref="L20:M20"/>
    <mergeCell ref="N20:O20"/>
    <mergeCell ref="P20:Q20"/>
    <mergeCell ref="F19:G19"/>
    <mergeCell ref="J19:K19"/>
    <mergeCell ref="L19:M19"/>
    <mergeCell ref="N19:O19"/>
    <mergeCell ref="P19:Q19"/>
    <mergeCell ref="S19:T19"/>
    <mergeCell ref="U19:V19"/>
    <mergeCell ref="W19:X19"/>
    <mergeCell ref="S20:T20"/>
    <mergeCell ref="U20:V20"/>
    <mergeCell ref="W20:X20"/>
    <mergeCell ref="BJ5:BJ7"/>
    <mergeCell ref="BK5:BK7"/>
    <mergeCell ref="BL5:BL7"/>
    <mergeCell ref="AX5:AX7"/>
    <mergeCell ref="AY5:AY7"/>
    <mergeCell ref="AZ5:AZ7"/>
    <mergeCell ref="BA5:BA7"/>
    <mergeCell ref="BB5:BB7"/>
    <mergeCell ref="F18:G18"/>
    <mergeCell ref="J18:Q18"/>
    <mergeCell ref="S18:Y18"/>
    <mergeCell ref="A1:BL1"/>
    <mergeCell ref="A2:BL2"/>
    <mergeCell ref="A3:BL3"/>
    <mergeCell ref="D5:J5"/>
    <mergeCell ref="K5:Q5"/>
    <mergeCell ref="R5:X5"/>
    <mergeCell ref="Y5:AE5"/>
    <mergeCell ref="AF5:AK5"/>
    <mergeCell ref="AL5:AQ5"/>
    <mergeCell ref="AR5:AW5"/>
    <mergeCell ref="BC5:BC7"/>
    <mergeCell ref="BD5:BD7"/>
    <mergeCell ref="BE5:BE7"/>
    <mergeCell ref="BF5:BF7"/>
    <mergeCell ref="BG5:BG7"/>
    <mergeCell ref="BH5:BH7"/>
    <mergeCell ref="D6:J6"/>
    <mergeCell ref="K6:Q6"/>
    <mergeCell ref="R6:X6"/>
    <mergeCell ref="Y6:AE6"/>
    <mergeCell ref="AR6:AW6"/>
    <mergeCell ref="AF6:AK6"/>
    <mergeCell ref="AL6:AQ6"/>
    <mergeCell ref="BI5:BI7"/>
  </mergeCells>
  <pageMargins left="0.17" right="0.2" top="0.75" bottom="0.75" header="0.3" footer="0.3"/>
  <pageSetup paperSize="8" scale="4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L60"/>
  <sheetViews>
    <sheetView topLeftCell="A64" zoomScaleNormal="100" workbookViewId="0">
      <selection activeCell="O71" sqref="O71"/>
    </sheetView>
  </sheetViews>
  <sheetFormatPr defaultColWidth="12.5703125" defaultRowHeight="15.75" customHeight="1"/>
  <cols>
    <col min="1" max="1" width="6.5703125" customWidth="1"/>
    <col min="2" max="2" width="19.5703125" bestFit="1" customWidth="1"/>
    <col min="3" max="3" width="21.28515625" customWidth="1"/>
    <col min="4" max="4" width="7.42578125" customWidth="1"/>
    <col min="5" max="5" width="0" hidden="1" customWidth="1"/>
    <col min="6" max="7" width="10.42578125" customWidth="1"/>
    <col min="8" max="8" width="7" customWidth="1"/>
    <col min="9" max="9" width="8.140625" customWidth="1"/>
    <col min="10" max="10" width="15.5703125" customWidth="1"/>
    <col min="11" max="11" width="9.28515625" customWidth="1"/>
    <col min="12" max="12" width="0" hidden="1" customWidth="1"/>
    <col min="13" max="13" width="6.28515625" customWidth="1"/>
    <col min="14" max="14" width="6.7109375" customWidth="1"/>
    <col min="15" max="15" width="6.28515625" customWidth="1"/>
    <col min="16" max="16" width="6.7109375" customWidth="1"/>
    <col min="17" max="17" width="14.5703125" customWidth="1"/>
    <col min="18" max="18" width="9.42578125" customWidth="1"/>
    <col min="19" max="19" width="12.5703125" hidden="1"/>
    <col min="20" max="20" width="6.5703125" customWidth="1"/>
    <col min="21" max="21" width="6.85546875" customWidth="1"/>
    <col min="22" max="22" width="6.28515625" customWidth="1"/>
    <col min="23" max="23" width="6" customWidth="1"/>
    <col min="24" max="24" width="9.7109375" customWidth="1"/>
    <col min="25" max="25" width="12.5703125" hidden="1"/>
    <col min="26" max="26" width="7" customWidth="1"/>
    <col min="27" max="27" width="8.28515625" customWidth="1"/>
    <col min="28" max="28" width="6.5703125" customWidth="1"/>
    <col min="29" max="29" width="5.85546875" customWidth="1"/>
    <col min="30" max="30" width="8.42578125" customWidth="1"/>
    <col min="31" max="31" width="12.5703125" hidden="1" customWidth="1"/>
    <col min="32" max="32" width="6.28515625" customWidth="1"/>
    <col min="33" max="33" width="6.85546875" customWidth="1"/>
    <col min="34" max="34" width="7" customWidth="1"/>
    <col min="35" max="35" width="7.42578125" customWidth="1"/>
    <col min="36" max="36" width="8.5703125" customWidth="1"/>
    <col min="37" max="37" width="8.140625" customWidth="1"/>
    <col min="38" max="38" width="6.140625" customWidth="1"/>
    <col min="39" max="39" width="7.28515625" customWidth="1"/>
    <col min="40" max="40" width="9.7109375" customWidth="1"/>
    <col min="41" max="41" width="7.28515625" customWidth="1"/>
    <col min="42" max="42" width="7.5703125" customWidth="1"/>
    <col min="43" max="46" width="6.5703125" customWidth="1"/>
    <col min="47" max="47" width="6.42578125" customWidth="1"/>
    <col min="48" max="48" width="5.7109375" customWidth="1"/>
    <col min="49" max="49" width="6.28515625" customWidth="1"/>
    <col min="50" max="50" width="7" customWidth="1"/>
  </cols>
  <sheetData>
    <row r="1" spans="1:64" ht="36" customHeight="1">
      <c r="A1" s="137" t="s">
        <v>0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7"/>
      <c r="AA1" s="137"/>
      <c r="AB1" s="137"/>
      <c r="AC1" s="137"/>
      <c r="AD1" s="137"/>
      <c r="AE1" s="137"/>
      <c r="AF1" s="137"/>
      <c r="AG1" s="137"/>
      <c r="AH1" s="137"/>
      <c r="AI1" s="137"/>
      <c r="AJ1" s="137"/>
      <c r="AK1" s="137"/>
      <c r="AL1" s="137"/>
      <c r="AM1" s="137"/>
      <c r="AN1" s="137"/>
      <c r="AO1" s="137"/>
      <c r="AP1" s="137"/>
      <c r="AQ1" s="137"/>
      <c r="AR1" s="137"/>
      <c r="AS1" s="137"/>
      <c r="AT1" s="137"/>
      <c r="AU1" s="137"/>
      <c r="AV1" s="137"/>
      <c r="AW1" s="137"/>
      <c r="AX1" s="137"/>
      <c r="AY1" s="55"/>
      <c r="AZ1" s="55"/>
      <c r="BA1" s="55"/>
      <c r="BB1" s="55"/>
      <c r="BC1" s="55"/>
      <c r="BD1" s="55"/>
      <c r="BE1" s="55"/>
      <c r="BF1" s="55"/>
      <c r="BG1" s="55"/>
      <c r="BH1" s="55"/>
      <c r="BI1" s="55"/>
      <c r="BJ1" s="55"/>
      <c r="BK1" s="55"/>
      <c r="BL1" s="55"/>
    </row>
    <row r="2" spans="1:64" ht="33.75" customHeight="1">
      <c r="A2" s="138" t="s">
        <v>1</v>
      </c>
      <c r="B2" s="138"/>
      <c r="C2" s="138"/>
      <c r="D2" s="138"/>
      <c r="E2" s="138"/>
      <c r="F2" s="138"/>
      <c r="G2" s="138"/>
      <c r="H2" s="138"/>
      <c r="I2" s="138"/>
      <c r="J2" s="138"/>
      <c r="K2" s="138"/>
      <c r="L2" s="138"/>
      <c r="M2" s="138"/>
      <c r="N2" s="138"/>
      <c r="O2" s="138"/>
      <c r="P2" s="138"/>
      <c r="Q2" s="138"/>
      <c r="R2" s="138"/>
      <c r="S2" s="138"/>
      <c r="T2" s="138"/>
      <c r="U2" s="138"/>
      <c r="V2" s="138"/>
      <c r="W2" s="138"/>
      <c r="X2" s="138"/>
      <c r="Y2" s="138"/>
      <c r="Z2" s="138"/>
      <c r="AA2" s="138"/>
      <c r="AB2" s="138"/>
      <c r="AC2" s="138"/>
      <c r="AD2" s="138"/>
      <c r="AE2" s="138"/>
      <c r="AF2" s="138"/>
      <c r="AG2" s="138"/>
      <c r="AH2" s="138"/>
      <c r="AI2" s="138"/>
      <c r="AJ2" s="138"/>
      <c r="AK2" s="138"/>
      <c r="AL2" s="138"/>
      <c r="AM2" s="138"/>
      <c r="AN2" s="138"/>
      <c r="AO2" s="138"/>
      <c r="AP2" s="138"/>
      <c r="AQ2" s="138"/>
      <c r="AR2" s="138"/>
      <c r="AS2" s="138"/>
      <c r="AT2" s="138"/>
      <c r="AU2" s="138"/>
      <c r="AV2" s="138"/>
      <c r="AW2" s="138"/>
      <c r="AX2" s="138"/>
      <c r="AY2" s="53"/>
      <c r="AZ2" s="53"/>
      <c r="BA2" s="53"/>
      <c r="BB2" s="53"/>
      <c r="BC2" s="53"/>
      <c r="BD2" s="53"/>
      <c r="BE2" s="53"/>
      <c r="BF2" s="53"/>
      <c r="BG2" s="53"/>
      <c r="BH2" s="53"/>
      <c r="BI2" s="53"/>
      <c r="BJ2" s="53"/>
      <c r="BK2" s="53"/>
      <c r="BL2" s="53"/>
    </row>
    <row r="3" spans="1:64" ht="23.25" customHeight="1">
      <c r="A3" s="139" t="s">
        <v>213</v>
      </c>
      <c r="B3" s="139"/>
      <c r="C3" s="139"/>
      <c r="D3" s="139"/>
      <c r="E3" s="139"/>
      <c r="F3" s="139"/>
      <c r="G3" s="139"/>
      <c r="H3" s="139"/>
      <c r="I3" s="139"/>
      <c r="J3" s="139"/>
      <c r="K3" s="139"/>
      <c r="L3" s="139"/>
      <c r="M3" s="139"/>
      <c r="N3" s="139"/>
      <c r="O3" s="139"/>
      <c r="P3" s="139"/>
      <c r="Q3" s="139"/>
      <c r="R3" s="139"/>
      <c r="S3" s="139"/>
      <c r="T3" s="139"/>
      <c r="U3" s="139"/>
      <c r="V3" s="139"/>
      <c r="W3" s="139"/>
      <c r="X3" s="139"/>
      <c r="Y3" s="139"/>
      <c r="Z3" s="139"/>
      <c r="AA3" s="139"/>
      <c r="AB3" s="139"/>
      <c r="AC3" s="139"/>
      <c r="AD3" s="139"/>
      <c r="AE3" s="139"/>
      <c r="AF3" s="139"/>
      <c r="AG3" s="139"/>
      <c r="AH3" s="139"/>
      <c r="AI3" s="139"/>
      <c r="AJ3" s="139"/>
      <c r="AK3" s="139"/>
      <c r="AL3" s="139"/>
      <c r="AM3" s="139"/>
      <c r="AN3" s="139"/>
      <c r="AO3" s="139"/>
      <c r="AP3" s="139"/>
      <c r="AQ3" s="139"/>
      <c r="AR3" s="139"/>
      <c r="AS3" s="139"/>
      <c r="AT3" s="139"/>
      <c r="AU3" s="139"/>
      <c r="AV3" s="139"/>
      <c r="AW3" s="139"/>
      <c r="AX3" s="139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</row>
    <row r="4" spans="1:64" ht="15.75" customHeight="1">
      <c r="X4" s="141" t="s">
        <v>2</v>
      </c>
      <c r="Y4" s="141"/>
      <c r="Z4" s="141"/>
      <c r="AA4" s="141"/>
      <c r="AB4" s="141"/>
      <c r="AC4" s="141"/>
      <c r="AD4" s="141" t="s">
        <v>151</v>
      </c>
      <c r="AE4" s="141"/>
      <c r="AF4" s="141"/>
      <c r="AG4" s="141"/>
      <c r="AH4" s="141"/>
      <c r="AI4" s="141"/>
      <c r="AJ4" s="56" t="s">
        <v>214</v>
      </c>
    </row>
    <row r="5" spans="1:64" ht="55.5" customHeight="1">
      <c r="D5" s="165" t="s">
        <v>36</v>
      </c>
      <c r="E5" s="166"/>
      <c r="F5" s="166"/>
      <c r="G5" s="166"/>
      <c r="H5" s="166"/>
      <c r="I5" s="167"/>
      <c r="J5" s="168" t="s">
        <v>37</v>
      </c>
      <c r="K5" s="166"/>
      <c r="L5" s="166"/>
      <c r="M5" s="166"/>
      <c r="N5" s="166"/>
      <c r="O5" s="166"/>
      <c r="P5" s="167"/>
      <c r="Q5" s="168" t="s">
        <v>38</v>
      </c>
      <c r="R5" s="166"/>
      <c r="S5" s="166"/>
      <c r="T5" s="166"/>
      <c r="U5" s="166"/>
      <c r="V5" s="166"/>
      <c r="W5" s="167"/>
      <c r="X5" s="168" t="s">
        <v>8</v>
      </c>
      <c r="Y5" s="166"/>
      <c r="Z5" s="166"/>
      <c r="AA5" s="166"/>
      <c r="AB5" s="166"/>
      <c r="AC5" s="167"/>
      <c r="AD5" s="168" t="s">
        <v>39</v>
      </c>
      <c r="AE5" s="166"/>
      <c r="AF5" s="166"/>
      <c r="AG5" s="166"/>
      <c r="AH5" s="166"/>
      <c r="AI5" s="167"/>
      <c r="AJ5" s="169" t="s">
        <v>10</v>
      </c>
      <c r="AK5" s="159" t="s">
        <v>11</v>
      </c>
      <c r="AL5" s="159" t="s">
        <v>12</v>
      </c>
      <c r="AM5" s="159" t="s">
        <v>13</v>
      </c>
      <c r="AN5" s="163" t="s">
        <v>14</v>
      </c>
      <c r="AO5" s="161" t="s">
        <v>24</v>
      </c>
      <c r="AP5" s="161" t="s">
        <v>25</v>
      </c>
      <c r="AQ5" s="161" t="s">
        <v>26</v>
      </c>
      <c r="AR5" s="161" t="s">
        <v>27</v>
      </c>
      <c r="AS5" s="161" t="s">
        <v>28</v>
      </c>
      <c r="AT5" s="161" t="s">
        <v>29</v>
      </c>
      <c r="AU5" s="161" t="s">
        <v>30</v>
      </c>
      <c r="AV5" s="161" t="s">
        <v>31</v>
      </c>
      <c r="AW5" s="161" t="s">
        <v>32</v>
      </c>
      <c r="AX5" s="161" t="s">
        <v>33</v>
      </c>
    </row>
    <row r="6" spans="1:64" ht="112.5" customHeight="1">
      <c r="A6" s="90" t="s">
        <v>15</v>
      </c>
      <c r="B6" s="90" t="s">
        <v>16</v>
      </c>
      <c r="C6" s="90" t="s">
        <v>17</v>
      </c>
      <c r="D6" s="102" t="s">
        <v>40</v>
      </c>
      <c r="E6" s="103" t="s">
        <v>20</v>
      </c>
      <c r="F6" s="103" t="s">
        <v>21</v>
      </c>
      <c r="G6" s="100" t="s">
        <v>11</v>
      </c>
      <c r="H6" s="101" t="s">
        <v>22</v>
      </c>
      <c r="I6" s="101" t="s">
        <v>23</v>
      </c>
      <c r="J6" s="104" t="s">
        <v>41</v>
      </c>
      <c r="K6" s="104" t="s">
        <v>40</v>
      </c>
      <c r="L6" s="103" t="s">
        <v>20</v>
      </c>
      <c r="M6" s="103" t="s">
        <v>21</v>
      </c>
      <c r="N6" s="100" t="s">
        <v>11</v>
      </c>
      <c r="O6" s="101" t="s">
        <v>22</v>
      </c>
      <c r="P6" s="101" t="s">
        <v>23</v>
      </c>
      <c r="Q6" s="104" t="s">
        <v>41</v>
      </c>
      <c r="R6" s="104" t="s">
        <v>40</v>
      </c>
      <c r="S6" s="103" t="s">
        <v>20</v>
      </c>
      <c r="T6" s="103" t="s">
        <v>21</v>
      </c>
      <c r="U6" s="100" t="s">
        <v>11</v>
      </c>
      <c r="V6" s="101" t="s">
        <v>22</v>
      </c>
      <c r="W6" s="101" t="s">
        <v>23</v>
      </c>
      <c r="X6" s="105" t="s">
        <v>19</v>
      </c>
      <c r="Y6" s="103" t="s">
        <v>20</v>
      </c>
      <c r="Z6" s="103" t="s">
        <v>21</v>
      </c>
      <c r="AA6" s="100" t="s">
        <v>11</v>
      </c>
      <c r="AB6" s="101" t="s">
        <v>22</v>
      </c>
      <c r="AC6" s="101" t="s">
        <v>23</v>
      </c>
      <c r="AD6" s="104" t="s">
        <v>18</v>
      </c>
      <c r="AE6" s="103" t="s">
        <v>20</v>
      </c>
      <c r="AF6" s="106" t="s">
        <v>21</v>
      </c>
      <c r="AG6" s="100" t="s">
        <v>11</v>
      </c>
      <c r="AH6" s="101" t="s">
        <v>22</v>
      </c>
      <c r="AI6" s="101" t="s">
        <v>23</v>
      </c>
      <c r="AJ6" s="170"/>
      <c r="AK6" s="160"/>
      <c r="AL6" s="162"/>
      <c r="AM6" s="160"/>
      <c r="AN6" s="164"/>
      <c r="AO6" s="161"/>
      <c r="AP6" s="161"/>
      <c r="AQ6" s="161"/>
      <c r="AR6" s="161"/>
      <c r="AS6" s="161"/>
      <c r="AT6" s="161"/>
      <c r="AU6" s="161"/>
      <c r="AV6" s="161"/>
      <c r="AW6" s="161"/>
      <c r="AX6" s="161"/>
    </row>
    <row r="7" spans="1:64" ht="45" customHeight="1">
      <c r="A7" s="98">
        <v>1</v>
      </c>
      <c r="B7" s="99">
        <v>2019120001</v>
      </c>
      <c r="C7" s="51" t="str">
        <f t="array" ref="C7">VLOOKUP(B7,studentnames!$A$6:$B992,2,FALSE)</f>
        <v>/ AGRAWAL KHUSHI KIRTESH MANISHA</v>
      </c>
      <c r="D7" s="84">
        <f ca="1">IFERROR(__xludf.DUMMYFUNCTION("(VLOOKUP(B7,{(IMPORTRANGE(""https://docs.google.com/spreadsheets/d/1IgGENpYbL2rI7gfQAXyk9JS3FgAuuh8Wul__oPf-faY/edit#gid=838365050"",""BE-OESall branches!J1:K350""))},2,FALSE))"),90)</f>
        <v>90</v>
      </c>
      <c r="E7" s="85" t="str">
        <f t="shared" ref="E7:E45" ca="1" si="0">IF((D7&gt;=40),"Pass","Fail")</f>
        <v>Pass</v>
      </c>
      <c r="F7" s="86" t="str">
        <f t="shared" ref="F7:F8" ca="1" si="1">IF(D7&gt;=80,"O",IF(D7&gt;=75,"A",IF(D7&gt;=70,"B",IF(D7&gt;=60,"C",IF(D7&gt;=50,"D", IF(D7&gt;=45,"E",IF(D7&gt;=40,"P","F")))))))</f>
        <v>O</v>
      </c>
      <c r="G7" s="85">
        <v>3</v>
      </c>
      <c r="H7" s="82">
        <f t="shared" ref="H7:H45" ca="1" si="2">IF(F7="O",10,IF(F7="A",9,IF(F7="B",8,IF(F7="C",7,IF(F7="D",6,IF(F7="E",5,IF(F7="P",4,0)))))))</f>
        <v>10</v>
      </c>
      <c r="I7" s="80">
        <f t="shared" ref="I7:I45" ca="1" si="3">H7*G7</f>
        <v>30</v>
      </c>
      <c r="J7" s="112" t="str">
        <f ca="1">IFERROR(__xludf.DUMMYFUNCTION("IFERROR(VLOOKUP(B7,{(IMPORTRANGE(""https://docs.google.com/spreadsheets/d/1IgGENpYbL2rI7gfQAXyk9JS3FgAuuh8Wul__oPf-faY/edit#gid=139233849"",""PEV all barnches!A1:E200""))},4,FALSE),"" "")"),"Introduction to Internet of Things")</f>
        <v>Introduction to Internet of Things</v>
      </c>
      <c r="K7" s="85">
        <f ca="1">IFERROR(__xludf.DUMMYFUNCTION("IFERROR(VLOOKUP(B7,{(IMPORTRANGE(""https://docs.google.com/spreadsheets/d/1IgGENpYbL2rI7gfQAXyk9JS3FgAuuh8Wul__oPf-faY/edit#gid=139233849"",""PEV all barnches!A1:E200""))},5,FALSE),"" "")"),90)</f>
        <v>90</v>
      </c>
      <c r="L7" s="85" t="str">
        <f t="shared" ref="L7:L45" ca="1" si="4">IF((K7&gt;=40),"Pass","Fail")</f>
        <v>Pass</v>
      </c>
      <c r="M7" s="86" t="str">
        <f t="shared" ref="M7:M8" ca="1" si="5">IF(K7&gt;=80,"O",IF(K7&gt;=75,"A",IF(K7&gt;=70,"B",IF(K7&gt;=60,"C",IF(K7&gt;=50,"D", IF(K7&gt;=45,"E",IF(K7&gt;=40,"P","F")))))))</f>
        <v>O</v>
      </c>
      <c r="N7" s="85">
        <v>3</v>
      </c>
      <c r="O7" s="82">
        <f t="shared" ref="O7:O45" ca="1" si="6">IF(M7="O",10,IF(M7="A",9,IF(M7="B",8,IF(M7="C",7,IF(M7="D",6,IF(M7="E",5,IF(M7="P",4,0)))))))</f>
        <v>10</v>
      </c>
      <c r="P7" s="80">
        <f t="shared" ref="P7:P45" ca="1" si="7">O7*N7</f>
        <v>30</v>
      </c>
      <c r="Q7" s="112" t="str">
        <f ca="1">IFERROR(__xludf.DUMMYFUNCTION("IFERROR(VLOOKUP(B7,{(IMPORTRANGE(""https://docs.google.com/spreadsheets/d/1IgGENpYbL2rI7gfQAXyk9JS3FgAuuh8Wul__oPf-faY/edit#gid=37342362"",""PE VI all branches!A1:E200""))},4,FALSE),"" "")"),"Cloud Computing")</f>
        <v>Cloud Computing</v>
      </c>
      <c r="R7" s="85">
        <f ca="1">IFERROR(__xludf.DUMMYFUNCTION("IFERROR(VLOOKUP(B7,{(IMPORTRANGE(""https://docs.google.com/spreadsheets/d/1IgGENpYbL2rI7gfQAXyk9JS3FgAuuh8Wul__oPf-faY/edit#gid=37342362"",""PE VI all branches!A1:E200""))},5,FALSE),"" "")"),88)</f>
        <v>88</v>
      </c>
      <c r="S7" s="85" t="str">
        <f t="shared" ref="S7:S9" ca="1" si="8">IF((R7&gt;=40),"Pass","Fail")</f>
        <v>Pass</v>
      </c>
      <c r="T7" s="86" t="str">
        <f t="shared" ref="T7:T8" ca="1" si="9">IF(R7&gt;=80,"O",IF(R7&gt;=75,"A",IF(R7&gt;=70,"B",IF(R7&gt;=60,"C",IF(R7&gt;=50,"D", IF(R7&gt;=45,"E",IF(R7&gt;=40,"P","F")))))))</f>
        <v>O</v>
      </c>
      <c r="U7" s="85">
        <v>3</v>
      </c>
      <c r="V7" s="82">
        <f t="shared" ref="V7:V45" ca="1" si="10">IF(T7="O",10,IF(T7="A",9,IF(T7="B",8,IF(T7="C",7,IF(T7="D",6,IF(T7="E",5,IF(T7="P",4,0)))))))</f>
        <v>10</v>
      </c>
      <c r="W7" s="80">
        <f t="shared" ref="W7:W45" ca="1" si="11">V7*U7</f>
        <v>30</v>
      </c>
      <c r="X7" s="85">
        <v>87</v>
      </c>
      <c r="Y7" s="85" t="str">
        <f t="shared" ref="Y7:Y45" si="12">IF((X7&gt;=40),"Pass","Fail")</f>
        <v>Pass</v>
      </c>
      <c r="Z7" s="86" t="str">
        <f t="shared" ref="Z7:Z45" si="13">IF(X7&gt;=80,"O",IF(X7&gt;=75,"A",IF(X7&gt;=70,"B",IF(X7&gt;=60,"C",IF(X7&gt;=50,"D", IF(X7&gt;=45,"E",IF(X7&gt;=40,"P","F")))))))</f>
        <v>O</v>
      </c>
      <c r="AA7" s="87">
        <v>6</v>
      </c>
      <c r="AB7" s="82">
        <f t="shared" ref="AB7:AB45" si="14">IF(Z7="O",10,IF(Z7="A",9,IF(Z7="B",8,IF(Z7="C",7,IF(Z7="D",6,IF(Z7="E",5,IF(Z7="P",4,0)))))))</f>
        <v>10</v>
      </c>
      <c r="AC7" s="80">
        <f t="shared" ref="AC7:AC45" si="15">AB7*AA7</f>
        <v>60</v>
      </c>
      <c r="AD7" s="87">
        <f ca="1">IFERROR(__xludf.DUMMYFUNCTION("(VLOOKUP(B7,{(IMPORTRANGE(""https://docs.google.com/spreadsheets/d/1bhPzFUTLMV7e35kNXQBjHBx0hnSRtnD8lSPi2nGpa7Y/edit#gid=1774387053"",""BE EXTC!B11:E91""))},4,FALSE))"),88)</f>
        <v>88</v>
      </c>
      <c r="AE7" s="87"/>
      <c r="AF7" s="86" t="str">
        <f t="shared" ref="AF7:AF45" ca="1" si="16">IF(AD7&gt;=80,"O",IF(AD7&gt;=75,"A",IF(AD7&gt;=70,"B",IF(AD7&gt;=60,"C",IF(AD7&gt;=50,"D", IF(AD7&gt;=45,"E",IF(AD7&gt;=40,"P","F")))))))</f>
        <v>O</v>
      </c>
      <c r="AG7" s="87">
        <v>1</v>
      </c>
      <c r="AH7" s="82">
        <f t="shared" ref="AH7:AH45" ca="1" si="17">IF(AF7="O",10,IF(AF7="A",9,IF(AF7="B",8,IF(AF7="C",7,IF(AF7="D",6,IF(AF7="E",5,IF(AF7="P",4,0)))))))</f>
        <v>10</v>
      </c>
      <c r="AI7" s="80">
        <f t="shared" ref="AI7:AI45" ca="1" si="18">AH7*AG7</f>
        <v>10</v>
      </c>
      <c r="AJ7" s="87">
        <v>16</v>
      </c>
      <c r="AK7" s="87">
        <f t="shared" ref="AK7:AK45" si="19">G7+N7+U7+AA7+AG7</f>
        <v>16</v>
      </c>
      <c r="AL7" s="87">
        <f t="shared" ref="AL7:AL45" ca="1" si="20">I7+P7+W7+AC7+AI7</f>
        <v>160</v>
      </c>
      <c r="AM7" s="88">
        <f t="shared" ref="AM7:AM45" ca="1" si="21">AL7/AK7</f>
        <v>10</v>
      </c>
      <c r="AN7" s="80" t="s">
        <v>35</v>
      </c>
      <c r="AO7" s="65">
        <f t="array" ref="AO7">VLOOKUP(B7,cgpi!$A$8:$K992,2,FALSE)</f>
        <v>9.85</v>
      </c>
      <c r="AP7" s="79">
        <f t="array" ref="AP7">VLOOKUP(B7,cgpi!$A$8:$K992,3,FALSE)</f>
        <v>9.75</v>
      </c>
      <c r="AQ7" s="79">
        <f t="array" ref="AQ7">VLOOKUP(B7,cgpi!$A$8:$K992,4,FALSE)</f>
        <v>10</v>
      </c>
      <c r="AR7" s="79">
        <f t="array" ref="AR7">VLOOKUP(B7,cgpi!$A$8:$K992,5,FALSE)</f>
        <v>9.4700000000000006</v>
      </c>
      <c r="AS7" s="79">
        <f t="array" ref="AS7">VLOOKUP(B7,cgpi!$A$8:$K992,6,FALSE)</f>
        <v>9.6199999999999992</v>
      </c>
      <c r="AT7" s="79">
        <f t="array" ref="AT7">VLOOKUP(B7,cgpi!$A$8:$K992,7,FALSE)</f>
        <v>10</v>
      </c>
      <c r="AU7" s="79">
        <f t="array" ref="AU7">VLOOKUP(B7,cgpi!$A$8:$K992,8,FALSE)</f>
        <v>9.81</v>
      </c>
      <c r="AV7" s="79">
        <f t="array" ref="AV7">VLOOKUP(B7,cgpi!$A$8:$K992,9,FALSE)</f>
        <v>10</v>
      </c>
      <c r="AW7" s="79">
        <f t="array" ref="AW7">VLOOKUP(B7,cgpi!$A$8:$K992,10,FALSE)</f>
        <v>9.81</v>
      </c>
      <c r="AX7" s="79">
        <f t="array" ref="AX7">VLOOKUP(B7,cgpi!$A$8:$K992,11,FALSE)</f>
        <v>9.91</v>
      </c>
    </row>
    <row r="8" spans="1:64" ht="45" customHeight="1">
      <c r="A8" s="49">
        <v>2</v>
      </c>
      <c r="B8" s="50">
        <v>2019120002</v>
      </c>
      <c r="C8" s="51" t="str">
        <f t="array" ref="C8">VLOOKUP(B8,studentnames!$A$6:$B992,2,FALSE)</f>
        <v>ARORA MANAN MANISH MANISHA</v>
      </c>
      <c r="D8" s="84">
        <f ca="1">IFERROR(__xludf.DUMMYFUNCTION("(VLOOKUP(B8,{(IMPORTRANGE(""https://docs.google.com/spreadsheets/d/1IgGENpYbL2rI7gfQAXyk9JS3FgAuuh8Wul__oPf-faY/edit#gid=838365050"",""BE-OESall branches!J1:K350""))},2,FALSE))"),81)</f>
        <v>81</v>
      </c>
      <c r="E8" s="85" t="str">
        <f t="shared" ca="1" si="0"/>
        <v>Pass</v>
      </c>
      <c r="F8" s="86" t="str">
        <f t="shared" ca="1" si="1"/>
        <v>O</v>
      </c>
      <c r="G8" s="85">
        <v>3</v>
      </c>
      <c r="H8" s="82">
        <f t="shared" ca="1" si="2"/>
        <v>10</v>
      </c>
      <c r="I8" s="80">
        <f t="shared" ca="1" si="3"/>
        <v>30</v>
      </c>
      <c r="J8" s="112" t="str">
        <f ca="1">IFERROR(__xludf.DUMMYFUNCTION("IFERROR(VLOOKUP(B8,{(IMPORTRANGE(""https://docs.google.com/spreadsheets/d/1IgGENpYbL2rI7gfQAXyk9JS3FgAuuh8Wul__oPf-faY/edit#gid=139233849"",""PEV all barnches!A1:E200""))},4,FALSE),"" "")"),"Cloud Computing")</f>
        <v>Cloud Computing</v>
      </c>
      <c r="K8" s="85">
        <f ca="1">IFERROR(__xludf.DUMMYFUNCTION("IFERROR(VLOOKUP(B8,{(IMPORTRANGE(""https://docs.google.com/spreadsheets/d/1IgGENpYbL2rI7gfQAXyk9JS3FgAuuh8Wul__oPf-faY/edit#gid=139233849"",""PEV all barnches!A1:E200""))},5,FALSE),"" "")"),73)</f>
        <v>73</v>
      </c>
      <c r="L8" s="85" t="str">
        <f t="shared" ca="1" si="4"/>
        <v>Pass</v>
      </c>
      <c r="M8" s="86" t="str">
        <f t="shared" ca="1" si="5"/>
        <v>B</v>
      </c>
      <c r="N8" s="85">
        <v>3</v>
      </c>
      <c r="O8" s="82">
        <f t="shared" ca="1" si="6"/>
        <v>8</v>
      </c>
      <c r="P8" s="80">
        <f t="shared" ca="1" si="7"/>
        <v>24</v>
      </c>
      <c r="Q8" s="112" t="str">
        <f ca="1">IFERROR(__xludf.DUMMYFUNCTION("IFERROR(VLOOKUP(B8,{(IMPORTRANGE(""https://docs.google.com/spreadsheets/d/1IgGENpYbL2rI7gfQAXyk9JS3FgAuuh8Wul__oPf-faY/edit#gid=37342362"",""PE VI all branches!A1:E200""))},4,FALSE),"" "")"),"Introduction To Internet Of Things")</f>
        <v>Introduction To Internet Of Things</v>
      </c>
      <c r="R8" s="85">
        <f ca="1">IFERROR(__xludf.DUMMYFUNCTION("IFERROR(VLOOKUP(B8,{(IMPORTRANGE(""https://docs.google.com/spreadsheets/d/1IgGENpYbL2rI7gfQAXyk9JS3FgAuuh8Wul__oPf-faY/edit#gid=37342362"",""PE VI all branches!A1:E200""))},5,FALSE),"" "")"),87)</f>
        <v>87</v>
      </c>
      <c r="S8" s="85" t="str">
        <f t="shared" ca="1" si="8"/>
        <v>Pass</v>
      </c>
      <c r="T8" s="86" t="str">
        <f t="shared" ca="1" si="9"/>
        <v>O</v>
      </c>
      <c r="U8" s="85">
        <v>3</v>
      </c>
      <c r="V8" s="82">
        <f t="shared" ca="1" si="10"/>
        <v>10</v>
      </c>
      <c r="W8" s="80">
        <f t="shared" ca="1" si="11"/>
        <v>30</v>
      </c>
      <c r="X8" s="85">
        <v>87</v>
      </c>
      <c r="Y8" s="85" t="str">
        <f t="shared" si="12"/>
        <v>Pass</v>
      </c>
      <c r="Z8" s="86" t="str">
        <f t="shared" si="13"/>
        <v>O</v>
      </c>
      <c r="AA8" s="87">
        <v>6</v>
      </c>
      <c r="AB8" s="82">
        <f t="shared" si="14"/>
        <v>10</v>
      </c>
      <c r="AC8" s="80">
        <f t="shared" si="15"/>
        <v>60</v>
      </c>
      <c r="AD8" s="87">
        <f ca="1">IFERROR(__xludf.DUMMYFUNCTION("(VLOOKUP(B8,{(IMPORTRANGE(""https://docs.google.com/spreadsheets/d/1bhPzFUTLMV7e35kNXQBjHBx0hnSRtnD8lSPi2nGpa7Y/edit#gid=1774387053"",""BE EXTC!B11:E91""))},4,FALSE))"),89)</f>
        <v>89</v>
      </c>
      <c r="AE8" s="87"/>
      <c r="AF8" s="86" t="str">
        <f t="shared" ca="1" si="16"/>
        <v>O</v>
      </c>
      <c r="AG8" s="87">
        <v>1</v>
      </c>
      <c r="AH8" s="82">
        <f t="shared" ca="1" si="17"/>
        <v>10</v>
      </c>
      <c r="AI8" s="80">
        <f t="shared" ca="1" si="18"/>
        <v>10</v>
      </c>
      <c r="AJ8" s="87">
        <v>16</v>
      </c>
      <c r="AK8" s="87">
        <f t="shared" si="19"/>
        <v>16</v>
      </c>
      <c r="AL8" s="87">
        <f t="shared" ca="1" si="20"/>
        <v>154</v>
      </c>
      <c r="AM8" s="81">
        <f t="shared" ca="1" si="21"/>
        <v>9.625</v>
      </c>
      <c r="AN8" s="80" t="s">
        <v>35</v>
      </c>
      <c r="AO8" s="81">
        <f t="array" ref="AO8">VLOOKUP(B8,cgpi!$A$8:$K992,2,FALSE)</f>
        <v>9.4</v>
      </c>
      <c r="AP8" s="89">
        <f t="array" ref="AP8">VLOOKUP(B8,cgpi!$A$8:$K992,3,FALSE)</f>
        <v>9.4499999999999993</v>
      </c>
      <c r="AQ8" s="89">
        <f t="array" ref="AQ8">VLOOKUP(B8,cgpi!$A$8:$K992,4,FALSE)</f>
        <v>10</v>
      </c>
      <c r="AR8" s="89">
        <f t="array" ref="AR8">VLOOKUP(B8,cgpi!$A$8:$K992,5,FALSE)</f>
        <v>9.11</v>
      </c>
      <c r="AS8" s="89">
        <f t="array" ref="AS8">VLOOKUP(B8,cgpi!$A$8:$K992,6,FALSE)</f>
        <v>8.86</v>
      </c>
      <c r="AT8" s="89">
        <f t="array" ref="AT8">VLOOKUP(B8,cgpi!$A$8:$K992,7,FALSE)</f>
        <v>9.86</v>
      </c>
      <c r="AU8" s="89">
        <f t="array" ref="AU8">VLOOKUP(B8,cgpi!$A$8:$K992,8,FALSE)</f>
        <v>9.3800000000000008</v>
      </c>
      <c r="AV8" s="89">
        <f t="array" ref="AV8">VLOOKUP(B8,cgpi!$A$8:$K992,9,FALSE)</f>
        <v>9.6300000000000008</v>
      </c>
      <c r="AW8" s="89">
        <f t="array" ref="AW8">VLOOKUP(B8,cgpi!$A$8:$K992,10,FALSE)</f>
        <v>9.4600000000000009</v>
      </c>
      <c r="AX8" s="89">
        <f t="array" ref="AX8">VLOOKUP(B8,cgpi!$A$8:$K992,11,FALSE)</f>
        <v>9.5</v>
      </c>
    </row>
    <row r="9" spans="1:64" ht="45" customHeight="1">
      <c r="A9" s="98">
        <v>3</v>
      </c>
      <c r="B9" s="50">
        <v>2019120005</v>
      </c>
      <c r="C9" s="51" t="str">
        <f t="array" ref="C9">VLOOKUP(B9,studentnames!$A$6:$B992,2,FALSE)</f>
        <v>BAFNA HITEN SANTOSH NEETU</v>
      </c>
      <c r="D9" s="107">
        <v>66</v>
      </c>
      <c r="E9" s="108" t="str">
        <f t="shared" si="0"/>
        <v>Pass</v>
      </c>
      <c r="F9" s="109" t="s">
        <v>34</v>
      </c>
      <c r="G9" s="108">
        <v>3</v>
      </c>
      <c r="H9" s="110">
        <f t="shared" si="2"/>
        <v>6</v>
      </c>
      <c r="I9" s="111">
        <f t="shared" si="3"/>
        <v>18</v>
      </c>
      <c r="J9" s="113" t="s">
        <v>42</v>
      </c>
      <c r="K9" s="108">
        <v>70</v>
      </c>
      <c r="L9" s="108" t="str">
        <f t="shared" si="4"/>
        <v>Pass</v>
      </c>
      <c r="M9" s="109" t="s">
        <v>43</v>
      </c>
      <c r="N9" s="108">
        <v>3</v>
      </c>
      <c r="O9" s="110">
        <f t="shared" si="6"/>
        <v>7</v>
      </c>
      <c r="P9" s="111">
        <f t="shared" si="7"/>
        <v>21</v>
      </c>
      <c r="Q9" s="113" t="s">
        <v>44</v>
      </c>
      <c r="R9" s="108">
        <v>67</v>
      </c>
      <c r="S9" s="108" t="str">
        <f t="shared" si="8"/>
        <v>Pass</v>
      </c>
      <c r="T9" s="109" t="s">
        <v>34</v>
      </c>
      <c r="U9" s="108">
        <v>3</v>
      </c>
      <c r="V9" s="110">
        <f t="shared" si="10"/>
        <v>6</v>
      </c>
      <c r="W9" s="111">
        <f t="shared" si="11"/>
        <v>18</v>
      </c>
      <c r="X9" s="85">
        <v>85</v>
      </c>
      <c r="Y9" s="85" t="str">
        <f t="shared" si="12"/>
        <v>Pass</v>
      </c>
      <c r="Z9" s="86" t="str">
        <f t="shared" si="13"/>
        <v>O</v>
      </c>
      <c r="AA9" s="87">
        <v>6</v>
      </c>
      <c r="AB9" s="82">
        <f t="shared" si="14"/>
        <v>10</v>
      </c>
      <c r="AC9" s="80">
        <f t="shared" si="15"/>
        <v>60</v>
      </c>
      <c r="AD9" s="87">
        <f ca="1">IFERROR(__xludf.DUMMYFUNCTION("(VLOOKUP(B9,{(IMPORTRANGE(""https://docs.google.com/spreadsheets/d/1bhPzFUTLMV7e35kNXQBjHBx0hnSRtnD8lSPi2nGpa7Y/edit#gid=1774387053"",""BE EXTC!B11:E91""))},4,FALSE))"),87)</f>
        <v>87</v>
      </c>
      <c r="AE9" s="87"/>
      <c r="AF9" s="86" t="str">
        <f t="shared" ca="1" si="16"/>
        <v>O</v>
      </c>
      <c r="AG9" s="87">
        <v>1</v>
      </c>
      <c r="AH9" s="82">
        <f t="shared" ca="1" si="17"/>
        <v>10</v>
      </c>
      <c r="AI9" s="80">
        <f t="shared" ca="1" si="18"/>
        <v>10</v>
      </c>
      <c r="AJ9" s="87">
        <v>16</v>
      </c>
      <c r="AK9" s="87">
        <f t="shared" si="19"/>
        <v>16</v>
      </c>
      <c r="AL9" s="87">
        <f t="shared" ca="1" si="20"/>
        <v>127</v>
      </c>
      <c r="AM9" s="81">
        <f t="shared" ca="1" si="21"/>
        <v>7.9375</v>
      </c>
      <c r="AN9" s="80" t="s">
        <v>35</v>
      </c>
      <c r="AO9" s="81">
        <f t="array" ref="AO9">VLOOKUP(B9,cgpi!$A$8:$K992,2,FALSE)</f>
        <v>7.8</v>
      </c>
      <c r="AP9" s="89">
        <f t="array" ref="AP9">VLOOKUP(B9,cgpi!$A$8:$K992,3,FALSE)</f>
        <v>8.5</v>
      </c>
      <c r="AQ9" s="89">
        <f t="array" ref="AQ9">VLOOKUP(B9,cgpi!$A$8:$K992,4,FALSE)</f>
        <v>9.81</v>
      </c>
      <c r="AR9" s="89">
        <f t="array" ref="AR9">VLOOKUP(B9,cgpi!$A$8:$K992,5,FALSE)</f>
        <v>9.26</v>
      </c>
      <c r="AS9" s="89">
        <f t="array" ref="AS9">VLOOKUP(B9,cgpi!$A$8:$K992,6,FALSE)</f>
        <v>8.48</v>
      </c>
      <c r="AT9" s="89">
        <f t="array" ref="AT9">VLOOKUP(B9,cgpi!$A$8:$K992,7,FALSE)</f>
        <v>7.43</v>
      </c>
      <c r="AU9" s="89">
        <f t="array" ref="AU9">VLOOKUP(B9,cgpi!$A$8:$K992,8,FALSE)</f>
        <v>8.19</v>
      </c>
      <c r="AV9" s="89">
        <f t="array" ref="AV9">VLOOKUP(B9,cgpi!$A$8:$K992,9,FALSE)</f>
        <v>7.94</v>
      </c>
      <c r="AW9" s="89">
        <f t="array" ref="AW9">VLOOKUP(B9,cgpi!$A$8:$K992,10,FALSE)</f>
        <v>8.44</v>
      </c>
      <c r="AX9" s="89">
        <f t="array" ref="AX9">VLOOKUP(B9,cgpi!$A$8:$K992,11,FALSE)</f>
        <v>8.06</v>
      </c>
    </row>
    <row r="10" spans="1:64" ht="45" customHeight="1">
      <c r="A10" s="49">
        <v>4</v>
      </c>
      <c r="B10" s="50">
        <v>2019120008</v>
      </c>
      <c r="C10" s="51" t="str">
        <f t="array" ref="C10">VLOOKUP(B10,studentnames!$A$6:$B992,2,FALSE)</f>
        <v>BYWAR PARTH RAJESH</v>
      </c>
      <c r="D10" s="107">
        <v>56</v>
      </c>
      <c r="E10" s="108" t="str">
        <f t="shared" si="0"/>
        <v>Pass</v>
      </c>
      <c r="F10" s="109" t="s">
        <v>34</v>
      </c>
      <c r="G10" s="108">
        <v>3</v>
      </c>
      <c r="H10" s="110">
        <f t="shared" si="2"/>
        <v>6</v>
      </c>
      <c r="I10" s="111">
        <f t="shared" si="3"/>
        <v>18</v>
      </c>
      <c r="J10" s="113" t="s">
        <v>42</v>
      </c>
      <c r="K10" s="108">
        <v>68</v>
      </c>
      <c r="L10" s="108" t="str">
        <f t="shared" si="4"/>
        <v>Pass</v>
      </c>
      <c r="M10" s="109" t="s">
        <v>34</v>
      </c>
      <c r="N10" s="108">
        <v>3</v>
      </c>
      <c r="O10" s="110">
        <f t="shared" si="6"/>
        <v>6</v>
      </c>
      <c r="P10" s="111">
        <f t="shared" si="7"/>
        <v>18</v>
      </c>
      <c r="Q10" s="113" t="s">
        <v>44</v>
      </c>
      <c r="R10" s="108">
        <v>64</v>
      </c>
      <c r="S10" s="108"/>
      <c r="T10" s="109" t="s">
        <v>34</v>
      </c>
      <c r="U10" s="108">
        <v>3</v>
      </c>
      <c r="V10" s="110">
        <f t="shared" si="10"/>
        <v>6</v>
      </c>
      <c r="W10" s="111">
        <f t="shared" si="11"/>
        <v>18</v>
      </c>
      <c r="X10" s="85">
        <v>80</v>
      </c>
      <c r="Y10" s="85" t="str">
        <f t="shared" si="12"/>
        <v>Pass</v>
      </c>
      <c r="Z10" s="86" t="str">
        <f t="shared" si="13"/>
        <v>O</v>
      </c>
      <c r="AA10" s="87">
        <v>6</v>
      </c>
      <c r="AB10" s="82">
        <f t="shared" si="14"/>
        <v>10</v>
      </c>
      <c r="AC10" s="80">
        <f t="shared" si="15"/>
        <v>60</v>
      </c>
      <c r="AD10" s="87">
        <f ca="1">IFERROR(__xludf.DUMMYFUNCTION("(VLOOKUP(B10,{(IMPORTRANGE(""https://docs.google.com/spreadsheets/d/1bhPzFUTLMV7e35kNXQBjHBx0hnSRtnD8lSPi2nGpa7Y/edit#gid=1774387053"",""BE EXTC!B11:E91""))},4,FALSE))"),88)</f>
        <v>88</v>
      </c>
      <c r="AE10" s="87"/>
      <c r="AF10" s="86" t="str">
        <f t="shared" ca="1" si="16"/>
        <v>O</v>
      </c>
      <c r="AG10" s="87">
        <v>1</v>
      </c>
      <c r="AH10" s="82">
        <f t="shared" ca="1" si="17"/>
        <v>10</v>
      </c>
      <c r="AI10" s="80">
        <f t="shared" ca="1" si="18"/>
        <v>10</v>
      </c>
      <c r="AJ10" s="87">
        <v>16</v>
      </c>
      <c r="AK10" s="87">
        <f t="shared" si="19"/>
        <v>16</v>
      </c>
      <c r="AL10" s="87">
        <f t="shared" ca="1" si="20"/>
        <v>124</v>
      </c>
      <c r="AM10" s="81">
        <f t="shared" ca="1" si="21"/>
        <v>7.75</v>
      </c>
      <c r="AN10" s="80" t="s">
        <v>35</v>
      </c>
      <c r="AO10" s="81">
        <f t="array" ref="AO10">VLOOKUP(B10,cgpi!$A$8:$K992,2,FALSE)</f>
        <v>6.65</v>
      </c>
      <c r="AP10" s="89">
        <f t="array" ref="AP10">VLOOKUP(B10,cgpi!$A$8:$K992,3,FALSE)</f>
        <v>7.45</v>
      </c>
      <c r="AQ10" s="89">
        <f t="array" ref="AQ10">VLOOKUP(B10,cgpi!$A$8:$K992,4,FALSE)</f>
        <v>9.7100000000000009</v>
      </c>
      <c r="AR10" s="89">
        <f t="array" ref="AR10">VLOOKUP(B10,cgpi!$A$8:$K992,5,FALSE)</f>
        <v>9.26</v>
      </c>
      <c r="AS10" s="89">
        <f t="array" ref="AS10">VLOOKUP(B10,cgpi!$A$8:$K992,6,FALSE)</f>
        <v>8.76</v>
      </c>
      <c r="AT10" s="89">
        <f t="array" ref="AT10">VLOOKUP(B10,cgpi!$A$8:$K992,7,FALSE)</f>
        <v>9.57</v>
      </c>
      <c r="AU10" s="89">
        <f t="array" ref="AU10">VLOOKUP(B10,cgpi!$A$8:$K992,8,FALSE)</f>
        <v>7.38</v>
      </c>
      <c r="AV10" s="89">
        <f t="array" ref="AV10">VLOOKUP(B10,cgpi!$A$8:$K992,9,FALSE)</f>
        <v>7.75</v>
      </c>
      <c r="AW10" s="89">
        <f t="array" ref="AW10">VLOOKUP(B10,cgpi!$A$8:$K992,10,FALSE)</f>
        <v>8.3699999999999992</v>
      </c>
      <c r="AX10" s="89">
        <f t="array" ref="AX10">VLOOKUP(B10,cgpi!$A$8:$K992,11,FALSE)</f>
        <v>7.56</v>
      </c>
    </row>
    <row r="11" spans="1:64" ht="45" customHeight="1">
      <c r="A11" s="98">
        <v>5</v>
      </c>
      <c r="B11" s="50">
        <v>2019120009</v>
      </c>
      <c r="C11" s="51" t="str">
        <f t="array" ref="C11">VLOOKUP(B11,studentnames!$A$6:$B992,2,FALSE)</f>
        <v>CHALLAWALA HUSAIN KUTBI MOBINA</v>
      </c>
      <c r="D11" s="84">
        <f ca="1">IFERROR(__xludf.DUMMYFUNCTION("(VLOOKUP(B11,{(IMPORTRANGE(""https://docs.google.com/spreadsheets/d/1IgGENpYbL2rI7gfQAXyk9JS3FgAuuh8Wul__oPf-faY/edit#gid=838365050"",""BE-OESall branches!J1:K350""))},2,FALSE))"),75)</f>
        <v>75</v>
      </c>
      <c r="E11" s="85" t="str">
        <f t="shared" ca="1" si="0"/>
        <v>Pass</v>
      </c>
      <c r="F11" s="86" t="str">
        <f t="shared" ref="F11:F33" ca="1" si="22">IF(D11&gt;=80,"O",IF(D11&gt;=75,"A",IF(D11&gt;=70,"B",IF(D11&gt;=60,"C",IF(D11&gt;=50,"D", IF(D11&gt;=45,"E",IF(D11&gt;=40,"P","F")))))))</f>
        <v>A</v>
      </c>
      <c r="G11" s="85">
        <v>3</v>
      </c>
      <c r="H11" s="82">
        <f t="shared" ca="1" si="2"/>
        <v>9</v>
      </c>
      <c r="I11" s="80">
        <f t="shared" ca="1" si="3"/>
        <v>27</v>
      </c>
      <c r="J11" s="112" t="str">
        <f ca="1">IFERROR(__xludf.DUMMYFUNCTION("IFERROR(VLOOKUP(B11,{(IMPORTRANGE(""https://docs.google.com/spreadsheets/d/1IgGENpYbL2rI7gfQAXyk9JS3FgAuuh8Wul__oPf-faY/edit#gid=139233849"",""PEV all barnches!A1:E200""))},4,FALSE),"" "")"),"Introduction To Internet Of Things")</f>
        <v>Introduction To Internet Of Things</v>
      </c>
      <c r="K11" s="85">
        <f ca="1">IFERROR(__xludf.DUMMYFUNCTION("IFERROR(VLOOKUP(B11,{(IMPORTRANGE(""https://docs.google.com/spreadsheets/d/1IgGENpYbL2rI7gfQAXyk9JS3FgAuuh8Wul__oPf-faY/edit#gid=139233849"",""PEV all barnches!A1:E200""))},5,FALSE),"" "")"),90)</f>
        <v>90</v>
      </c>
      <c r="L11" s="85" t="str">
        <f t="shared" ca="1" si="4"/>
        <v>Pass</v>
      </c>
      <c r="M11" s="86" t="str">
        <f t="shared" ref="M11:M33" ca="1" si="23">IF(K11&gt;=80,"O",IF(K11&gt;=75,"A",IF(K11&gt;=70,"B",IF(K11&gt;=60,"C",IF(K11&gt;=50,"D", IF(K11&gt;=45,"E",IF(K11&gt;=40,"P","F")))))))</f>
        <v>O</v>
      </c>
      <c r="N11" s="85">
        <v>3</v>
      </c>
      <c r="O11" s="82">
        <f t="shared" ca="1" si="6"/>
        <v>10</v>
      </c>
      <c r="P11" s="80">
        <f t="shared" ca="1" si="7"/>
        <v>30</v>
      </c>
      <c r="Q11" s="112" t="str">
        <f ca="1">IFERROR(__xludf.DUMMYFUNCTION("IFERROR(VLOOKUP(B11,{(IMPORTRANGE(""https://docs.google.com/spreadsheets/d/1IgGENpYbL2rI7gfQAXyk9JS3FgAuuh8Wul__oPf-faY/edit#gid=37342362"",""PE VI all branches!A1:E200""))},4,FALSE),"" "")"),"Cloud computing")</f>
        <v>Cloud computing</v>
      </c>
      <c r="R11" s="85">
        <f ca="1">IFERROR(__xludf.DUMMYFUNCTION("IFERROR(VLOOKUP(B11,{(IMPORTRANGE(""https://docs.google.com/spreadsheets/d/1IgGENpYbL2rI7gfQAXyk9JS3FgAuuh8Wul__oPf-faY/edit#gid=37342362"",""PE VI all branches!A1:E200""))},5,FALSE),"" "")"),81)</f>
        <v>81</v>
      </c>
      <c r="S11" s="85" t="str">
        <f ca="1">IF((R11&gt;=40),"Pass","Fail")</f>
        <v>Pass</v>
      </c>
      <c r="T11" s="86" t="str">
        <f t="shared" ref="T11:T12" ca="1" si="24">IF(R11&gt;=80,"O",IF(R11&gt;=75,"A",IF(R11&gt;=70,"B",IF(R11&gt;=60,"C",IF(R11&gt;=50,"D", IF(R11&gt;=45,"E",IF(R11&gt;=40,"P","F")))))))</f>
        <v>O</v>
      </c>
      <c r="U11" s="85">
        <v>3</v>
      </c>
      <c r="V11" s="82">
        <f t="shared" ca="1" si="10"/>
        <v>10</v>
      </c>
      <c r="W11" s="80">
        <f t="shared" ca="1" si="11"/>
        <v>30</v>
      </c>
      <c r="X11" s="85">
        <v>85</v>
      </c>
      <c r="Y11" s="85" t="str">
        <f t="shared" si="12"/>
        <v>Pass</v>
      </c>
      <c r="Z11" s="86" t="str">
        <f t="shared" si="13"/>
        <v>O</v>
      </c>
      <c r="AA11" s="87">
        <v>6</v>
      </c>
      <c r="AB11" s="82">
        <f t="shared" si="14"/>
        <v>10</v>
      </c>
      <c r="AC11" s="80">
        <f t="shared" si="15"/>
        <v>60</v>
      </c>
      <c r="AD11" s="87">
        <f ca="1">IFERROR(__xludf.DUMMYFUNCTION("(VLOOKUP(B11,{(IMPORTRANGE(""https://docs.google.com/spreadsheets/d/1bhPzFUTLMV7e35kNXQBjHBx0hnSRtnD8lSPi2nGpa7Y/edit#gid=1774387053"",""BE EXTC!B11:E91""))},4,FALSE))"),89)</f>
        <v>89</v>
      </c>
      <c r="AE11" s="87"/>
      <c r="AF11" s="86" t="str">
        <f t="shared" ca="1" si="16"/>
        <v>O</v>
      </c>
      <c r="AG11" s="87">
        <v>1</v>
      </c>
      <c r="AH11" s="82">
        <f t="shared" ca="1" si="17"/>
        <v>10</v>
      </c>
      <c r="AI11" s="80">
        <f t="shared" ca="1" si="18"/>
        <v>10</v>
      </c>
      <c r="AJ11" s="87">
        <v>16</v>
      </c>
      <c r="AK11" s="87">
        <f t="shared" si="19"/>
        <v>16</v>
      </c>
      <c r="AL11" s="87">
        <f t="shared" ca="1" si="20"/>
        <v>157</v>
      </c>
      <c r="AM11" s="81">
        <f t="shared" ca="1" si="21"/>
        <v>9.8125</v>
      </c>
      <c r="AN11" s="80" t="s">
        <v>35</v>
      </c>
      <c r="AO11" s="81">
        <f t="array" ref="AO11">VLOOKUP(B11,cgpi!$A$8:$K992,2,FALSE)</f>
        <v>8.25</v>
      </c>
      <c r="AP11" s="89">
        <f t="array" ref="AP11">VLOOKUP(B11,cgpi!$A$8:$K992,3,FALSE)</f>
        <v>8.6</v>
      </c>
      <c r="AQ11" s="89">
        <f t="array" ref="AQ11">VLOOKUP(B11,cgpi!$A$8:$K992,4,FALSE)</f>
        <v>9.24</v>
      </c>
      <c r="AR11" s="89">
        <f t="array" ref="AR11">VLOOKUP(B11,cgpi!$A$8:$K992,5,FALSE)</f>
        <v>8.74</v>
      </c>
      <c r="AS11" s="89">
        <f t="array" ref="AS11">VLOOKUP(B11,cgpi!$A$8:$K992,6,FALSE)</f>
        <v>9.24</v>
      </c>
      <c r="AT11" s="89">
        <f t="array" ref="AT11">VLOOKUP(B11,cgpi!$A$8:$K992,7,FALSE)</f>
        <v>9.57</v>
      </c>
      <c r="AU11" s="89">
        <f t="array" ref="AU11">VLOOKUP(B11,cgpi!$A$8:$K992,8,FALSE)</f>
        <v>8.69</v>
      </c>
      <c r="AV11" s="89">
        <f t="array" ref="AV11">VLOOKUP(B11,cgpi!$A$8:$K992,9,FALSE)</f>
        <v>9.81</v>
      </c>
      <c r="AW11" s="89">
        <f t="array" ref="AW11">VLOOKUP(B11,cgpi!$A$8:$K992,10,FALSE)</f>
        <v>9.01</v>
      </c>
      <c r="AX11" s="89">
        <f t="array" ref="AX11">VLOOKUP(B11,cgpi!$A$8:$K992,11,FALSE)</f>
        <v>9.25</v>
      </c>
    </row>
    <row r="12" spans="1:64" ht="45" customHeight="1">
      <c r="A12" s="49">
        <v>6</v>
      </c>
      <c r="B12" s="50">
        <v>2019120011</v>
      </c>
      <c r="C12" s="51" t="str">
        <f t="array" ref="C12">VLOOKUP(B12,studentnames!$A$6:$B992,2,FALSE)</f>
        <v>/ CHATURVEDI ADITI MAHENDRA SUNITA</v>
      </c>
      <c r="D12" s="84">
        <f ca="1">IFERROR(__xludf.DUMMYFUNCTION("(VLOOKUP(B12,{(IMPORTRANGE(""https://docs.google.com/spreadsheets/d/1IgGENpYbL2rI7gfQAXyk9JS3FgAuuh8Wul__oPf-faY/edit#gid=838365050"",""BE-OESall branches!J1:K350""))},2,FALSE))"),75)</f>
        <v>75</v>
      </c>
      <c r="E12" s="85" t="str">
        <f t="shared" ca="1" si="0"/>
        <v>Pass</v>
      </c>
      <c r="F12" s="86" t="str">
        <f t="shared" ca="1" si="22"/>
        <v>A</v>
      </c>
      <c r="G12" s="85">
        <v>3</v>
      </c>
      <c r="H12" s="82">
        <f t="shared" ca="1" si="2"/>
        <v>9</v>
      </c>
      <c r="I12" s="80">
        <f t="shared" ca="1" si="3"/>
        <v>27</v>
      </c>
      <c r="J12" s="112" t="str">
        <f ca="1">IFERROR(__xludf.DUMMYFUNCTION("IFERROR(VLOOKUP(B12,{(IMPORTRANGE(""https://docs.google.com/spreadsheets/d/1IgGENpYbL2rI7gfQAXyk9JS3FgAuuh8Wul__oPf-faY/edit#gid=139233849"",""PEV all barnches!A1:E200""))},4,FALSE),"" "")"),"	 Blockchain and its Applications")</f>
        <v xml:space="preserve">	 Blockchain and its Applications</v>
      </c>
      <c r="K12" s="85">
        <f ca="1">IFERROR(__xludf.DUMMYFUNCTION("IFERROR(VLOOKUP(B12,{(IMPORTRANGE(""https://docs.google.com/spreadsheets/d/1IgGENpYbL2rI7gfQAXyk9JS3FgAuuh8Wul__oPf-faY/edit#gid=139233849"",""PEV all barnches!A1:E200""))},5,FALSE),"" "")"),54)</f>
        <v>54</v>
      </c>
      <c r="L12" s="85" t="str">
        <f t="shared" ca="1" si="4"/>
        <v>Pass</v>
      </c>
      <c r="M12" s="86" t="str">
        <f t="shared" ca="1" si="23"/>
        <v>D</v>
      </c>
      <c r="N12" s="85">
        <v>3</v>
      </c>
      <c r="O12" s="82">
        <f t="shared" ca="1" si="6"/>
        <v>6</v>
      </c>
      <c r="P12" s="80">
        <f t="shared" ca="1" si="7"/>
        <v>18</v>
      </c>
      <c r="Q12" s="112" t="str">
        <f ca="1">IFERROR(__xludf.DUMMYFUNCTION("IFERROR(VLOOKUP(B12,{(IMPORTRANGE(""https://docs.google.com/spreadsheets/d/1IgGENpYbL2rI7gfQAXyk9JS3FgAuuh8Wul__oPf-faY/edit#gid=37342362"",""PE VI all branches!A1:E200""))},4,FALSE),"" "")"),"Cloud Computing")</f>
        <v>Cloud Computing</v>
      </c>
      <c r="R12" s="85">
        <f ca="1">IFERROR(__xludf.DUMMYFUNCTION("IFERROR(VLOOKUP(B12,{(IMPORTRANGE(""https://docs.google.com/spreadsheets/d/1IgGENpYbL2rI7gfQAXyk9JS3FgAuuh8Wul__oPf-faY/edit#gid=37342362"",""PE VI all branches!A1:E200""))},5,FALSE),"" "")"),71)</f>
        <v>71</v>
      </c>
      <c r="S12" s="85"/>
      <c r="T12" s="86" t="str">
        <f t="shared" ca="1" si="24"/>
        <v>B</v>
      </c>
      <c r="U12" s="85">
        <v>3</v>
      </c>
      <c r="V12" s="82">
        <f t="shared" ca="1" si="10"/>
        <v>8</v>
      </c>
      <c r="W12" s="80">
        <f t="shared" ca="1" si="11"/>
        <v>24</v>
      </c>
      <c r="X12" s="85">
        <v>83</v>
      </c>
      <c r="Y12" s="85" t="str">
        <f t="shared" si="12"/>
        <v>Pass</v>
      </c>
      <c r="Z12" s="86" t="str">
        <f t="shared" si="13"/>
        <v>O</v>
      </c>
      <c r="AA12" s="87">
        <v>6</v>
      </c>
      <c r="AB12" s="82">
        <f t="shared" si="14"/>
        <v>10</v>
      </c>
      <c r="AC12" s="80">
        <f t="shared" si="15"/>
        <v>60</v>
      </c>
      <c r="AD12" s="87">
        <f ca="1">IFERROR(__xludf.DUMMYFUNCTION("(VLOOKUP(B12,{(IMPORTRANGE(""https://docs.google.com/spreadsheets/d/1bhPzFUTLMV7e35kNXQBjHBx0hnSRtnD8lSPi2nGpa7Y/edit#gid=1774387053"",""BE EXTC!B11:E91""))},4,FALSE))"),95)</f>
        <v>95</v>
      </c>
      <c r="AE12" s="87"/>
      <c r="AF12" s="86" t="str">
        <f t="shared" ca="1" si="16"/>
        <v>O</v>
      </c>
      <c r="AG12" s="87">
        <v>1</v>
      </c>
      <c r="AH12" s="82">
        <f t="shared" ca="1" si="17"/>
        <v>10</v>
      </c>
      <c r="AI12" s="80">
        <f t="shared" ca="1" si="18"/>
        <v>10</v>
      </c>
      <c r="AJ12" s="87">
        <v>16</v>
      </c>
      <c r="AK12" s="87">
        <f t="shared" si="19"/>
        <v>16</v>
      </c>
      <c r="AL12" s="87">
        <f t="shared" ca="1" si="20"/>
        <v>139</v>
      </c>
      <c r="AM12" s="81">
        <f t="shared" ca="1" si="21"/>
        <v>8.6875</v>
      </c>
      <c r="AN12" s="80" t="s">
        <v>35</v>
      </c>
      <c r="AO12" s="81">
        <f t="array" ref="AO12">VLOOKUP(B12,cgpi!$A$8:$K992,2,FALSE)</f>
        <v>7.85</v>
      </c>
      <c r="AP12" s="89">
        <f t="array" ref="AP12">VLOOKUP(B12,cgpi!$A$8:$K992,3,FALSE)</f>
        <v>8.35</v>
      </c>
      <c r="AQ12" s="89">
        <f t="array" ref="AQ12">VLOOKUP(B12,cgpi!$A$8:$K992,4,FALSE)</f>
        <v>9.6199999999999992</v>
      </c>
      <c r="AR12" s="89">
        <f t="array" ref="AR12">VLOOKUP(B12,cgpi!$A$8:$K992,5,FALSE)</f>
        <v>8.0500000000000007</v>
      </c>
      <c r="AS12" s="89">
        <f t="array" ref="AS12">VLOOKUP(B12,cgpi!$A$8:$K992,6,FALSE)</f>
        <v>8.86</v>
      </c>
      <c r="AT12" s="89">
        <f t="array" ref="AT12">VLOOKUP(B12,cgpi!$A$8:$K992,7,FALSE)</f>
        <v>9.43</v>
      </c>
      <c r="AU12" s="89">
        <f t="array" ref="AU12">VLOOKUP(B12,cgpi!$A$8:$K992,8,FALSE)</f>
        <v>7.94</v>
      </c>
      <c r="AV12" s="89">
        <f t="array" ref="AV12">VLOOKUP(B12,cgpi!$A$8:$K992,9,FALSE)</f>
        <v>8.69</v>
      </c>
      <c r="AW12" s="89">
        <f t="array" ref="AW12">VLOOKUP(B12,cgpi!$A$8:$K992,10,FALSE)</f>
        <v>8.6300000000000008</v>
      </c>
      <c r="AX12" s="89">
        <f t="array" ref="AX12">VLOOKUP(B12,cgpi!$A$8:$K992,11,FALSE)</f>
        <v>8.31</v>
      </c>
    </row>
    <row r="13" spans="1:64" ht="45" customHeight="1">
      <c r="A13" s="98">
        <v>7</v>
      </c>
      <c r="B13" s="50">
        <v>2019120013</v>
      </c>
      <c r="C13" s="51" t="str">
        <f t="array" ref="C13">VLOOKUP(B13,studentnames!$A$6:$B992,2,FALSE)</f>
        <v>CHOKSHI VISHRUT PANKAJ SEJAL</v>
      </c>
      <c r="D13" s="84">
        <f ca="1">IFERROR(__xludf.DUMMYFUNCTION("(VLOOKUP(B13,{(IMPORTRANGE(""https://docs.google.com/spreadsheets/d/1IgGENpYbL2rI7gfQAXyk9JS3FgAuuh8Wul__oPf-faY/edit#gid=838365050"",""BE-OESall branches!J1:K350""))},2,FALSE))"),65)</f>
        <v>65</v>
      </c>
      <c r="E13" s="85" t="str">
        <f t="shared" ca="1" si="0"/>
        <v>Pass</v>
      </c>
      <c r="F13" s="86" t="str">
        <f t="shared" ca="1" si="22"/>
        <v>C</v>
      </c>
      <c r="G13" s="85">
        <v>3</v>
      </c>
      <c r="H13" s="82">
        <f t="shared" ca="1" si="2"/>
        <v>7</v>
      </c>
      <c r="I13" s="80">
        <f t="shared" ca="1" si="3"/>
        <v>21</v>
      </c>
      <c r="J13" s="112" t="str">
        <f ca="1">IFERROR(__xludf.DUMMYFUNCTION("IFERROR(VLOOKUP(B13,{(IMPORTRANGE(""https://docs.google.com/spreadsheets/d/1IgGENpYbL2rI7gfQAXyk9JS3FgAuuh8Wul__oPf-faY/edit#gid=139233849"",""PEV all barnches!A1:E200""))},4,FALSE),"" "")"),"Cloud Computing")</f>
        <v>Cloud Computing</v>
      </c>
      <c r="K13" s="85">
        <f ca="1">IFERROR(__xludf.DUMMYFUNCTION("IFERROR(VLOOKUP(B13,{(IMPORTRANGE(""https://docs.google.com/spreadsheets/d/1IgGENpYbL2rI7gfQAXyk9JS3FgAuuh8Wul__oPf-faY/edit#gid=139233849"",""PEV all barnches!A1:E200""))},5,FALSE),"" "")"),75)</f>
        <v>75</v>
      </c>
      <c r="L13" s="85" t="str">
        <f t="shared" ca="1" si="4"/>
        <v>Pass</v>
      </c>
      <c r="M13" s="86" t="str">
        <f t="shared" ca="1" si="23"/>
        <v>A</v>
      </c>
      <c r="N13" s="85">
        <v>3</v>
      </c>
      <c r="O13" s="82">
        <f t="shared" ca="1" si="6"/>
        <v>9</v>
      </c>
      <c r="P13" s="80">
        <f t="shared" ca="1" si="7"/>
        <v>27</v>
      </c>
      <c r="Q13" s="113" t="s">
        <v>45</v>
      </c>
      <c r="R13" s="108">
        <v>40</v>
      </c>
      <c r="S13" s="108"/>
      <c r="T13" s="109" t="s">
        <v>46</v>
      </c>
      <c r="U13" s="108">
        <v>3</v>
      </c>
      <c r="V13" s="110">
        <f t="shared" si="10"/>
        <v>4</v>
      </c>
      <c r="W13" s="111">
        <f t="shared" si="11"/>
        <v>12</v>
      </c>
      <c r="X13" s="85">
        <v>89</v>
      </c>
      <c r="Y13" s="85" t="str">
        <f t="shared" si="12"/>
        <v>Pass</v>
      </c>
      <c r="Z13" s="86" t="str">
        <f t="shared" si="13"/>
        <v>O</v>
      </c>
      <c r="AA13" s="87">
        <v>6</v>
      </c>
      <c r="AB13" s="82">
        <f t="shared" si="14"/>
        <v>10</v>
      </c>
      <c r="AC13" s="80">
        <f t="shared" si="15"/>
        <v>60</v>
      </c>
      <c r="AD13" s="87">
        <f ca="1">IFERROR(__xludf.DUMMYFUNCTION("(VLOOKUP(B13,{(IMPORTRANGE(""https://docs.google.com/spreadsheets/d/1bhPzFUTLMV7e35kNXQBjHBx0hnSRtnD8lSPi2nGpa7Y/edit#gid=1774387053"",""BE EXTC!B11:E91""))},4,FALSE))"),78)</f>
        <v>78</v>
      </c>
      <c r="AE13" s="87"/>
      <c r="AF13" s="86" t="str">
        <f t="shared" ca="1" si="16"/>
        <v>A</v>
      </c>
      <c r="AG13" s="87">
        <v>1</v>
      </c>
      <c r="AH13" s="82">
        <f t="shared" ca="1" si="17"/>
        <v>9</v>
      </c>
      <c r="AI13" s="80">
        <f t="shared" ca="1" si="18"/>
        <v>9</v>
      </c>
      <c r="AJ13" s="87">
        <v>16</v>
      </c>
      <c r="AK13" s="87">
        <f t="shared" si="19"/>
        <v>16</v>
      </c>
      <c r="AL13" s="87">
        <f t="shared" ca="1" si="20"/>
        <v>129</v>
      </c>
      <c r="AM13" s="81">
        <f t="shared" ca="1" si="21"/>
        <v>8.0625</v>
      </c>
      <c r="AN13" s="80" t="s">
        <v>35</v>
      </c>
      <c r="AO13" s="81">
        <f t="array" ref="AO13">VLOOKUP(B13,cgpi!$A$8:$K992,2,FALSE)</f>
        <v>8.35</v>
      </c>
      <c r="AP13" s="89">
        <f t="array" ref="AP13">VLOOKUP(B13,cgpi!$A$8:$K992,3,FALSE)</f>
        <v>8.9499999999999993</v>
      </c>
      <c r="AQ13" s="89">
        <f t="array" ref="AQ13">VLOOKUP(B13,cgpi!$A$8:$K992,4,FALSE)</f>
        <v>9.43</v>
      </c>
      <c r="AR13" s="89">
        <f t="array" ref="AR13">VLOOKUP(B13,cgpi!$A$8:$K992,5,FALSE)</f>
        <v>8.7899999999999991</v>
      </c>
      <c r="AS13" s="89">
        <f t="array" ref="AS13">VLOOKUP(B13,cgpi!$A$8:$K992,6,FALSE)</f>
        <v>9.0500000000000007</v>
      </c>
      <c r="AT13" s="89">
        <f t="array" ref="AT13">VLOOKUP(B13,cgpi!$A$8:$K992,7,FALSE)</f>
        <v>9.2899999999999991</v>
      </c>
      <c r="AU13" s="89">
        <f t="array" ref="AU13">VLOOKUP(B13,cgpi!$A$8:$K992,8,FALSE)</f>
        <v>7.38</v>
      </c>
      <c r="AV13" s="89">
        <f t="array" ref="AV13">VLOOKUP(B13,cgpi!$A$8:$K992,9,FALSE)</f>
        <v>8.06</v>
      </c>
      <c r="AW13" s="89">
        <f t="array" ref="AW13">VLOOKUP(B13,cgpi!$A$8:$K992,10,FALSE)</f>
        <v>8.7200000000000006</v>
      </c>
      <c r="AX13" s="89">
        <f t="array" ref="AX13">VLOOKUP(B13,cgpi!$A$8:$K992,11,FALSE)</f>
        <v>7.72</v>
      </c>
    </row>
    <row r="14" spans="1:64" ht="45" customHeight="1">
      <c r="A14" s="49">
        <v>8</v>
      </c>
      <c r="B14" s="50">
        <v>2019120015</v>
      </c>
      <c r="C14" s="51" t="str">
        <f t="array" ref="C14">VLOOKUP(B14,studentnames!$A$6:$B992,2,FALSE)</f>
        <v>/ CHOUDHARY SHWETA GANESH PRIYA</v>
      </c>
      <c r="D14" s="84">
        <f ca="1">IFERROR(__xludf.DUMMYFUNCTION("(VLOOKUP(B14,{(IMPORTRANGE(""https://docs.google.com/spreadsheets/d/1IgGENpYbL2rI7gfQAXyk9JS3FgAuuh8Wul__oPf-faY/edit#gid=838365050"",""BE-OESall branches!J1:K350""))},2,FALSE))"),50)</f>
        <v>50</v>
      </c>
      <c r="E14" s="85" t="str">
        <f t="shared" ca="1" si="0"/>
        <v>Pass</v>
      </c>
      <c r="F14" s="86" t="str">
        <f t="shared" ca="1" si="22"/>
        <v>D</v>
      </c>
      <c r="G14" s="85">
        <v>3</v>
      </c>
      <c r="H14" s="82">
        <f t="shared" ca="1" si="2"/>
        <v>6</v>
      </c>
      <c r="I14" s="80">
        <f t="shared" ca="1" si="3"/>
        <v>18</v>
      </c>
      <c r="J14" s="112" t="str">
        <f ca="1">IFERROR(__xludf.DUMMYFUNCTION("IFERROR(VLOOKUP(B14,{(IMPORTRANGE(""https://docs.google.com/spreadsheets/d/1IgGENpYbL2rI7gfQAXyk9JS3FgAuuh8Wul__oPf-faY/edit#gid=139233849"",""PEV all barnches!A1:E200""))},4,FALSE),"" "")"),"	 Blockchain and its Applications")</f>
        <v xml:space="preserve">	 Blockchain and its Applications</v>
      </c>
      <c r="K14" s="85">
        <f ca="1">IFERROR(__xludf.DUMMYFUNCTION("IFERROR(VLOOKUP(B14,{(IMPORTRANGE(""https://docs.google.com/spreadsheets/d/1IgGENpYbL2rI7gfQAXyk9JS3FgAuuh8Wul__oPf-faY/edit#gid=139233849"",""PEV all barnches!A1:E200""))},5,FALSE),"" "")"),43)</f>
        <v>43</v>
      </c>
      <c r="L14" s="85" t="str">
        <f t="shared" ca="1" si="4"/>
        <v>Pass</v>
      </c>
      <c r="M14" s="86" t="str">
        <f t="shared" ca="1" si="23"/>
        <v>P</v>
      </c>
      <c r="N14" s="85">
        <v>3</v>
      </c>
      <c r="O14" s="82">
        <f t="shared" ca="1" si="6"/>
        <v>4</v>
      </c>
      <c r="P14" s="80">
        <f t="shared" ca="1" si="7"/>
        <v>12</v>
      </c>
      <c r="Q14" s="112" t="str">
        <f ca="1">IFERROR(__xludf.DUMMYFUNCTION("IFERROR(VLOOKUP(B14,{(IMPORTRANGE(""https://docs.google.com/spreadsheets/d/1IgGENpYbL2rI7gfQAXyk9JS3FgAuuh8Wul__oPf-faY/edit#gid=37342362"",""PE VI all branches!A1:E200""))},4,FALSE),"" "")"),"Cloud Computing")</f>
        <v>Cloud Computing</v>
      </c>
      <c r="R14" s="85">
        <f ca="1">IFERROR(__xludf.DUMMYFUNCTION("IFERROR(VLOOKUP(B14,{(IMPORTRANGE(""https://docs.google.com/spreadsheets/d/1IgGENpYbL2rI7gfQAXyk9JS3FgAuuh8Wul__oPf-faY/edit#gid=37342362"",""PE VI all branches!A1:E200""))},5,FALSE),"" "")"),63)</f>
        <v>63</v>
      </c>
      <c r="S14" s="85"/>
      <c r="T14" s="86" t="str">
        <f t="shared" ref="T14:T17" ca="1" si="25">IF(R14&gt;=80,"O",IF(R14&gt;=75,"A",IF(R14&gt;=70,"B",IF(R14&gt;=60,"C",IF(R14&gt;=50,"D", IF(R14&gt;=45,"E",IF(R14&gt;=40,"P","F")))))))</f>
        <v>C</v>
      </c>
      <c r="U14" s="85">
        <v>3</v>
      </c>
      <c r="V14" s="82">
        <f t="shared" ca="1" si="10"/>
        <v>7</v>
      </c>
      <c r="W14" s="80">
        <f t="shared" ca="1" si="11"/>
        <v>21</v>
      </c>
      <c r="X14" s="85">
        <v>83</v>
      </c>
      <c r="Y14" s="85" t="str">
        <f t="shared" si="12"/>
        <v>Pass</v>
      </c>
      <c r="Z14" s="86" t="str">
        <f t="shared" si="13"/>
        <v>O</v>
      </c>
      <c r="AA14" s="87">
        <v>6</v>
      </c>
      <c r="AB14" s="82">
        <f t="shared" si="14"/>
        <v>10</v>
      </c>
      <c r="AC14" s="80">
        <f t="shared" si="15"/>
        <v>60</v>
      </c>
      <c r="AD14" s="87">
        <f ca="1">IFERROR(__xludf.DUMMYFUNCTION("(VLOOKUP(B14,{(IMPORTRANGE(""https://docs.google.com/spreadsheets/d/1bhPzFUTLMV7e35kNXQBjHBx0hnSRtnD8lSPi2nGpa7Y/edit#gid=1774387053"",""BE EXTC!B11:E91""))},4,FALSE))"),83)</f>
        <v>83</v>
      </c>
      <c r="AE14" s="87"/>
      <c r="AF14" s="86" t="str">
        <f t="shared" ca="1" si="16"/>
        <v>O</v>
      </c>
      <c r="AG14" s="87">
        <v>1</v>
      </c>
      <c r="AH14" s="82">
        <f t="shared" ca="1" si="17"/>
        <v>10</v>
      </c>
      <c r="AI14" s="80">
        <f t="shared" ca="1" si="18"/>
        <v>10</v>
      </c>
      <c r="AJ14" s="87">
        <v>16</v>
      </c>
      <c r="AK14" s="87">
        <f t="shared" si="19"/>
        <v>16</v>
      </c>
      <c r="AL14" s="87">
        <f t="shared" ca="1" si="20"/>
        <v>121</v>
      </c>
      <c r="AM14" s="81">
        <f t="shared" ca="1" si="21"/>
        <v>7.5625</v>
      </c>
      <c r="AN14" s="80" t="s">
        <v>35</v>
      </c>
      <c r="AO14" s="81">
        <f t="array" ref="AO14">VLOOKUP(B14,cgpi!$A$8:$K992,2,FALSE)</f>
        <v>8.1999999999999993</v>
      </c>
      <c r="AP14" s="89">
        <f t="array" ref="AP14">VLOOKUP(B14,cgpi!$A$8:$K992,3,FALSE)</f>
        <v>8.75</v>
      </c>
      <c r="AQ14" s="89">
        <f t="array" ref="AQ14">VLOOKUP(B14,cgpi!$A$8:$K992,4,FALSE)</f>
        <v>9.33</v>
      </c>
      <c r="AR14" s="89">
        <f t="array" ref="AR14">VLOOKUP(B14,cgpi!$A$8:$K992,5,FALSE)</f>
        <v>8.7899999999999991</v>
      </c>
      <c r="AS14" s="89">
        <f t="array" ref="AS14">VLOOKUP(B14,cgpi!$A$8:$K992,6,FALSE)</f>
        <v>8.67</v>
      </c>
      <c r="AT14" s="89">
        <f t="array" ref="AT14">VLOOKUP(B14,cgpi!$A$8:$K992,7,FALSE)</f>
        <v>9.43</v>
      </c>
      <c r="AU14" s="89">
        <f t="array" ref="AU14">VLOOKUP(B14,cgpi!$A$8:$K992,8,FALSE)</f>
        <v>7.94</v>
      </c>
      <c r="AV14" s="89">
        <f t="array" ref="AV14">VLOOKUP(B14,cgpi!$A$8:$K992,9,FALSE)</f>
        <v>7.56</v>
      </c>
      <c r="AW14" s="89">
        <f t="array" ref="AW14">VLOOKUP(B14,cgpi!$A$8:$K992,10,FALSE)</f>
        <v>8.64</v>
      </c>
      <c r="AX14" s="89">
        <f t="array" ref="AX14">VLOOKUP(B14,cgpi!$A$8:$K992,11,FALSE)</f>
        <v>7.75</v>
      </c>
    </row>
    <row r="15" spans="1:64" ht="45" customHeight="1">
      <c r="A15" s="98">
        <v>9</v>
      </c>
      <c r="B15" s="50">
        <v>2019120017</v>
      </c>
      <c r="C15" s="51" t="str">
        <f t="array" ref="C15">VLOOKUP(B15,studentnames!$A$6:$B992,2,FALSE)</f>
        <v>DAMANI JAI VIPUL SHEELA</v>
      </c>
      <c r="D15" s="84">
        <f ca="1">IFERROR(__xludf.DUMMYFUNCTION("(VLOOKUP(B15,{(IMPORTRANGE(""https://docs.google.com/spreadsheets/d/1IgGENpYbL2rI7gfQAXyk9JS3FgAuuh8Wul__oPf-faY/edit#gid=838365050"",""BE-OESall branches!J1:K350""))},2,FALSE))"),81)</f>
        <v>81</v>
      </c>
      <c r="E15" s="85" t="str">
        <f t="shared" ca="1" si="0"/>
        <v>Pass</v>
      </c>
      <c r="F15" s="86" t="str">
        <f t="shared" ca="1" si="22"/>
        <v>O</v>
      </c>
      <c r="G15" s="85">
        <v>3</v>
      </c>
      <c r="H15" s="82">
        <f t="shared" ca="1" si="2"/>
        <v>10</v>
      </c>
      <c r="I15" s="80">
        <f t="shared" ca="1" si="3"/>
        <v>30</v>
      </c>
      <c r="J15" s="112" t="str">
        <f ca="1">IFERROR(__xludf.DUMMYFUNCTION("IFERROR(VLOOKUP(B15,{(IMPORTRANGE(""https://docs.google.com/spreadsheets/d/1IgGENpYbL2rI7gfQAXyk9JS3FgAuuh8Wul__oPf-faY/edit#gid=139233849"",""PEV all barnches!A1:E200""))},4,FALSE),"" "")"),"Introduction To Internet Of Things	")</f>
        <v xml:space="preserve">Introduction To Internet Of Things	</v>
      </c>
      <c r="K15" s="85">
        <f ca="1">IFERROR(__xludf.DUMMYFUNCTION("IFERROR(VLOOKUP(B15,{(IMPORTRANGE(""https://docs.google.com/spreadsheets/d/1IgGENpYbL2rI7gfQAXyk9JS3FgAuuh8Wul__oPf-faY/edit#gid=139233849"",""PEV all barnches!A1:E200""))},5,FALSE),"" "")"),81)</f>
        <v>81</v>
      </c>
      <c r="L15" s="85" t="str">
        <f t="shared" ca="1" si="4"/>
        <v>Pass</v>
      </c>
      <c r="M15" s="86" t="str">
        <f t="shared" ca="1" si="23"/>
        <v>O</v>
      </c>
      <c r="N15" s="85">
        <v>3</v>
      </c>
      <c r="O15" s="82">
        <f t="shared" ca="1" si="6"/>
        <v>10</v>
      </c>
      <c r="P15" s="80">
        <f t="shared" ca="1" si="7"/>
        <v>30</v>
      </c>
      <c r="Q15" s="112" t="str">
        <f ca="1">IFERROR(__xludf.DUMMYFUNCTION("IFERROR(VLOOKUP(B15,{(IMPORTRANGE(""https://docs.google.com/spreadsheets/d/1IgGENpYbL2rI7gfQAXyk9JS3FgAuuh8Wul__oPf-faY/edit#gid=37342362"",""PE VI all branches!A1:E200""))},4,FALSE),"" "")"),"Cloud Computing ")</f>
        <v xml:space="preserve">Cloud Computing </v>
      </c>
      <c r="R15" s="85">
        <f ca="1">IFERROR(__xludf.DUMMYFUNCTION("IFERROR(VLOOKUP(B15,{(IMPORTRANGE(""https://docs.google.com/spreadsheets/d/1IgGENpYbL2rI7gfQAXyk9JS3FgAuuh8Wul__oPf-faY/edit#gid=37342362"",""PE VI all branches!A1:E200""))},5,FALSE),"" "")"),75)</f>
        <v>75</v>
      </c>
      <c r="S15" s="85" t="str">
        <f t="shared" ref="S15:S17" ca="1" si="26">IF((R15&gt;=40),"Pass","Fail")</f>
        <v>Pass</v>
      </c>
      <c r="T15" s="86" t="str">
        <f t="shared" ca="1" si="25"/>
        <v>A</v>
      </c>
      <c r="U15" s="85">
        <v>3</v>
      </c>
      <c r="V15" s="82">
        <f t="shared" ca="1" si="10"/>
        <v>9</v>
      </c>
      <c r="W15" s="80">
        <f t="shared" ca="1" si="11"/>
        <v>27</v>
      </c>
      <c r="X15" s="85">
        <v>85</v>
      </c>
      <c r="Y15" s="85" t="str">
        <f t="shared" si="12"/>
        <v>Pass</v>
      </c>
      <c r="Z15" s="86" t="str">
        <f t="shared" si="13"/>
        <v>O</v>
      </c>
      <c r="AA15" s="87">
        <v>6</v>
      </c>
      <c r="AB15" s="82">
        <f t="shared" si="14"/>
        <v>10</v>
      </c>
      <c r="AC15" s="80">
        <f t="shared" si="15"/>
        <v>60</v>
      </c>
      <c r="AD15" s="87">
        <f ca="1">IFERROR(__xludf.DUMMYFUNCTION("(VLOOKUP(B15,{(IMPORTRANGE(""https://docs.google.com/spreadsheets/d/1bhPzFUTLMV7e35kNXQBjHBx0hnSRtnD8lSPi2nGpa7Y/edit#gid=1774387053"",""BE EXTC!B11:E91""))},4,FALSE))"),89)</f>
        <v>89</v>
      </c>
      <c r="AE15" s="87"/>
      <c r="AF15" s="86" t="str">
        <f t="shared" ca="1" si="16"/>
        <v>O</v>
      </c>
      <c r="AG15" s="87">
        <v>1</v>
      </c>
      <c r="AH15" s="82">
        <f t="shared" ca="1" si="17"/>
        <v>10</v>
      </c>
      <c r="AI15" s="80">
        <f t="shared" ca="1" si="18"/>
        <v>10</v>
      </c>
      <c r="AJ15" s="87">
        <v>16</v>
      </c>
      <c r="AK15" s="87">
        <f t="shared" si="19"/>
        <v>16</v>
      </c>
      <c r="AL15" s="87">
        <f t="shared" ca="1" si="20"/>
        <v>157</v>
      </c>
      <c r="AM15" s="81">
        <f t="shared" ca="1" si="21"/>
        <v>9.8125</v>
      </c>
      <c r="AN15" s="80" t="s">
        <v>35</v>
      </c>
      <c r="AO15" s="81">
        <f t="array" ref="AO15">VLOOKUP(B15,cgpi!$A$8:$K992,2,FALSE)</f>
        <v>7.4</v>
      </c>
      <c r="AP15" s="89">
        <f t="array" ref="AP15">VLOOKUP(B15,cgpi!$A$8:$K992,3,FALSE)</f>
        <v>8.75</v>
      </c>
      <c r="AQ15" s="89">
        <f t="array" ref="AQ15">VLOOKUP(B15,cgpi!$A$8:$K992,4,FALSE)</f>
        <v>9.6199999999999992</v>
      </c>
      <c r="AR15" s="89">
        <f t="array" ref="AR15">VLOOKUP(B15,cgpi!$A$8:$K992,5,FALSE)</f>
        <v>8.4700000000000006</v>
      </c>
      <c r="AS15" s="89">
        <f t="array" ref="AS15">VLOOKUP(B15,cgpi!$A$8:$K992,6,FALSE)</f>
        <v>8.76</v>
      </c>
      <c r="AT15" s="89">
        <f t="array" ref="AT15">VLOOKUP(B15,cgpi!$A$8:$K992,7,FALSE)</f>
        <v>9.57</v>
      </c>
      <c r="AU15" s="89">
        <f t="array" ref="AU15">VLOOKUP(B15,cgpi!$A$8:$K992,8,FALSE)</f>
        <v>8.44</v>
      </c>
      <c r="AV15" s="89">
        <f t="array" ref="AV15">VLOOKUP(B15,cgpi!$A$8:$K992,9,FALSE)</f>
        <v>9.81</v>
      </c>
      <c r="AW15" s="89">
        <f t="array" ref="AW15">VLOOKUP(B15,cgpi!$A$8:$K992,10,FALSE)</f>
        <v>8.85</v>
      </c>
      <c r="AX15" s="89">
        <f t="array" ref="AX15">VLOOKUP(B15,cgpi!$A$8:$K992,11,FALSE)</f>
        <v>9.1300000000000008</v>
      </c>
    </row>
    <row r="16" spans="1:64" ht="45" customHeight="1">
      <c r="A16" s="49">
        <v>10</v>
      </c>
      <c r="B16" s="50">
        <v>2019120018</v>
      </c>
      <c r="C16" s="51" t="str">
        <f t="array" ref="C16">VLOOKUP(B16,studentnames!$A$6:$B992,2,FALSE)</f>
        <v>/ DASGUPTA ANUPRIYA SUBHANKAR CHANDRANI</v>
      </c>
      <c r="D16" s="84">
        <f ca="1">IFERROR(__xludf.DUMMYFUNCTION("(VLOOKUP(B16,{(IMPORTRANGE(""https://docs.google.com/spreadsheets/d/1IgGENpYbL2rI7gfQAXyk9JS3FgAuuh8Wul__oPf-faY/edit#gid=838365050"",""BE-OESall branches!J1:K350""))},2,FALSE))"),70)</f>
        <v>70</v>
      </c>
      <c r="E16" s="85" t="str">
        <f t="shared" ca="1" si="0"/>
        <v>Pass</v>
      </c>
      <c r="F16" s="86" t="str">
        <f t="shared" ca="1" si="22"/>
        <v>B</v>
      </c>
      <c r="G16" s="85">
        <v>3</v>
      </c>
      <c r="H16" s="82">
        <f t="shared" ca="1" si="2"/>
        <v>8</v>
      </c>
      <c r="I16" s="80">
        <f t="shared" ca="1" si="3"/>
        <v>24</v>
      </c>
      <c r="J16" s="112" t="str">
        <f ca="1">IFERROR(__xludf.DUMMYFUNCTION("IFERROR(VLOOKUP(B16,{(IMPORTRANGE(""https://docs.google.com/spreadsheets/d/1IgGENpYbL2rI7gfQAXyk9JS3FgAuuh8Wul__oPf-faY/edit#gid=139233849"",""PEV all barnches!A1:E200""))},4,FALSE),"" "")"),"Cloud Computing")</f>
        <v>Cloud Computing</v>
      </c>
      <c r="K16" s="85">
        <f ca="1">IFERROR(__xludf.DUMMYFUNCTION("IFERROR(VLOOKUP(B16,{(IMPORTRANGE(""https://docs.google.com/spreadsheets/d/1IgGENpYbL2rI7gfQAXyk9JS3FgAuuh8Wul__oPf-faY/edit#gid=139233849"",""PEV all barnches!A1:E200""))},5,FALSE),"" "")"),84)</f>
        <v>84</v>
      </c>
      <c r="L16" s="85" t="str">
        <f t="shared" ca="1" si="4"/>
        <v>Pass</v>
      </c>
      <c r="M16" s="86" t="str">
        <f t="shared" ca="1" si="23"/>
        <v>O</v>
      </c>
      <c r="N16" s="85">
        <v>3</v>
      </c>
      <c r="O16" s="82">
        <f t="shared" ca="1" si="6"/>
        <v>10</v>
      </c>
      <c r="P16" s="80">
        <f t="shared" ca="1" si="7"/>
        <v>30</v>
      </c>
      <c r="Q16" s="112" t="str">
        <f ca="1">IFERROR(__xludf.DUMMYFUNCTION("IFERROR(VLOOKUP(B16,{(IMPORTRANGE(""https://docs.google.com/spreadsheets/d/1IgGENpYbL2rI7gfQAXyk9JS3FgAuuh8Wul__oPf-faY/edit#gid=37342362"",""PE VI all branches!A1:E200""))},4,FALSE),"" "")"),"Introduction to Internet of Things")</f>
        <v>Introduction to Internet of Things</v>
      </c>
      <c r="R16" s="85">
        <f ca="1">IFERROR(__xludf.DUMMYFUNCTION("IFERROR(VLOOKUP(B16,{(IMPORTRANGE(""https://docs.google.com/spreadsheets/d/1IgGENpYbL2rI7gfQAXyk9JS3FgAuuh8Wul__oPf-faY/edit#gid=37342362"",""PE VI all branches!A1:E200""))},5,FALSE),"" "")"),85)</f>
        <v>85</v>
      </c>
      <c r="S16" s="85" t="str">
        <f t="shared" ca="1" si="26"/>
        <v>Pass</v>
      </c>
      <c r="T16" s="86" t="str">
        <f t="shared" ca="1" si="25"/>
        <v>O</v>
      </c>
      <c r="U16" s="85">
        <v>3</v>
      </c>
      <c r="V16" s="82">
        <f t="shared" ca="1" si="10"/>
        <v>10</v>
      </c>
      <c r="W16" s="80">
        <f t="shared" ca="1" si="11"/>
        <v>30</v>
      </c>
      <c r="X16" s="85">
        <v>89</v>
      </c>
      <c r="Y16" s="85" t="str">
        <f t="shared" si="12"/>
        <v>Pass</v>
      </c>
      <c r="Z16" s="86" t="str">
        <f t="shared" si="13"/>
        <v>O</v>
      </c>
      <c r="AA16" s="87">
        <v>6</v>
      </c>
      <c r="AB16" s="82">
        <f t="shared" si="14"/>
        <v>10</v>
      </c>
      <c r="AC16" s="80">
        <f t="shared" si="15"/>
        <v>60</v>
      </c>
      <c r="AD16" s="87">
        <f ca="1">IFERROR(__xludf.DUMMYFUNCTION("(VLOOKUP(B16,{(IMPORTRANGE(""https://docs.google.com/spreadsheets/d/1bhPzFUTLMV7e35kNXQBjHBx0hnSRtnD8lSPi2nGpa7Y/edit#gid=1774387053"",""BE EXTC!B11:E91""))},4,FALSE))"),95)</f>
        <v>95</v>
      </c>
      <c r="AE16" s="87"/>
      <c r="AF16" s="86" t="str">
        <f t="shared" ca="1" si="16"/>
        <v>O</v>
      </c>
      <c r="AG16" s="87">
        <v>1</v>
      </c>
      <c r="AH16" s="82">
        <f t="shared" ca="1" si="17"/>
        <v>10</v>
      </c>
      <c r="AI16" s="80">
        <f t="shared" ca="1" si="18"/>
        <v>10</v>
      </c>
      <c r="AJ16" s="87">
        <v>16</v>
      </c>
      <c r="AK16" s="87">
        <f t="shared" si="19"/>
        <v>16</v>
      </c>
      <c r="AL16" s="87">
        <f t="shared" ca="1" si="20"/>
        <v>154</v>
      </c>
      <c r="AM16" s="81">
        <f t="shared" ca="1" si="21"/>
        <v>9.625</v>
      </c>
      <c r="AN16" s="80" t="s">
        <v>35</v>
      </c>
      <c r="AO16" s="81">
        <f t="array" ref="AO16">VLOOKUP(B16,cgpi!$A$8:$K992,2,FALSE)</f>
        <v>9.75</v>
      </c>
      <c r="AP16" s="89">
        <f t="array" ref="AP16">VLOOKUP(B16,cgpi!$A$8:$K992,3,FALSE)</f>
        <v>9.6999999999999993</v>
      </c>
      <c r="AQ16" s="89">
        <f t="array" ref="AQ16">VLOOKUP(B16,cgpi!$A$8:$K992,4,FALSE)</f>
        <v>10</v>
      </c>
      <c r="AR16" s="89">
        <f t="array" ref="AR16">VLOOKUP(B16,cgpi!$A$8:$K992,5,FALSE)</f>
        <v>8.84</v>
      </c>
      <c r="AS16" s="89">
        <f t="array" ref="AS16">VLOOKUP(B16,cgpi!$A$8:$K992,6,FALSE)</f>
        <v>9.81</v>
      </c>
      <c r="AT16" s="89">
        <f t="array" ref="AT16">VLOOKUP(B16,cgpi!$A$8:$K992,7,FALSE)</f>
        <v>9.86</v>
      </c>
      <c r="AU16" s="89">
        <f t="array" ref="AU16">VLOOKUP(B16,cgpi!$A$8:$K992,8,FALSE)</f>
        <v>10</v>
      </c>
      <c r="AV16" s="89">
        <f t="array" ref="AV16">VLOOKUP(B16,cgpi!$A$8:$K992,9,FALSE)</f>
        <v>9.6300000000000008</v>
      </c>
      <c r="AW16" s="89">
        <f t="array" ref="AW16">VLOOKUP(B16,cgpi!$A$8:$K992,10,FALSE)</f>
        <v>9.6999999999999993</v>
      </c>
      <c r="AX16" s="89">
        <f t="array" ref="AX16">VLOOKUP(B16,cgpi!$A$8:$K992,11,FALSE)</f>
        <v>9.81</v>
      </c>
    </row>
    <row r="17" spans="1:50" ht="45" customHeight="1">
      <c r="A17" s="98">
        <v>11</v>
      </c>
      <c r="B17" s="50">
        <v>2019120020</v>
      </c>
      <c r="C17" s="51" t="str">
        <f t="array" ref="C17">VLOOKUP(B17,studentnames!$A$6:$B992,2,FALSE)</f>
        <v>DSOUZA DYLAN OSWALD JENNIFER</v>
      </c>
      <c r="D17" s="84">
        <f ca="1">IFERROR(__xludf.DUMMYFUNCTION("(VLOOKUP(B17,{(IMPORTRANGE(""https://docs.google.com/spreadsheets/d/1IgGENpYbL2rI7gfQAXyk9JS3FgAuuh8Wul__oPf-faY/edit#gid=838365050"",""BE-OESall branches!J1:K350""))},2,FALSE))"),66)</f>
        <v>66</v>
      </c>
      <c r="E17" s="85" t="str">
        <f t="shared" ca="1" si="0"/>
        <v>Pass</v>
      </c>
      <c r="F17" s="86" t="str">
        <f t="shared" ca="1" si="22"/>
        <v>C</v>
      </c>
      <c r="G17" s="85">
        <v>3</v>
      </c>
      <c r="H17" s="82">
        <f t="shared" ca="1" si="2"/>
        <v>7</v>
      </c>
      <c r="I17" s="80">
        <f t="shared" ca="1" si="3"/>
        <v>21</v>
      </c>
      <c r="J17" s="112" t="str">
        <f ca="1">IFERROR(__xludf.DUMMYFUNCTION("IFERROR(VLOOKUP(B17,{(IMPORTRANGE(""https://docs.google.com/spreadsheets/d/1IgGENpYbL2rI7gfQAXyk9JS3FgAuuh8Wul__oPf-faY/edit#gid=139233849"",""PEV all barnches!A1:E200""))},4,FALSE),"" "")"),"Cloud Computing")</f>
        <v>Cloud Computing</v>
      </c>
      <c r="K17" s="85">
        <f ca="1">IFERROR(__xludf.DUMMYFUNCTION("IFERROR(VLOOKUP(B17,{(IMPORTRANGE(""https://docs.google.com/spreadsheets/d/1IgGENpYbL2rI7gfQAXyk9JS3FgAuuh8Wul__oPf-faY/edit#gid=139233849"",""PEV all barnches!A1:E200""))},5,FALSE),"" "")"),80)</f>
        <v>80</v>
      </c>
      <c r="L17" s="85" t="str">
        <f t="shared" ca="1" si="4"/>
        <v>Pass</v>
      </c>
      <c r="M17" s="86" t="str">
        <f t="shared" ca="1" si="23"/>
        <v>O</v>
      </c>
      <c r="N17" s="85">
        <v>3</v>
      </c>
      <c r="O17" s="82">
        <f t="shared" ca="1" si="6"/>
        <v>10</v>
      </c>
      <c r="P17" s="80">
        <f t="shared" ca="1" si="7"/>
        <v>30</v>
      </c>
      <c r="Q17" s="112" t="str">
        <f ca="1">IFERROR(__xludf.DUMMYFUNCTION("IFERROR(VLOOKUP(B17,{(IMPORTRANGE(""https://docs.google.com/spreadsheets/d/1IgGENpYbL2rI7gfQAXyk9JS3FgAuuh8Wul__oPf-faY/edit#gid=37342362"",""PE VI all branches!A1:E200""))},4,FALSE),"" "")"),"Introduction to Internet of Things")</f>
        <v>Introduction to Internet of Things</v>
      </c>
      <c r="R17" s="85">
        <f ca="1">IFERROR(__xludf.DUMMYFUNCTION("IFERROR(VLOOKUP(B17,{(IMPORTRANGE(""https://docs.google.com/spreadsheets/d/1IgGENpYbL2rI7gfQAXyk9JS3FgAuuh8Wul__oPf-faY/edit#gid=37342362"",""PE VI all branches!A1:E200""))},5,FALSE),"" "")"),69)</f>
        <v>69</v>
      </c>
      <c r="S17" s="85" t="str">
        <f t="shared" ca="1" si="26"/>
        <v>Pass</v>
      </c>
      <c r="T17" s="86" t="str">
        <f t="shared" ca="1" si="25"/>
        <v>C</v>
      </c>
      <c r="U17" s="85">
        <v>3</v>
      </c>
      <c r="V17" s="82">
        <f t="shared" ca="1" si="10"/>
        <v>7</v>
      </c>
      <c r="W17" s="80">
        <f t="shared" ca="1" si="11"/>
        <v>21</v>
      </c>
      <c r="X17" s="85">
        <v>85</v>
      </c>
      <c r="Y17" s="85" t="str">
        <f t="shared" si="12"/>
        <v>Pass</v>
      </c>
      <c r="Z17" s="86" t="str">
        <f t="shared" si="13"/>
        <v>O</v>
      </c>
      <c r="AA17" s="87">
        <v>6</v>
      </c>
      <c r="AB17" s="82">
        <f t="shared" si="14"/>
        <v>10</v>
      </c>
      <c r="AC17" s="80">
        <f t="shared" si="15"/>
        <v>60</v>
      </c>
      <c r="AD17" s="87">
        <f ca="1">IFERROR(__xludf.DUMMYFUNCTION("(VLOOKUP(B17,{(IMPORTRANGE(""https://docs.google.com/spreadsheets/d/1bhPzFUTLMV7e35kNXQBjHBx0hnSRtnD8lSPi2nGpa7Y/edit#gid=1774387053"",""BE EXTC!B11:E91""))},4,FALSE))"),89)</f>
        <v>89</v>
      </c>
      <c r="AE17" s="87"/>
      <c r="AF17" s="86" t="str">
        <f t="shared" ca="1" si="16"/>
        <v>O</v>
      </c>
      <c r="AG17" s="87">
        <v>1</v>
      </c>
      <c r="AH17" s="82">
        <f t="shared" ca="1" si="17"/>
        <v>10</v>
      </c>
      <c r="AI17" s="80">
        <f t="shared" ca="1" si="18"/>
        <v>10</v>
      </c>
      <c r="AJ17" s="87">
        <v>16</v>
      </c>
      <c r="AK17" s="87">
        <f t="shared" si="19"/>
        <v>16</v>
      </c>
      <c r="AL17" s="87">
        <f t="shared" ca="1" si="20"/>
        <v>142</v>
      </c>
      <c r="AM17" s="81">
        <f t="shared" ca="1" si="21"/>
        <v>8.875</v>
      </c>
      <c r="AN17" s="80" t="s">
        <v>35</v>
      </c>
      <c r="AO17" s="81">
        <f t="array" ref="AO17">VLOOKUP(B17,cgpi!$A$8:$K992,2,FALSE)</f>
        <v>7.25</v>
      </c>
      <c r="AP17" s="89">
        <f t="array" ref="AP17">VLOOKUP(B17,cgpi!$A$8:$K992,3,FALSE)</f>
        <v>8.15</v>
      </c>
      <c r="AQ17" s="89">
        <f t="array" ref="AQ17">VLOOKUP(B17,cgpi!$A$8:$K992,4,FALSE)</f>
        <v>9.6199999999999992</v>
      </c>
      <c r="AR17" s="89">
        <f t="array" ref="AR17">VLOOKUP(B17,cgpi!$A$8:$K992,5,FALSE)</f>
        <v>8.58</v>
      </c>
      <c r="AS17" s="89">
        <f t="array" ref="AS17">VLOOKUP(B17,cgpi!$A$8:$K992,6,FALSE)</f>
        <v>8.19</v>
      </c>
      <c r="AT17" s="89">
        <f t="array" ref="AT17">VLOOKUP(B17,cgpi!$A$8:$K992,7,FALSE)</f>
        <v>6.86</v>
      </c>
      <c r="AU17" s="89">
        <f t="array" ref="AU17">VLOOKUP(B17,cgpi!$A$8:$K992,8,FALSE)</f>
        <v>7.88</v>
      </c>
      <c r="AV17" s="89">
        <f t="array" ref="AV17">VLOOKUP(B17,cgpi!$A$8:$K992,9,FALSE)</f>
        <v>8.8800000000000008</v>
      </c>
      <c r="AW17" s="89">
        <f t="array" ref="AW17">VLOOKUP(B17,cgpi!$A$8:$K992,10,FALSE)</f>
        <v>8.16</v>
      </c>
      <c r="AX17" s="89">
        <f t="array" ref="AX17">VLOOKUP(B17,cgpi!$A$8:$K992,11,FALSE)</f>
        <v>8.3800000000000008</v>
      </c>
    </row>
    <row r="18" spans="1:50" ht="45" customHeight="1">
      <c r="A18" s="49">
        <v>12</v>
      </c>
      <c r="B18" s="50">
        <v>2019120021</v>
      </c>
      <c r="C18" s="51" t="str">
        <f t="array" ref="C18">VLOOKUP(B18,studentnames!$A$6:$B992,2,FALSE)</f>
        <v>EVRE SIDDHANT SANTOSH SAKSHI</v>
      </c>
      <c r="D18" s="84">
        <f ca="1">IFERROR(__xludf.DUMMYFUNCTION("(VLOOKUP(B18,{(IMPORTRANGE(""https://docs.google.com/spreadsheets/d/1IgGENpYbL2rI7gfQAXyk9JS3FgAuuh8Wul__oPf-faY/edit#gid=838365050"",""BE-OESall branches!J1:K350""))},2,FALSE))"),77)</f>
        <v>77</v>
      </c>
      <c r="E18" s="85" t="str">
        <f t="shared" ca="1" si="0"/>
        <v>Pass</v>
      </c>
      <c r="F18" s="86" t="str">
        <f t="shared" ca="1" si="22"/>
        <v>A</v>
      </c>
      <c r="G18" s="85">
        <v>3</v>
      </c>
      <c r="H18" s="82">
        <f t="shared" ca="1" si="2"/>
        <v>9</v>
      </c>
      <c r="I18" s="80">
        <f t="shared" ca="1" si="3"/>
        <v>27</v>
      </c>
      <c r="J18" s="112" t="str">
        <f ca="1">IFERROR(__xludf.DUMMYFUNCTION("IFERROR(VLOOKUP(B18,{(IMPORTRANGE(""https://docs.google.com/spreadsheets/d/1IgGENpYbL2rI7gfQAXyk9JS3FgAuuh8Wul__oPf-faY/edit#gid=139233849"",""PEV all barnches!A1:E200""))},4,FALSE),"" "")"),"Cloud computing")</f>
        <v>Cloud computing</v>
      </c>
      <c r="K18" s="85">
        <f ca="1">IFERROR(__xludf.DUMMYFUNCTION("IFERROR(VLOOKUP(B18,{(IMPORTRANGE(""https://docs.google.com/spreadsheets/d/1IgGENpYbL2rI7gfQAXyk9JS3FgAuuh8Wul__oPf-faY/edit#gid=139233849"",""PEV all barnches!A1:E200""))},5,FALSE),"" "")"),69)</f>
        <v>69</v>
      </c>
      <c r="L18" s="85" t="str">
        <f t="shared" ca="1" si="4"/>
        <v>Pass</v>
      </c>
      <c r="M18" s="86" t="str">
        <f t="shared" ca="1" si="23"/>
        <v>C</v>
      </c>
      <c r="N18" s="85">
        <v>3</v>
      </c>
      <c r="O18" s="82">
        <f t="shared" ca="1" si="6"/>
        <v>7</v>
      </c>
      <c r="P18" s="80">
        <f t="shared" ca="1" si="7"/>
        <v>21</v>
      </c>
      <c r="Q18" s="113" t="s">
        <v>47</v>
      </c>
      <c r="R18" s="108">
        <v>40</v>
      </c>
      <c r="S18" s="108"/>
      <c r="T18" s="109" t="s">
        <v>34</v>
      </c>
      <c r="U18" s="108">
        <v>3</v>
      </c>
      <c r="V18" s="110">
        <f t="shared" si="10"/>
        <v>6</v>
      </c>
      <c r="W18" s="111">
        <f t="shared" si="11"/>
        <v>18</v>
      </c>
      <c r="X18" s="85">
        <v>71</v>
      </c>
      <c r="Y18" s="85" t="str">
        <f t="shared" si="12"/>
        <v>Pass</v>
      </c>
      <c r="Z18" s="86" t="str">
        <f t="shared" si="13"/>
        <v>B</v>
      </c>
      <c r="AA18" s="87">
        <v>6</v>
      </c>
      <c r="AB18" s="82">
        <f t="shared" si="14"/>
        <v>8</v>
      </c>
      <c r="AC18" s="80">
        <f t="shared" si="15"/>
        <v>48</v>
      </c>
      <c r="AD18" s="87">
        <f ca="1">IFERROR(__xludf.DUMMYFUNCTION("(VLOOKUP(B18,{(IMPORTRANGE(""https://docs.google.com/spreadsheets/d/1bhPzFUTLMV7e35kNXQBjHBx0hnSRtnD8lSPi2nGpa7Y/edit#gid=1774387053"",""BE EXTC!B11:E91""))},4,FALSE))"),78)</f>
        <v>78</v>
      </c>
      <c r="AE18" s="87"/>
      <c r="AF18" s="86" t="str">
        <f t="shared" ca="1" si="16"/>
        <v>A</v>
      </c>
      <c r="AG18" s="87">
        <v>1</v>
      </c>
      <c r="AH18" s="82">
        <f t="shared" ca="1" si="17"/>
        <v>9</v>
      </c>
      <c r="AI18" s="80">
        <f t="shared" ca="1" si="18"/>
        <v>9</v>
      </c>
      <c r="AJ18" s="87">
        <v>16</v>
      </c>
      <c r="AK18" s="87">
        <f t="shared" si="19"/>
        <v>16</v>
      </c>
      <c r="AL18" s="87">
        <f t="shared" ca="1" si="20"/>
        <v>123</v>
      </c>
      <c r="AM18" s="81">
        <f t="shared" ca="1" si="21"/>
        <v>7.6875</v>
      </c>
      <c r="AN18" s="80" t="s">
        <v>35</v>
      </c>
      <c r="AO18" s="81">
        <f t="array" ref="AO18">VLOOKUP(B18,cgpi!$A$8:$K992,2,FALSE)</f>
        <v>6.55</v>
      </c>
      <c r="AP18" s="89">
        <f t="array" ref="AP18">VLOOKUP(B18,cgpi!$A$8:$K992,3,FALSE)</f>
        <v>6.5</v>
      </c>
      <c r="AQ18" s="89">
        <f t="array" ref="AQ18">VLOOKUP(B18,cgpi!$A$8:$K992,4,FALSE)</f>
        <v>9.81</v>
      </c>
      <c r="AR18" s="89">
        <f t="array" ref="AR18">VLOOKUP(B18,cgpi!$A$8:$K992,5,FALSE)</f>
        <v>8.89</v>
      </c>
      <c r="AS18" s="89">
        <f t="array" ref="AS18">VLOOKUP(B18,cgpi!$A$8:$K992,6,FALSE)</f>
        <v>8.76</v>
      </c>
      <c r="AT18" s="89">
        <f t="array" ref="AT18">VLOOKUP(B18,cgpi!$A$8:$K992,7,FALSE)</f>
        <v>9.2899999999999991</v>
      </c>
      <c r="AU18" s="89">
        <f t="array" ref="AU18">VLOOKUP(B18,cgpi!$A$8:$K992,8,FALSE)</f>
        <v>6.44</v>
      </c>
      <c r="AV18" s="89">
        <f t="array" ref="AV18">VLOOKUP(B18,cgpi!$A$8:$K992,9,FALSE)</f>
        <v>7.69</v>
      </c>
      <c r="AW18" s="89">
        <f t="array" ref="AW18">VLOOKUP(B18,cgpi!$A$8:$K992,10,FALSE)</f>
        <v>8.06</v>
      </c>
      <c r="AX18" s="89">
        <f t="array" ref="AX18">VLOOKUP(B18,cgpi!$A$8:$K992,11,FALSE)</f>
        <v>7.06</v>
      </c>
    </row>
    <row r="19" spans="1:50" ht="45" customHeight="1">
      <c r="A19" s="98">
        <v>13</v>
      </c>
      <c r="B19" s="50">
        <v>2019120022</v>
      </c>
      <c r="C19" s="51" t="str">
        <f t="array" ref="C19">VLOOKUP(B19,studentnames!$A$6:$B992,2,FALSE)</f>
        <v>/ GADGE SNEHAL ASHOK</v>
      </c>
      <c r="D19" s="84">
        <f ca="1">IFERROR(__xludf.DUMMYFUNCTION("(VLOOKUP(B19,{(IMPORTRANGE(""https://docs.google.com/spreadsheets/d/1IgGENpYbL2rI7gfQAXyk9JS3FgAuuh8Wul__oPf-faY/edit#gid=838365050"",""BE-OESall branches!J1:K350""))},2,FALSE))"),84)</f>
        <v>84</v>
      </c>
      <c r="E19" s="85" t="str">
        <f t="shared" ca="1" si="0"/>
        <v>Pass</v>
      </c>
      <c r="F19" s="86" t="str">
        <f t="shared" ca="1" si="22"/>
        <v>O</v>
      </c>
      <c r="G19" s="85">
        <v>3</v>
      </c>
      <c r="H19" s="82">
        <f t="shared" ca="1" si="2"/>
        <v>10</v>
      </c>
      <c r="I19" s="80">
        <f t="shared" ca="1" si="3"/>
        <v>30</v>
      </c>
      <c r="J19" s="112" t="str">
        <f ca="1">IFERROR(__xludf.DUMMYFUNCTION("IFERROR(VLOOKUP(B19,{(IMPORTRANGE(""https://docs.google.com/spreadsheets/d/1IgGENpYbL2rI7gfQAXyk9JS3FgAuuh8Wul__oPf-faY/edit#gid=139233849"",""PEV all barnches!A1:E200""))},4,FALSE),"" "")"),"Blockchain and its Applications")</f>
        <v>Blockchain and its Applications</v>
      </c>
      <c r="K19" s="85">
        <f ca="1">IFERROR(__xludf.DUMMYFUNCTION("IFERROR(VLOOKUP(B19,{(IMPORTRANGE(""https://docs.google.com/spreadsheets/d/1IgGENpYbL2rI7gfQAXyk9JS3FgAuuh8Wul__oPf-faY/edit#gid=139233849"",""PEV all barnches!A1:E200""))},5,FALSE),"" "")"),72)</f>
        <v>72</v>
      </c>
      <c r="L19" s="85" t="str">
        <f t="shared" ca="1" si="4"/>
        <v>Pass</v>
      </c>
      <c r="M19" s="86" t="str">
        <f t="shared" ca="1" si="23"/>
        <v>B</v>
      </c>
      <c r="N19" s="85">
        <v>3</v>
      </c>
      <c r="O19" s="82">
        <f t="shared" ca="1" si="6"/>
        <v>8</v>
      </c>
      <c r="P19" s="80">
        <f t="shared" ca="1" si="7"/>
        <v>24</v>
      </c>
      <c r="Q19" s="112" t="str">
        <f ca="1">IFERROR(__xludf.DUMMYFUNCTION("IFERROR(VLOOKUP(B19,{(IMPORTRANGE(""https://docs.google.com/spreadsheets/d/1IgGENpYbL2rI7gfQAXyk9JS3FgAuuh8Wul__oPf-faY/edit#gid=37342362"",""PE VI all branches!A1:E200""))},4,FALSE),"" "")"),"Introduction To Internet Of Things")</f>
        <v>Introduction To Internet Of Things</v>
      </c>
      <c r="R19" s="85">
        <f ca="1">IFERROR(__xludf.DUMMYFUNCTION("IFERROR(VLOOKUP(B19,{(IMPORTRANGE(""https://docs.google.com/spreadsheets/d/1IgGENpYbL2rI7gfQAXyk9JS3FgAuuh8Wul__oPf-faY/edit#gid=37342362"",""PE VI all branches!A1:E200""))},5,FALSE),"" "")"),85)</f>
        <v>85</v>
      </c>
      <c r="S19" s="85" t="str">
        <f t="shared" ref="S19:S20" ca="1" si="27">IF((R19&gt;=40),"Pass","Fail")</f>
        <v>Pass</v>
      </c>
      <c r="T19" s="86" t="str">
        <f t="shared" ref="T19:T36" ca="1" si="28">IF(R19&gt;=80,"O",IF(R19&gt;=75,"A",IF(R19&gt;=70,"B",IF(R19&gt;=60,"C",IF(R19&gt;=50,"D", IF(R19&gt;=45,"E",IF(R19&gt;=40,"P","F")))))))</f>
        <v>O</v>
      </c>
      <c r="U19" s="85">
        <v>3</v>
      </c>
      <c r="V19" s="82">
        <f t="shared" ca="1" si="10"/>
        <v>10</v>
      </c>
      <c r="W19" s="80">
        <f t="shared" ca="1" si="11"/>
        <v>30</v>
      </c>
      <c r="X19" s="85">
        <v>85</v>
      </c>
      <c r="Y19" s="85" t="str">
        <f t="shared" si="12"/>
        <v>Pass</v>
      </c>
      <c r="Z19" s="86" t="str">
        <f t="shared" si="13"/>
        <v>O</v>
      </c>
      <c r="AA19" s="87">
        <v>6</v>
      </c>
      <c r="AB19" s="82">
        <f t="shared" si="14"/>
        <v>10</v>
      </c>
      <c r="AC19" s="80">
        <f t="shared" si="15"/>
        <v>60</v>
      </c>
      <c r="AD19" s="87">
        <f ca="1">IFERROR(__xludf.DUMMYFUNCTION("(VLOOKUP(B19,{(IMPORTRANGE(""https://docs.google.com/spreadsheets/d/1bhPzFUTLMV7e35kNXQBjHBx0hnSRtnD8lSPi2nGpa7Y/edit#gid=1774387053"",""BE EXTC!B11:E91""))},4,FALSE))"),76)</f>
        <v>76</v>
      </c>
      <c r="AE19" s="87"/>
      <c r="AF19" s="86" t="str">
        <f t="shared" ca="1" si="16"/>
        <v>A</v>
      </c>
      <c r="AG19" s="87">
        <v>1</v>
      </c>
      <c r="AH19" s="82">
        <f t="shared" ca="1" si="17"/>
        <v>9</v>
      </c>
      <c r="AI19" s="80">
        <f t="shared" ca="1" si="18"/>
        <v>9</v>
      </c>
      <c r="AJ19" s="87">
        <v>16</v>
      </c>
      <c r="AK19" s="87">
        <f t="shared" si="19"/>
        <v>16</v>
      </c>
      <c r="AL19" s="87">
        <f t="shared" ca="1" si="20"/>
        <v>153</v>
      </c>
      <c r="AM19" s="81">
        <f t="shared" ca="1" si="21"/>
        <v>9.5625</v>
      </c>
      <c r="AN19" s="80" t="s">
        <v>35</v>
      </c>
      <c r="AO19" s="81">
        <f t="array" ref="AO19">VLOOKUP(B19,cgpi!$A$8:$K992,2,FALSE)</f>
        <v>8.85</v>
      </c>
      <c r="AP19" s="89">
        <f t="array" ref="AP19">VLOOKUP(B19,cgpi!$A$8:$K992,3,FALSE)</f>
        <v>8.8000000000000007</v>
      </c>
      <c r="AQ19" s="89">
        <f t="array" ref="AQ19">VLOOKUP(B19,cgpi!$A$8:$K992,4,FALSE)</f>
        <v>9.48</v>
      </c>
      <c r="AR19" s="89">
        <f t="array" ref="AR19">VLOOKUP(B19,cgpi!$A$8:$K992,5,FALSE)</f>
        <v>8.11</v>
      </c>
      <c r="AS19" s="89">
        <f t="array" ref="AS19">VLOOKUP(B19,cgpi!$A$8:$K992,6,FALSE)</f>
        <v>8.1</v>
      </c>
      <c r="AT19" s="89">
        <f t="array" ref="AT19">VLOOKUP(B19,cgpi!$A$8:$K992,7,FALSE)</f>
        <v>9</v>
      </c>
      <c r="AU19" s="89">
        <f t="array" ref="AU19">VLOOKUP(B19,cgpi!$A$8:$K992,8,FALSE)</f>
        <v>8.56</v>
      </c>
      <c r="AV19" s="89">
        <f t="array" ref="AV19">VLOOKUP(B19,cgpi!$A$8:$K992,9,FALSE)</f>
        <v>9.56</v>
      </c>
      <c r="AW19" s="89">
        <f t="array" ref="AW19">VLOOKUP(B19,cgpi!$A$8:$K992,10,FALSE)</f>
        <v>8.8000000000000007</v>
      </c>
      <c r="AX19" s="89">
        <f t="array" ref="AX19">VLOOKUP(B19,cgpi!$A$8:$K992,11,FALSE)</f>
        <v>9.06</v>
      </c>
    </row>
    <row r="20" spans="1:50" ht="45" customHeight="1">
      <c r="A20" s="49">
        <v>14</v>
      </c>
      <c r="B20" s="50">
        <v>2019120023</v>
      </c>
      <c r="C20" s="51" t="str">
        <f t="array" ref="C20">VLOOKUP(B20,studentnames!$A$6:$B992,2,FALSE)</f>
        <v>GAWADE ANIKET PRAKASH SUREKHA</v>
      </c>
      <c r="D20" s="84">
        <f ca="1">IFERROR(__xludf.DUMMYFUNCTION("(VLOOKUP(B20,{(IMPORTRANGE(""https://docs.google.com/spreadsheets/d/1IgGENpYbL2rI7gfQAXyk9JS3FgAuuh8Wul__oPf-faY/edit#gid=838365050"",""BE-OESall branches!J1:K350""))},2,FALSE))"),56)</f>
        <v>56</v>
      </c>
      <c r="E20" s="85" t="str">
        <f t="shared" ca="1" si="0"/>
        <v>Pass</v>
      </c>
      <c r="F20" s="86" t="str">
        <f t="shared" ca="1" si="22"/>
        <v>D</v>
      </c>
      <c r="G20" s="85">
        <v>3</v>
      </c>
      <c r="H20" s="82">
        <f t="shared" ca="1" si="2"/>
        <v>6</v>
      </c>
      <c r="I20" s="80">
        <f t="shared" ca="1" si="3"/>
        <v>18</v>
      </c>
      <c r="J20" s="112" t="str">
        <f ca="1">IFERROR(__xludf.DUMMYFUNCTION("IFERROR(VLOOKUP(B20,{(IMPORTRANGE(""https://docs.google.com/spreadsheets/d/1IgGENpYbL2rI7gfQAXyk9JS3FgAuuh8Wul__oPf-faY/edit#gid=139233849"",""PEV all barnches!A1:E200""))},4,FALSE),"" "")"),"Cloud Computing ")</f>
        <v xml:space="preserve">Cloud Computing </v>
      </c>
      <c r="K20" s="85">
        <f ca="1">IFERROR(__xludf.DUMMYFUNCTION("IFERROR(VLOOKUP(B20,{(IMPORTRANGE(""https://docs.google.com/spreadsheets/d/1IgGENpYbL2rI7gfQAXyk9JS3FgAuuh8Wul__oPf-faY/edit#gid=139233849"",""PEV all barnches!A1:E200""))},5,FALSE),"" "")"),82)</f>
        <v>82</v>
      </c>
      <c r="L20" s="85" t="str">
        <f t="shared" ca="1" si="4"/>
        <v>Pass</v>
      </c>
      <c r="M20" s="86" t="str">
        <f t="shared" ca="1" si="23"/>
        <v>O</v>
      </c>
      <c r="N20" s="85">
        <v>3</v>
      </c>
      <c r="O20" s="82">
        <f t="shared" ca="1" si="6"/>
        <v>10</v>
      </c>
      <c r="P20" s="80">
        <f t="shared" ca="1" si="7"/>
        <v>30</v>
      </c>
      <c r="Q20" s="112" t="str">
        <f ca="1">IFERROR(__xludf.DUMMYFUNCTION("IFERROR(VLOOKUP(B20,{(IMPORTRANGE(""https://docs.google.com/spreadsheets/d/1IgGENpYbL2rI7gfQAXyk9JS3FgAuuh8Wul__oPf-faY/edit#gid=37342362"",""PE VI all branches!A1:E200""))},4,FALSE),"" "")"),"Introduction to Internet of things")</f>
        <v>Introduction to Internet of things</v>
      </c>
      <c r="R20" s="85">
        <f ca="1">IFERROR(__xludf.DUMMYFUNCTION("IFERROR(VLOOKUP(B20,{(IMPORTRANGE(""https://docs.google.com/spreadsheets/d/1IgGENpYbL2rI7gfQAXyk9JS3FgAuuh8Wul__oPf-faY/edit#gid=37342362"",""PE VI all branches!A1:E200""))},5,FALSE),"" "")"),90)</f>
        <v>90</v>
      </c>
      <c r="S20" s="85" t="str">
        <f t="shared" ca="1" si="27"/>
        <v>Pass</v>
      </c>
      <c r="T20" s="86" t="str">
        <f t="shared" ca="1" si="28"/>
        <v>O</v>
      </c>
      <c r="U20" s="85">
        <v>3</v>
      </c>
      <c r="V20" s="82">
        <f t="shared" ca="1" si="10"/>
        <v>10</v>
      </c>
      <c r="W20" s="80">
        <f t="shared" ca="1" si="11"/>
        <v>30</v>
      </c>
      <c r="X20" s="85">
        <v>85</v>
      </c>
      <c r="Y20" s="85" t="str">
        <f t="shared" si="12"/>
        <v>Pass</v>
      </c>
      <c r="Z20" s="86" t="str">
        <f t="shared" si="13"/>
        <v>O</v>
      </c>
      <c r="AA20" s="87">
        <v>6</v>
      </c>
      <c r="AB20" s="82">
        <f t="shared" si="14"/>
        <v>10</v>
      </c>
      <c r="AC20" s="80">
        <f t="shared" si="15"/>
        <v>60</v>
      </c>
      <c r="AD20" s="87">
        <f ca="1">IFERROR(__xludf.DUMMYFUNCTION("(VLOOKUP(B20,{(IMPORTRANGE(""https://docs.google.com/spreadsheets/d/1bhPzFUTLMV7e35kNXQBjHBx0hnSRtnD8lSPi2nGpa7Y/edit#gid=1774387053"",""BE EXTC!B11:E91""))},4,FALSE))"),88)</f>
        <v>88</v>
      </c>
      <c r="AE20" s="87"/>
      <c r="AF20" s="86" t="str">
        <f t="shared" ca="1" si="16"/>
        <v>O</v>
      </c>
      <c r="AG20" s="87">
        <v>1</v>
      </c>
      <c r="AH20" s="82">
        <f t="shared" ca="1" si="17"/>
        <v>10</v>
      </c>
      <c r="AI20" s="80">
        <f t="shared" ca="1" si="18"/>
        <v>10</v>
      </c>
      <c r="AJ20" s="87">
        <v>16</v>
      </c>
      <c r="AK20" s="87">
        <f t="shared" si="19"/>
        <v>16</v>
      </c>
      <c r="AL20" s="87">
        <f t="shared" ca="1" si="20"/>
        <v>148</v>
      </c>
      <c r="AM20" s="81">
        <f t="shared" ca="1" si="21"/>
        <v>9.25</v>
      </c>
      <c r="AN20" s="80" t="s">
        <v>35</v>
      </c>
      <c r="AO20" s="81">
        <f t="array" ref="AO20">VLOOKUP(B20,cgpi!$A$8:$K992,2,FALSE)</f>
        <v>8</v>
      </c>
      <c r="AP20" s="89">
        <f t="array" ref="AP20">VLOOKUP(B20,cgpi!$A$8:$K992,3,FALSE)</f>
        <v>8.9</v>
      </c>
      <c r="AQ20" s="89">
        <f t="array" ref="AQ20">VLOOKUP(B20,cgpi!$A$8:$K992,4,FALSE)</f>
        <v>9.33</v>
      </c>
      <c r="AR20" s="89">
        <f t="array" ref="AR20">VLOOKUP(B20,cgpi!$A$8:$K992,5,FALSE)</f>
        <v>8.58</v>
      </c>
      <c r="AS20" s="89">
        <f t="array" ref="AS20">VLOOKUP(B20,cgpi!$A$8:$K992,6,FALSE)</f>
        <v>8.67</v>
      </c>
      <c r="AT20" s="89">
        <f t="array" ref="AT20">VLOOKUP(B20,cgpi!$A$8:$K992,7,FALSE)</f>
        <v>9.57</v>
      </c>
      <c r="AU20" s="89">
        <f t="array" ref="AU20">VLOOKUP(B20,cgpi!$A$8:$K992,8,FALSE)</f>
        <v>9.06</v>
      </c>
      <c r="AV20" s="89">
        <f t="array" ref="AV20">VLOOKUP(B20,cgpi!$A$8:$K992,9,FALSE)</f>
        <v>9.25</v>
      </c>
      <c r="AW20" s="89">
        <f t="array" ref="AW20">VLOOKUP(B20,cgpi!$A$8:$K992,10,FALSE)</f>
        <v>8.92</v>
      </c>
      <c r="AX20" s="89">
        <f t="array" ref="AX20">VLOOKUP(B20,cgpi!$A$8:$K992,11,FALSE)</f>
        <v>9.16</v>
      </c>
    </row>
    <row r="21" spans="1:50" ht="45" customHeight="1">
      <c r="A21" s="98">
        <v>15</v>
      </c>
      <c r="B21" s="50">
        <v>2019120024</v>
      </c>
      <c r="C21" s="51" t="str">
        <f t="array" ref="C21">VLOOKUP(B21,studentnames!$A$6:$B992,2,FALSE)</f>
        <v>/ GHOSH OINDRELLA</v>
      </c>
      <c r="D21" s="84">
        <v>85</v>
      </c>
      <c r="E21" s="85" t="str">
        <f t="shared" si="0"/>
        <v>Pass</v>
      </c>
      <c r="F21" s="86" t="str">
        <f t="shared" si="22"/>
        <v>O</v>
      </c>
      <c r="G21" s="85">
        <v>3</v>
      </c>
      <c r="H21" s="82">
        <f t="shared" si="2"/>
        <v>10</v>
      </c>
      <c r="I21" s="80">
        <f t="shared" si="3"/>
        <v>30</v>
      </c>
      <c r="J21" s="112" t="str">
        <f ca="1">IFERROR(__xludf.DUMMYFUNCTION("IFERROR(VLOOKUP(B21,{(IMPORTRANGE(""https://docs.google.com/spreadsheets/d/1IgGENpYbL2rI7gfQAXyk9JS3FgAuuh8Wul__oPf-faY/edit#gid=139233849"",""PEV all barnches!A1:E200""))},4,FALSE),"" "")"),"Cloud Computing")</f>
        <v>Cloud Computing</v>
      </c>
      <c r="K21" s="85">
        <f ca="1">IFERROR(__xludf.DUMMYFUNCTION("IFERROR(VLOOKUP(B21,{(IMPORTRANGE(""https://docs.google.com/spreadsheets/d/1IgGENpYbL2rI7gfQAXyk9JS3FgAuuh8Wul__oPf-faY/edit#gid=139233849"",""PEV all barnches!A1:E200""))},5,FALSE),"" "")"),84)</f>
        <v>84</v>
      </c>
      <c r="L21" s="85" t="str">
        <f t="shared" ca="1" si="4"/>
        <v>Pass</v>
      </c>
      <c r="M21" s="86" t="str">
        <f t="shared" ca="1" si="23"/>
        <v>O</v>
      </c>
      <c r="N21" s="85">
        <v>3</v>
      </c>
      <c r="O21" s="82">
        <f t="shared" ca="1" si="6"/>
        <v>10</v>
      </c>
      <c r="P21" s="80">
        <f t="shared" ca="1" si="7"/>
        <v>30</v>
      </c>
      <c r="Q21" s="112" t="str">
        <f ca="1">IFERROR(__xludf.DUMMYFUNCTION("IFERROR(VLOOKUP(B21,{(IMPORTRANGE(""https://docs.google.com/spreadsheets/d/1IgGENpYbL2rI7gfQAXyk9JS3FgAuuh8Wul__oPf-faY/edit#gid=37342362"",""PE VI all branches!A1:E200""))},4,FALSE),"" "")"),"Introduction To Internet Of Things")</f>
        <v>Introduction To Internet Of Things</v>
      </c>
      <c r="R21" s="85">
        <f ca="1">IFERROR(__xludf.DUMMYFUNCTION("IFERROR(VLOOKUP(B21,{(IMPORTRANGE(""https://docs.google.com/spreadsheets/d/1IgGENpYbL2rI7gfQAXyk9JS3FgAuuh8Wul__oPf-faY/edit#gid=37342362"",""PE VI all branches!A1:E200""))},5,FALSE),"" "")"),86)</f>
        <v>86</v>
      </c>
      <c r="S21" s="85"/>
      <c r="T21" s="86" t="str">
        <f t="shared" ca="1" si="28"/>
        <v>O</v>
      </c>
      <c r="U21" s="85">
        <v>3</v>
      </c>
      <c r="V21" s="82">
        <f t="shared" ca="1" si="10"/>
        <v>10</v>
      </c>
      <c r="W21" s="80">
        <f t="shared" ca="1" si="11"/>
        <v>30</v>
      </c>
      <c r="X21" s="85">
        <v>89</v>
      </c>
      <c r="Y21" s="85" t="str">
        <f t="shared" si="12"/>
        <v>Pass</v>
      </c>
      <c r="Z21" s="86" t="str">
        <f t="shared" si="13"/>
        <v>O</v>
      </c>
      <c r="AA21" s="87">
        <v>6</v>
      </c>
      <c r="AB21" s="82">
        <f t="shared" si="14"/>
        <v>10</v>
      </c>
      <c r="AC21" s="80">
        <f t="shared" si="15"/>
        <v>60</v>
      </c>
      <c r="AD21" s="87">
        <f ca="1">IFERROR(__xludf.DUMMYFUNCTION("(VLOOKUP(B21,{(IMPORTRANGE(""https://docs.google.com/spreadsheets/d/1bhPzFUTLMV7e35kNXQBjHBx0hnSRtnD8lSPi2nGpa7Y/edit#gid=1774387053"",""BE EXTC!B11:E91""))},4,FALSE))"),92)</f>
        <v>92</v>
      </c>
      <c r="AE21" s="87"/>
      <c r="AF21" s="86" t="str">
        <f t="shared" ca="1" si="16"/>
        <v>O</v>
      </c>
      <c r="AG21" s="87">
        <v>1</v>
      </c>
      <c r="AH21" s="82">
        <f t="shared" ca="1" si="17"/>
        <v>10</v>
      </c>
      <c r="AI21" s="80">
        <f t="shared" ca="1" si="18"/>
        <v>10</v>
      </c>
      <c r="AJ21" s="87">
        <v>16</v>
      </c>
      <c r="AK21" s="87">
        <f t="shared" si="19"/>
        <v>16</v>
      </c>
      <c r="AL21" s="87">
        <f t="shared" ca="1" si="20"/>
        <v>160</v>
      </c>
      <c r="AM21" s="81">
        <f t="shared" ca="1" si="21"/>
        <v>10</v>
      </c>
      <c r="AN21" s="80" t="s">
        <v>35</v>
      </c>
      <c r="AO21" s="81">
        <f t="array" ref="AO21">VLOOKUP(B21,cgpi!$A$8:$K992,2,FALSE)</f>
        <v>9.5500000000000007</v>
      </c>
      <c r="AP21" s="89">
        <f t="array" ref="AP21">VLOOKUP(B21,cgpi!$A$8:$K992,3,FALSE)</f>
        <v>9.3000000000000007</v>
      </c>
      <c r="AQ21" s="89">
        <f t="array" ref="AQ21">VLOOKUP(B21,cgpi!$A$8:$K992,4,FALSE)</f>
        <v>10</v>
      </c>
      <c r="AR21" s="89">
        <f t="array" ref="AR21">VLOOKUP(B21,cgpi!$A$8:$K992,5,FALSE)</f>
        <v>8.7899999999999991</v>
      </c>
      <c r="AS21" s="89">
        <f t="array" ref="AS21">VLOOKUP(B21,cgpi!$A$8:$K992,6,FALSE)</f>
        <v>9.7100000000000009</v>
      </c>
      <c r="AT21" s="89">
        <f t="array" ref="AT21">VLOOKUP(B21,cgpi!$A$8:$K992,7,FALSE)</f>
        <v>9.86</v>
      </c>
      <c r="AU21" s="89">
        <f t="array" ref="AU21">VLOOKUP(B21,cgpi!$A$8:$K992,8,FALSE)</f>
        <v>8.69</v>
      </c>
      <c r="AV21" s="89">
        <f t="array" ref="AV21">VLOOKUP(B21,cgpi!$A$8:$K992,9,FALSE)</f>
        <v>10</v>
      </c>
      <c r="AW21" s="89">
        <f t="array" ref="AW21">VLOOKUP(B21,cgpi!$A$8:$K992,10,FALSE)</f>
        <v>9.51</v>
      </c>
      <c r="AX21" s="89">
        <f t="array" ref="AX21">VLOOKUP(B21,cgpi!$A$8:$K992,11,FALSE)</f>
        <v>9.34</v>
      </c>
    </row>
    <row r="22" spans="1:50" ht="45" customHeight="1">
      <c r="A22" s="49">
        <v>16</v>
      </c>
      <c r="B22" s="50">
        <v>2019120032</v>
      </c>
      <c r="C22" s="51" t="str">
        <f t="array" ref="C22">VLOOKUP(B22,studentnames!$A$6:$B992,2,FALSE)</f>
        <v>KOUL RITIK DURGA NATH RANJANA</v>
      </c>
      <c r="D22" s="84">
        <f ca="1">IFERROR(__xludf.DUMMYFUNCTION("(VLOOKUP(B22,{(IMPORTRANGE(""https://docs.google.com/spreadsheets/d/1IgGENpYbL2rI7gfQAXyk9JS3FgAuuh8Wul__oPf-faY/edit#gid=838365050"",""BE-OESall branches!J1:K350""))},2,FALSE))"),56)</f>
        <v>56</v>
      </c>
      <c r="E22" s="85" t="str">
        <f t="shared" ca="1" si="0"/>
        <v>Pass</v>
      </c>
      <c r="F22" s="86" t="str">
        <f t="shared" ca="1" si="22"/>
        <v>D</v>
      </c>
      <c r="G22" s="85">
        <v>3</v>
      </c>
      <c r="H22" s="82">
        <f t="shared" ca="1" si="2"/>
        <v>6</v>
      </c>
      <c r="I22" s="80">
        <f t="shared" ca="1" si="3"/>
        <v>18</v>
      </c>
      <c r="J22" s="112" t="str">
        <f ca="1">IFERROR(__xludf.DUMMYFUNCTION("IFERROR(VLOOKUP(B22,{(IMPORTRANGE(""https://docs.google.com/spreadsheets/d/1IgGENpYbL2rI7gfQAXyk9JS3FgAuuh8Wul__oPf-faY/edit#gid=139233849"",""PEV all barnches!A1:E200""))},4,FALSE),"" "")"),"Cloud Computing")</f>
        <v>Cloud Computing</v>
      </c>
      <c r="K22" s="85">
        <f ca="1">IFERROR(__xludf.DUMMYFUNCTION("IFERROR(VLOOKUP(B22,{(IMPORTRANGE(""https://docs.google.com/spreadsheets/d/1IgGENpYbL2rI7gfQAXyk9JS3FgAuuh8Wul__oPf-faY/edit#gid=139233849"",""PEV all barnches!A1:E200""))},5,FALSE),"" "")"),66)</f>
        <v>66</v>
      </c>
      <c r="L22" s="85" t="str">
        <f t="shared" ca="1" si="4"/>
        <v>Pass</v>
      </c>
      <c r="M22" s="86" t="str">
        <f t="shared" ca="1" si="23"/>
        <v>C</v>
      </c>
      <c r="N22" s="85">
        <v>3</v>
      </c>
      <c r="O22" s="82">
        <f t="shared" ca="1" si="6"/>
        <v>7</v>
      </c>
      <c r="P22" s="80">
        <f t="shared" ca="1" si="7"/>
        <v>21</v>
      </c>
      <c r="Q22" s="112" t="str">
        <f ca="1">IFERROR(__xludf.DUMMYFUNCTION("IFERROR(VLOOKUP(B22,{(IMPORTRANGE(""https://docs.google.com/spreadsheets/d/1IgGENpYbL2rI7gfQAXyk9JS3FgAuuh8Wul__oPf-faY/edit#gid=37342362"",""PE VI all branches!A1:E200""))},4,FALSE),"" "")"),"Introduction To Internet Of Things")</f>
        <v>Introduction To Internet Of Things</v>
      </c>
      <c r="R22" s="85">
        <f ca="1">IFERROR(__xludf.DUMMYFUNCTION("IFERROR(VLOOKUP(B22,{(IMPORTRANGE(""https://docs.google.com/spreadsheets/d/1IgGENpYbL2rI7gfQAXyk9JS3FgAuuh8Wul__oPf-faY/edit#gid=37342362"",""PE VI all branches!A1:E200""))},5,FALSE),"" "")"),82)</f>
        <v>82</v>
      </c>
      <c r="S22" s="85" t="str">
        <f t="shared" ref="S22:S32" ca="1" si="29">IF((R22&gt;=40),"Pass","Fail")</f>
        <v>Pass</v>
      </c>
      <c r="T22" s="86" t="str">
        <f t="shared" ca="1" si="28"/>
        <v>O</v>
      </c>
      <c r="U22" s="85">
        <v>3</v>
      </c>
      <c r="V22" s="82">
        <f t="shared" ca="1" si="10"/>
        <v>10</v>
      </c>
      <c r="W22" s="80">
        <f t="shared" ca="1" si="11"/>
        <v>30</v>
      </c>
      <c r="X22" s="85">
        <v>89</v>
      </c>
      <c r="Y22" s="85" t="str">
        <f t="shared" si="12"/>
        <v>Pass</v>
      </c>
      <c r="Z22" s="86" t="str">
        <f t="shared" si="13"/>
        <v>O</v>
      </c>
      <c r="AA22" s="87">
        <v>6</v>
      </c>
      <c r="AB22" s="82">
        <f t="shared" si="14"/>
        <v>10</v>
      </c>
      <c r="AC22" s="80">
        <f t="shared" si="15"/>
        <v>60</v>
      </c>
      <c r="AD22" s="87">
        <f ca="1">IFERROR(__xludf.DUMMYFUNCTION("(VLOOKUP(B22,{(IMPORTRANGE(""https://docs.google.com/spreadsheets/d/1bhPzFUTLMV7e35kNXQBjHBx0hnSRtnD8lSPi2nGpa7Y/edit#gid=1774387053"",""BE EXTC!B11:E91""))},4,FALSE))"),92)</f>
        <v>92</v>
      </c>
      <c r="AE22" s="87"/>
      <c r="AF22" s="86" t="str">
        <f t="shared" ca="1" si="16"/>
        <v>O</v>
      </c>
      <c r="AG22" s="87">
        <v>1</v>
      </c>
      <c r="AH22" s="82">
        <f t="shared" ca="1" si="17"/>
        <v>10</v>
      </c>
      <c r="AI22" s="80">
        <f t="shared" ca="1" si="18"/>
        <v>10</v>
      </c>
      <c r="AJ22" s="87">
        <v>16</v>
      </c>
      <c r="AK22" s="87">
        <f t="shared" si="19"/>
        <v>16</v>
      </c>
      <c r="AL22" s="87">
        <f t="shared" ca="1" si="20"/>
        <v>139</v>
      </c>
      <c r="AM22" s="81">
        <f t="shared" ca="1" si="21"/>
        <v>8.6875</v>
      </c>
      <c r="AN22" s="80" t="s">
        <v>35</v>
      </c>
      <c r="AO22" s="81">
        <f t="array" ref="AO22">VLOOKUP(B22,cgpi!$A$8:$K992,2,FALSE)</f>
        <v>7.4</v>
      </c>
      <c r="AP22" s="89">
        <f t="array" ref="AP22">VLOOKUP(B22,cgpi!$A$8:$K992,3,FALSE)</f>
        <v>8.35</v>
      </c>
      <c r="AQ22" s="89">
        <f t="array" ref="AQ22">VLOOKUP(B22,cgpi!$A$8:$K992,4,FALSE)</f>
        <v>9.81</v>
      </c>
      <c r="AR22" s="89">
        <f t="array" ref="AR22">VLOOKUP(B22,cgpi!$A$8:$K992,5,FALSE)</f>
        <v>9.0500000000000007</v>
      </c>
      <c r="AS22" s="89">
        <f t="array" ref="AS22">VLOOKUP(B22,cgpi!$A$8:$K992,6,FALSE)</f>
        <v>9.0500000000000007</v>
      </c>
      <c r="AT22" s="89">
        <f t="array" ref="AT22">VLOOKUP(B22,cgpi!$A$8:$K992,7,FALSE)</f>
        <v>9.14</v>
      </c>
      <c r="AU22" s="89">
        <f t="array" ref="AU22">VLOOKUP(B22,cgpi!$A$8:$K992,8,FALSE)</f>
        <v>7.19</v>
      </c>
      <c r="AV22" s="89">
        <f t="array" ref="AV22">VLOOKUP(B22,cgpi!$A$8:$K992,9,FALSE)</f>
        <v>8.69</v>
      </c>
      <c r="AW22" s="89">
        <f t="array" ref="AW22">VLOOKUP(B22,cgpi!$A$8:$K992,10,FALSE)</f>
        <v>8.6300000000000008</v>
      </c>
      <c r="AX22" s="89">
        <f t="array" ref="AX22">VLOOKUP(B22,cgpi!$A$8:$K992,11,FALSE)</f>
        <v>7.94</v>
      </c>
    </row>
    <row r="23" spans="1:50" ht="45" customHeight="1">
      <c r="A23" s="98">
        <v>17</v>
      </c>
      <c r="B23" s="50">
        <v>2019120033</v>
      </c>
      <c r="C23" s="51" t="str">
        <f t="array" ref="C23">VLOOKUP(B23,studentnames!$A$6:$B992,2,FALSE)</f>
        <v>KULKARNI SUDHANSHU SUDHEENDRA ASHWINI</v>
      </c>
      <c r="D23" s="84">
        <f ca="1">IFERROR(__xludf.DUMMYFUNCTION("(VLOOKUP(B23,{(IMPORTRANGE(""https://docs.google.com/spreadsheets/d/1IgGENpYbL2rI7gfQAXyk9JS3FgAuuh8Wul__oPf-faY/edit#gid=838365050"",""BE-OESall branches!J1:K350""))},2,FALSE))"),68)</f>
        <v>68</v>
      </c>
      <c r="E23" s="85" t="str">
        <f t="shared" ca="1" si="0"/>
        <v>Pass</v>
      </c>
      <c r="F23" s="86" t="str">
        <f t="shared" ca="1" si="22"/>
        <v>C</v>
      </c>
      <c r="G23" s="85">
        <v>3</v>
      </c>
      <c r="H23" s="82">
        <f t="shared" ca="1" si="2"/>
        <v>7</v>
      </c>
      <c r="I23" s="80">
        <f t="shared" ca="1" si="3"/>
        <v>21</v>
      </c>
      <c r="J23" s="112" t="str">
        <f ca="1">IFERROR(__xludf.DUMMYFUNCTION("IFERROR(VLOOKUP(B23,{(IMPORTRANGE(""https://docs.google.com/spreadsheets/d/1IgGENpYbL2rI7gfQAXyk9JS3FgAuuh8Wul__oPf-faY/edit#gid=139233849"",""PEV all barnches!A1:E200""))},4,FALSE),"" "")"),"Advanced Computer Architecture and Organisation")</f>
        <v>Advanced Computer Architecture and Organisation</v>
      </c>
      <c r="K23" s="85">
        <f ca="1">IFERROR(__xludf.DUMMYFUNCTION("IFERROR(VLOOKUP(B23,{(IMPORTRANGE(""https://docs.google.com/spreadsheets/d/1IgGENpYbL2rI7gfQAXyk9JS3FgAuuh8Wul__oPf-faY/edit#gid=139233849"",""PEV all barnches!A1:E200""))},5,FALSE),"" "")"),64)</f>
        <v>64</v>
      </c>
      <c r="L23" s="85" t="str">
        <f t="shared" ca="1" si="4"/>
        <v>Pass</v>
      </c>
      <c r="M23" s="86" t="str">
        <f t="shared" ca="1" si="23"/>
        <v>C</v>
      </c>
      <c r="N23" s="85">
        <v>3</v>
      </c>
      <c r="O23" s="82">
        <f t="shared" ca="1" si="6"/>
        <v>7</v>
      </c>
      <c r="P23" s="80">
        <f t="shared" ca="1" si="7"/>
        <v>21</v>
      </c>
      <c r="Q23" s="112" t="str">
        <f ca="1">IFERROR(__xludf.DUMMYFUNCTION("IFERROR(VLOOKUP(B23,{(IMPORTRANGE(""https://docs.google.com/spreadsheets/d/1IgGENpYbL2rI7gfQAXyk9JS3FgAuuh8Wul__oPf-faY/edit#gid=37342362"",""PE VI all branches!A1:E200""))},4,FALSE),"" "")"),"Cloud computing")</f>
        <v>Cloud computing</v>
      </c>
      <c r="R23" s="85">
        <f ca="1">IFERROR(__xludf.DUMMYFUNCTION("IFERROR(VLOOKUP(B23,{(IMPORTRANGE(""https://docs.google.com/spreadsheets/d/1IgGENpYbL2rI7gfQAXyk9JS3FgAuuh8Wul__oPf-faY/edit#gid=37342362"",""PE VI all branches!A1:E200""))},5,FALSE),"" "")"),77)</f>
        <v>77</v>
      </c>
      <c r="S23" s="85" t="str">
        <f t="shared" ca="1" si="29"/>
        <v>Pass</v>
      </c>
      <c r="T23" s="86" t="str">
        <f t="shared" ca="1" si="28"/>
        <v>A</v>
      </c>
      <c r="U23" s="85">
        <v>3</v>
      </c>
      <c r="V23" s="82">
        <f t="shared" ca="1" si="10"/>
        <v>9</v>
      </c>
      <c r="W23" s="80">
        <f t="shared" ca="1" si="11"/>
        <v>27</v>
      </c>
      <c r="X23" s="85">
        <v>85</v>
      </c>
      <c r="Y23" s="85" t="str">
        <f t="shared" si="12"/>
        <v>Pass</v>
      </c>
      <c r="Z23" s="86" t="str">
        <f t="shared" si="13"/>
        <v>O</v>
      </c>
      <c r="AA23" s="87">
        <v>6</v>
      </c>
      <c r="AB23" s="82">
        <f t="shared" si="14"/>
        <v>10</v>
      </c>
      <c r="AC23" s="80">
        <f t="shared" si="15"/>
        <v>60</v>
      </c>
      <c r="AD23" s="87">
        <f ca="1">IFERROR(__xludf.DUMMYFUNCTION("(VLOOKUP(B23,{(IMPORTRANGE(""https://docs.google.com/spreadsheets/d/1bhPzFUTLMV7e35kNXQBjHBx0hnSRtnD8lSPi2nGpa7Y/edit#gid=1774387053"",""BE EXTC!B11:E91""))},4,FALSE))"),89)</f>
        <v>89</v>
      </c>
      <c r="AE23" s="87"/>
      <c r="AF23" s="86" t="str">
        <f t="shared" ca="1" si="16"/>
        <v>O</v>
      </c>
      <c r="AG23" s="87">
        <v>1</v>
      </c>
      <c r="AH23" s="82">
        <f t="shared" ca="1" si="17"/>
        <v>10</v>
      </c>
      <c r="AI23" s="80">
        <f t="shared" ca="1" si="18"/>
        <v>10</v>
      </c>
      <c r="AJ23" s="87">
        <v>16</v>
      </c>
      <c r="AK23" s="87">
        <f t="shared" si="19"/>
        <v>16</v>
      </c>
      <c r="AL23" s="87">
        <f t="shared" ca="1" si="20"/>
        <v>139</v>
      </c>
      <c r="AM23" s="81">
        <f t="shared" ca="1" si="21"/>
        <v>8.6875</v>
      </c>
      <c r="AN23" s="80" t="s">
        <v>35</v>
      </c>
      <c r="AO23" s="81">
        <f t="array" ref="AO23">VLOOKUP(B23,cgpi!$A$8:$K992,2,FALSE)</f>
        <v>8.25</v>
      </c>
      <c r="AP23" s="89">
        <f t="array" ref="AP23">VLOOKUP(B23,cgpi!$A$8:$K992,3,FALSE)</f>
        <v>9.1999999999999993</v>
      </c>
      <c r="AQ23" s="89">
        <f t="array" ref="AQ23">VLOOKUP(B23,cgpi!$A$8:$K992,4,FALSE)</f>
        <v>9.9</v>
      </c>
      <c r="AR23" s="89">
        <f t="array" ref="AR23">VLOOKUP(B23,cgpi!$A$8:$K992,5,FALSE)</f>
        <v>9.11</v>
      </c>
      <c r="AS23" s="89">
        <f t="array" ref="AS23">VLOOKUP(B23,cgpi!$A$8:$K992,6,FALSE)</f>
        <v>9.6199999999999992</v>
      </c>
      <c r="AT23" s="89">
        <f t="array" ref="AT23">VLOOKUP(B23,cgpi!$A$8:$K992,7,FALSE)</f>
        <v>9.7100000000000009</v>
      </c>
      <c r="AU23" s="89">
        <f t="array" ref="AU23">VLOOKUP(B23,cgpi!$A$8:$K992,8,FALSE)</f>
        <v>8.31</v>
      </c>
      <c r="AV23" s="89">
        <f t="array" ref="AV23">VLOOKUP(B23,cgpi!$A$8:$K992,9,FALSE)</f>
        <v>8.69</v>
      </c>
      <c r="AW23" s="89">
        <f t="array" ref="AW23">VLOOKUP(B23,cgpi!$A$8:$K992,10,FALSE)</f>
        <v>9.14</v>
      </c>
      <c r="AX23" s="89">
        <f t="array" ref="AX23">VLOOKUP(B23,cgpi!$A$8:$K992,11,FALSE)</f>
        <v>8.5</v>
      </c>
    </row>
    <row r="24" spans="1:50" ht="45" customHeight="1">
      <c r="A24" s="49">
        <v>18</v>
      </c>
      <c r="B24" s="50">
        <v>2019120034</v>
      </c>
      <c r="C24" s="51" t="str">
        <f t="array" ref="C24">VLOOKUP(B24,studentnames!$A$6:$B992,2,FALSE)</f>
        <v>LADDHA SANSKAR RASHMIN CHHAYA</v>
      </c>
      <c r="D24" s="84">
        <f ca="1">IFERROR(__xludf.DUMMYFUNCTION("(VLOOKUP(B24,{(IMPORTRANGE(""https://docs.google.com/spreadsheets/d/1IgGENpYbL2rI7gfQAXyk9JS3FgAuuh8Wul__oPf-faY/edit#gid=838365050"",""BE-OESall branches!J1:K350""))},2,FALSE))"),69)</f>
        <v>69</v>
      </c>
      <c r="E24" s="85" t="str">
        <f t="shared" ca="1" si="0"/>
        <v>Pass</v>
      </c>
      <c r="F24" s="86" t="str">
        <f t="shared" ca="1" si="22"/>
        <v>C</v>
      </c>
      <c r="G24" s="85">
        <v>3</v>
      </c>
      <c r="H24" s="82">
        <f t="shared" ca="1" si="2"/>
        <v>7</v>
      </c>
      <c r="I24" s="80">
        <f t="shared" ca="1" si="3"/>
        <v>21</v>
      </c>
      <c r="J24" s="112" t="str">
        <f ca="1">IFERROR(__xludf.DUMMYFUNCTION("IFERROR(VLOOKUP(B24,{(IMPORTRANGE(""https://docs.google.com/spreadsheets/d/1IgGENpYbL2rI7gfQAXyk9JS3FgAuuh8Wul__oPf-faY/edit#gid=139233849"",""PEV all barnches!A1:E200""))},4,FALSE),"" "")"),"Cloud Computing")</f>
        <v>Cloud Computing</v>
      </c>
      <c r="K24" s="85">
        <f ca="1">IFERROR(__xludf.DUMMYFUNCTION("IFERROR(VLOOKUP(B24,{(IMPORTRANGE(""https://docs.google.com/spreadsheets/d/1IgGENpYbL2rI7gfQAXyk9JS3FgAuuh8Wul__oPf-faY/edit#gid=139233849"",""PEV all barnches!A1:E200""))},5,FALSE),"" "")"),85)</f>
        <v>85</v>
      </c>
      <c r="L24" s="85" t="str">
        <f t="shared" ca="1" si="4"/>
        <v>Pass</v>
      </c>
      <c r="M24" s="86" t="str">
        <f t="shared" ca="1" si="23"/>
        <v>O</v>
      </c>
      <c r="N24" s="85">
        <v>3</v>
      </c>
      <c r="O24" s="82">
        <f t="shared" ca="1" si="6"/>
        <v>10</v>
      </c>
      <c r="P24" s="80">
        <f t="shared" ca="1" si="7"/>
        <v>30</v>
      </c>
      <c r="Q24" s="112" t="str">
        <f ca="1">IFERROR(__xludf.DUMMYFUNCTION("IFERROR(VLOOKUP(B24,{(IMPORTRANGE(""https://docs.google.com/spreadsheets/d/1IgGENpYbL2rI7gfQAXyk9JS3FgAuuh8Wul__oPf-faY/edit#gid=37342362"",""PE VI all branches!A1:E200""))},4,FALSE),"" "")"),"Introduction to Internet of Things")</f>
        <v>Introduction to Internet of Things</v>
      </c>
      <c r="R24" s="85">
        <f ca="1">IFERROR(__xludf.DUMMYFUNCTION("IFERROR(VLOOKUP(B24,{(IMPORTRANGE(""https://docs.google.com/spreadsheets/d/1IgGENpYbL2rI7gfQAXyk9JS3FgAuuh8Wul__oPf-faY/edit#gid=37342362"",""PE VI all branches!A1:E200""))},5,FALSE),"" "")"),86)</f>
        <v>86</v>
      </c>
      <c r="S24" s="85" t="str">
        <f t="shared" ca="1" si="29"/>
        <v>Pass</v>
      </c>
      <c r="T24" s="86" t="str">
        <f t="shared" ca="1" si="28"/>
        <v>O</v>
      </c>
      <c r="U24" s="85">
        <v>3</v>
      </c>
      <c r="V24" s="82">
        <f t="shared" ca="1" si="10"/>
        <v>10</v>
      </c>
      <c r="W24" s="80">
        <f t="shared" ca="1" si="11"/>
        <v>30</v>
      </c>
      <c r="X24" s="85">
        <v>89</v>
      </c>
      <c r="Y24" s="85" t="str">
        <f t="shared" si="12"/>
        <v>Pass</v>
      </c>
      <c r="Z24" s="86" t="str">
        <f t="shared" si="13"/>
        <v>O</v>
      </c>
      <c r="AA24" s="87">
        <v>6</v>
      </c>
      <c r="AB24" s="82">
        <f t="shared" si="14"/>
        <v>10</v>
      </c>
      <c r="AC24" s="80">
        <f t="shared" si="15"/>
        <v>60</v>
      </c>
      <c r="AD24" s="87">
        <f ca="1">IFERROR(__xludf.DUMMYFUNCTION("(VLOOKUP(B24,{(IMPORTRANGE(""https://docs.google.com/spreadsheets/d/1bhPzFUTLMV7e35kNXQBjHBx0hnSRtnD8lSPi2nGpa7Y/edit#gid=1774387053"",""BE EXTC!B11:E91""))},4,FALSE))"),92)</f>
        <v>92</v>
      </c>
      <c r="AE24" s="87"/>
      <c r="AF24" s="86" t="str">
        <f t="shared" ca="1" si="16"/>
        <v>O</v>
      </c>
      <c r="AG24" s="87">
        <v>1</v>
      </c>
      <c r="AH24" s="82">
        <f t="shared" ca="1" si="17"/>
        <v>10</v>
      </c>
      <c r="AI24" s="80">
        <f t="shared" ca="1" si="18"/>
        <v>10</v>
      </c>
      <c r="AJ24" s="87">
        <v>16</v>
      </c>
      <c r="AK24" s="87">
        <f t="shared" si="19"/>
        <v>16</v>
      </c>
      <c r="AL24" s="87">
        <f t="shared" ca="1" si="20"/>
        <v>151</v>
      </c>
      <c r="AM24" s="81">
        <f t="shared" ca="1" si="21"/>
        <v>9.4375</v>
      </c>
      <c r="AN24" s="80" t="s">
        <v>35</v>
      </c>
      <c r="AO24" s="81">
        <f t="array" ref="AO24">VLOOKUP(B24,cgpi!$A$8:$K992,2,FALSE)</f>
        <v>7.45</v>
      </c>
      <c r="AP24" s="89">
        <f t="array" ref="AP24">VLOOKUP(B24,cgpi!$A$8:$K992,3,FALSE)</f>
        <v>8.65</v>
      </c>
      <c r="AQ24" s="89">
        <f t="array" ref="AQ24">VLOOKUP(B24,cgpi!$A$8:$K992,4,FALSE)</f>
        <v>9.9</v>
      </c>
      <c r="AR24" s="89">
        <f t="array" ref="AR24">VLOOKUP(B24,cgpi!$A$8:$K992,5,FALSE)</f>
        <v>9.42</v>
      </c>
      <c r="AS24" s="89">
        <f t="array" ref="AS24">VLOOKUP(B24,cgpi!$A$8:$K992,6,FALSE)</f>
        <v>9.24</v>
      </c>
      <c r="AT24" s="89">
        <f t="array" ref="AT24">VLOOKUP(B24,cgpi!$A$8:$K992,7,FALSE)</f>
        <v>9.57</v>
      </c>
      <c r="AU24" s="89">
        <f t="array" ref="AU24">VLOOKUP(B24,cgpi!$A$8:$K992,8,FALSE)</f>
        <v>9.25</v>
      </c>
      <c r="AV24" s="89">
        <f t="array" ref="AV24">VLOOKUP(B24,cgpi!$A$8:$K992,9,FALSE)</f>
        <v>9.44</v>
      </c>
      <c r="AW24" s="89">
        <f t="array" ref="AW24">VLOOKUP(B24,cgpi!$A$8:$K992,10,FALSE)</f>
        <v>9.11</v>
      </c>
      <c r="AX24" s="89">
        <f t="array" ref="AX24">VLOOKUP(B24,cgpi!$A$8:$K992,11,FALSE)</f>
        <v>9.34</v>
      </c>
    </row>
    <row r="25" spans="1:50" ht="45" customHeight="1">
      <c r="A25" s="98">
        <v>19</v>
      </c>
      <c r="B25" s="50">
        <v>2019120037</v>
      </c>
      <c r="C25" s="51" t="str">
        <f t="array" ref="C25">VLOOKUP(B25,studentnames!$A$6:$B992,2,FALSE)</f>
        <v>MANDAVILLI SWAPNIL RAVI KESAV ASHA LATHA</v>
      </c>
      <c r="D25" s="84">
        <f ca="1">IFERROR(__xludf.DUMMYFUNCTION("(VLOOKUP(B25,{(IMPORTRANGE(""https://docs.google.com/spreadsheets/d/1IgGENpYbL2rI7gfQAXyk9JS3FgAuuh8Wul__oPf-faY/edit#gid=838365050"",""BE-OESall branches!J1:K350""))},2,FALSE))"),80)</f>
        <v>80</v>
      </c>
      <c r="E25" s="85" t="str">
        <f t="shared" ca="1" si="0"/>
        <v>Pass</v>
      </c>
      <c r="F25" s="86" t="str">
        <f t="shared" ca="1" si="22"/>
        <v>O</v>
      </c>
      <c r="G25" s="85">
        <v>3</v>
      </c>
      <c r="H25" s="82">
        <f t="shared" ca="1" si="2"/>
        <v>10</v>
      </c>
      <c r="I25" s="80">
        <f t="shared" ca="1" si="3"/>
        <v>30</v>
      </c>
      <c r="J25" s="112" t="str">
        <f ca="1">IFERROR(__xludf.DUMMYFUNCTION("IFERROR(VLOOKUP(B25,{(IMPORTRANGE(""https://docs.google.com/spreadsheets/d/1IgGENpYbL2rI7gfQAXyk9JS3FgAuuh8Wul__oPf-faY/edit#gid=139233849"",""PEV all barnches!A1:E200""))},4,FALSE),"" "")"),"Cloud computing")</f>
        <v>Cloud computing</v>
      </c>
      <c r="K25" s="85">
        <f ca="1">IFERROR(__xludf.DUMMYFUNCTION("IFERROR(VLOOKUP(B25,{(IMPORTRANGE(""https://docs.google.com/spreadsheets/d/1IgGENpYbL2rI7gfQAXyk9JS3FgAuuh8Wul__oPf-faY/edit#gid=139233849"",""PEV all barnches!A1:E200""))},5,FALSE),"" "")"),80)</f>
        <v>80</v>
      </c>
      <c r="L25" s="85" t="str">
        <f t="shared" ca="1" si="4"/>
        <v>Pass</v>
      </c>
      <c r="M25" s="86" t="str">
        <f t="shared" ca="1" si="23"/>
        <v>O</v>
      </c>
      <c r="N25" s="85">
        <v>3</v>
      </c>
      <c r="O25" s="82">
        <f t="shared" ca="1" si="6"/>
        <v>10</v>
      </c>
      <c r="P25" s="80">
        <f t="shared" ca="1" si="7"/>
        <v>30</v>
      </c>
      <c r="Q25" s="112" t="str">
        <f ca="1">IFERROR(__xludf.DUMMYFUNCTION("IFERROR(VLOOKUP(B25,{(IMPORTRANGE(""https://docs.google.com/spreadsheets/d/1IgGENpYbL2rI7gfQAXyk9JS3FgAuuh8Wul__oPf-faY/edit#gid=37342362"",""PE VI all branches!A1:E200""))},4,FALSE),"" "")"),"Blockchain and its Applications")</f>
        <v>Blockchain and its Applications</v>
      </c>
      <c r="R25" s="85">
        <f ca="1">IFERROR(__xludf.DUMMYFUNCTION("IFERROR(VLOOKUP(B25,{(IMPORTRANGE(""https://docs.google.com/spreadsheets/d/1IgGENpYbL2rI7gfQAXyk9JS3FgAuuh8Wul__oPf-faY/edit#gid=37342362"",""PE VI all branches!A1:E200""))},5,FALSE),"" "")"),67)</f>
        <v>67</v>
      </c>
      <c r="S25" s="85" t="str">
        <f t="shared" ca="1" si="29"/>
        <v>Pass</v>
      </c>
      <c r="T25" s="86" t="str">
        <f t="shared" ca="1" si="28"/>
        <v>C</v>
      </c>
      <c r="U25" s="85">
        <v>3</v>
      </c>
      <c r="V25" s="82">
        <f t="shared" ca="1" si="10"/>
        <v>7</v>
      </c>
      <c r="W25" s="80">
        <f t="shared" ca="1" si="11"/>
        <v>21</v>
      </c>
      <c r="X25" s="85">
        <v>88</v>
      </c>
      <c r="Y25" s="85" t="str">
        <f t="shared" si="12"/>
        <v>Pass</v>
      </c>
      <c r="Z25" s="86" t="str">
        <f t="shared" si="13"/>
        <v>O</v>
      </c>
      <c r="AA25" s="87">
        <v>6</v>
      </c>
      <c r="AB25" s="82">
        <f t="shared" si="14"/>
        <v>10</v>
      </c>
      <c r="AC25" s="80">
        <f t="shared" si="15"/>
        <v>60</v>
      </c>
      <c r="AD25" s="87">
        <f ca="1">IFERROR(__xludf.DUMMYFUNCTION("(VLOOKUP(B25,{(IMPORTRANGE(""https://docs.google.com/spreadsheets/d/1bhPzFUTLMV7e35kNXQBjHBx0hnSRtnD8lSPi2nGpa7Y/edit#gid=1774387053"",""BE EXTC!B11:E91""))},4,FALSE))"),84)</f>
        <v>84</v>
      </c>
      <c r="AE25" s="87"/>
      <c r="AF25" s="86" t="str">
        <f t="shared" ca="1" si="16"/>
        <v>O</v>
      </c>
      <c r="AG25" s="87">
        <v>1</v>
      </c>
      <c r="AH25" s="82">
        <f t="shared" ca="1" si="17"/>
        <v>10</v>
      </c>
      <c r="AI25" s="80">
        <f t="shared" ca="1" si="18"/>
        <v>10</v>
      </c>
      <c r="AJ25" s="87">
        <v>16</v>
      </c>
      <c r="AK25" s="87">
        <f t="shared" si="19"/>
        <v>16</v>
      </c>
      <c r="AL25" s="87">
        <f t="shared" ca="1" si="20"/>
        <v>151</v>
      </c>
      <c r="AM25" s="81">
        <f t="shared" ca="1" si="21"/>
        <v>9.4375</v>
      </c>
      <c r="AN25" s="80" t="s">
        <v>35</v>
      </c>
      <c r="AO25" s="81">
        <f t="array" ref="AO25">VLOOKUP(B25,cgpi!$A$8:$K992,2,FALSE)</f>
        <v>7.7</v>
      </c>
      <c r="AP25" s="89">
        <f t="array" ref="AP25">VLOOKUP(B25,cgpi!$A$8:$K992,3,FALSE)</f>
        <v>8.25</v>
      </c>
      <c r="AQ25" s="89">
        <f t="array" ref="AQ25">VLOOKUP(B25,cgpi!$A$8:$K992,4,FALSE)</f>
        <v>9.24</v>
      </c>
      <c r="AR25" s="89">
        <f t="array" ref="AR25">VLOOKUP(B25,cgpi!$A$8:$K992,5,FALSE)</f>
        <v>8.6300000000000008</v>
      </c>
      <c r="AS25" s="89">
        <f t="array" ref="AS25">VLOOKUP(B25,cgpi!$A$8:$K992,6,FALSE)</f>
        <v>9.14</v>
      </c>
      <c r="AT25" s="89">
        <f t="array" ref="AT25">VLOOKUP(B25,cgpi!$A$8:$K992,7,FALSE)</f>
        <v>9.86</v>
      </c>
      <c r="AU25" s="89">
        <f t="array" ref="AU25">VLOOKUP(B25,cgpi!$A$8:$K992,8,FALSE)</f>
        <v>7.94</v>
      </c>
      <c r="AV25" s="89">
        <f t="array" ref="AV25">VLOOKUP(B25,cgpi!$A$8:$K992,9,FALSE)</f>
        <v>9.44</v>
      </c>
      <c r="AW25" s="89">
        <f t="array" ref="AW25">VLOOKUP(B25,cgpi!$A$8:$K992,10,FALSE)</f>
        <v>8.7899999999999991</v>
      </c>
      <c r="AX25" s="89">
        <f t="array" ref="AX25">VLOOKUP(B25,cgpi!$A$8:$K992,11,FALSE)</f>
        <v>8.69</v>
      </c>
    </row>
    <row r="26" spans="1:50" ht="45" customHeight="1">
      <c r="A26" s="49">
        <v>20</v>
      </c>
      <c r="B26" s="50">
        <v>2019120038</v>
      </c>
      <c r="C26" s="51" t="str">
        <f t="array" ref="C26">VLOOKUP(B26,studentnames!$A$6:$B992,2,FALSE)</f>
        <v>MOHANTY SIDDHARTH RAJESH CHINMAYEE</v>
      </c>
      <c r="D26" s="84">
        <f ca="1">IFERROR(__xludf.DUMMYFUNCTION("(VLOOKUP(B26,{(IMPORTRANGE(""https://docs.google.com/spreadsheets/d/1IgGENpYbL2rI7gfQAXyk9JS3FgAuuh8Wul__oPf-faY/edit#gid=838365050"",""BE-OESall branches!J1:K350""))},2,FALSE))"),73)</f>
        <v>73</v>
      </c>
      <c r="E26" s="85" t="str">
        <f t="shared" ca="1" si="0"/>
        <v>Pass</v>
      </c>
      <c r="F26" s="86" t="str">
        <f t="shared" ca="1" si="22"/>
        <v>B</v>
      </c>
      <c r="G26" s="85">
        <v>3</v>
      </c>
      <c r="H26" s="82">
        <f t="shared" ca="1" si="2"/>
        <v>8</v>
      </c>
      <c r="I26" s="80">
        <f t="shared" ca="1" si="3"/>
        <v>24</v>
      </c>
      <c r="J26" s="112" t="str">
        <f ca="1">IFERROR(__xludf.DUMMYFUNCTION("IFERROR(VLOOKUP(B26,{(IMPORTRANGE(""https://docs.google.com/spreadsheets/d/1IgGENpYbL2rI7gfQAXyk9JS3FgAuuh8Wul__oPf-faY/edit#gid=139233849"",""PEV all barnches!A1:E200""))},4,FALSE),"" "")"),"Cloud Computing")</f>
        <v>Cloud Computing</v>
      </c>
      <c r="K26" s="85">
        <f ca="1">IFERROR(__xludf.DUMMYFUNCTION("IFERROR(VLOOKUP(B26,{(IMPORTRANGE(""https://docs.google.com/spreadsheets/d/1IgGENpYbL2rI7gfQAXyk9JS3FgAuuh8Wul__oPf-faY/edit#gid=139233849"",""PEV all barnches!A1:E200""))},5,FALSE),"" "")"),88)</f>
        <v>88</v>
      </c>
      <c r="L26" s="85" t="str">
        <f t="shared" ca="1" si="4"/>
        <v>Pass</v>
      </c>
      <c r="M26" s="86" t="str">
        <f t="shared" ca="1" si="23"/>
        <v>O</v>
      </c>
      <c r="N26" s="85">
        <v>3</v>
      </c>
      <c r="O26" s="82">
        <f t="shared" ca="1" si="6"/>
        <v>10</v>
      </c>
      <c r="P26" s="80">
        <f t="shared" ca="1" si="7"/>
        <v>30</v>
      </c>
      <c r="Q26" s="112" t="str">
        <f ca="1">IFERROR(__xludf.DUMMYFUNCTION("IFERROR(VLOOKUP(B26,{(IMPORTRANGE(""https://docs.google.com/spreadsheets/d/1IgGENpYbL2rI7gfQAXyk9JS3FgAuuh8Wul__oPf-faY/edit#gid=37342362"",""PE VI all branches!A1:E200""))},4,FALSE),"" "")"),"Blockchain and its Applications")</f>
        <v>Blockchain and its Applications</v>
      </c>
      <c r="R26" s="85">
        <f ca="1">IFERROR(__xludf.DUMMYFUNCTION("IFERROR(VLOOKUP(B26,{(IMPORTRANGE(""https://docs.google.com/spreadsheets/d/1IgGENpYbL2rI7gfQAXyk9JS3FgAuuh8Wul__oPf-faY/edit#gid=37342362"",""PE VI all branches!A1:E200""))},5,FALSE),"" "")"),55)</f>
        <v>55</v>
      </c>
      <c r="S26" s="85" t="str">
        <f t="shared" ca="1" si="29"/>
        <v>Pass</v>
      </c>
      <c r="T26" s="86" t="str">
        <f t="shared" ca="1" si="28"/>
        <v>D</v>
      </c>
      <c r="U26" s="85">
        <v>3</v>
      </c>
      <c r="V26" s="82">
        <f t="shared" ca="1" si="10"/>
        <v>6</v>
      </c>
      <c r="W26" s="80">
        <f t="shared" ca="1" si="11"/>
        <v>18</v>
      </c>
      <c r="X26" s="85">
        <v>88</v>
      </c>
      <c r="Y26" s="85" t="str">
        <f t="shared" si="12"/>
        <v>Pass</v>
      </c>
      <c r="Z26" s="86" t="str">
        <f t="shared" si="13"/>
        <v>O</v>
      </c>
      <c r="AA26" s="87">
        <v>6</v>
      </c>
      <c r="AB26" s="82">
        <f t="shared" si="14"/>
        <v>10</v>
      </c>
      <c r="AC26" s="80">
        <f t="shared" si="15"/>
        <v>60</v>
      </c>
      <c r="AD26" s="87">
        <f ca="1">IFERROR(__xludf.DUMMYFUNCTION("(VLOOKUP(B26,{(IMPORTRANGE(""https://docs.google.com/spreadsheets/d/1bhPzFUTLMV7e35kNXQBjHBx0hnSRtnD8lSPi2nGpa7Y/edit#gid=1774387053"",""BE EXTC!B11:E91""))},4,FALSE))"),86)</f>
        <v>86</v>
      </c>
      <c r="AE26" s="87"/>
      <c r="AF26" s="86" t="str">
        <f t="shared" ca="1" si="16"/>
        <v>O</v>
      </c>
      <c r="AG26" s="87">
        <v>1</v>
      </c>
      <c r="AH26" s="82">
        <f t="shared" ca="1" si="17"/>
        <v>10</v>
      </c>
      <c r="AI26" s="80">
        <f t="shared" ca="1" si="18"/>
        <v>10</v>
      </c>
      <c r="AJ26" s="87">
        <v>16</v>
      </c>
      <c r="AK26" s="87">
        <f t="shared" si="19"/>
        <v>16</v>
      </c>
      <c r="AL26" s="87">
        <f t="shared" ca="1" si="20"/>
        <v>142</v>
      </c>
      <c r="AM26" s="81">
        <f t="shared" ca="1" si="21"/>
        <v>8.875</v>
      </c>
      <c r="AN26" s="80" t="s">
        <v>35</v>
      </c>
      <c r="AO26" s="81">
        <f t="array" ref="AO26">VLOOKUP(B26,cgpi!$A$8:$K992,2,FALSE)</f>
        <v>8.4499999999999993</v>
      </c>
      <c r="AP26" s="89">
        <f t="array" ref="AP26">VLOOKUP(B26,cgpi!$A$8:$K992,3,FALSE)</f>
        <v>9.0500000000000007</v>
      </c>
      <c r="AQ26" s="89">
        <f t="array" ref="AQ26">VLOOKUP(B26,cgpi!$A$8:$K992,4,FALSE)</f>
        <v>9.43</v>
      </c>
      <c r="AR26" s="89">
        <f t="array" ref="AR26">VLOOKUP(B26,cgpi!$A$8:$K992,5,FALSE)</f>
        <v>8.7899999999999991</v>
      </c>
      <c r="AS26" s="89">
        <f t="array" ref="AS26">VLOOKUP(B26,cgpi!$A$8:$K992,6,FALSE)</f>
        <v>8.57</v>
      </c>
      <c r="AT26" s="89">
        <f t="array" ref="AT26">VLOOKUP(B26,cgpi!$A$8:$K992,7,FALSE)</f>
        <v>9.57</v>
      </c>
      <c r="AU26" s="89">
        <f t="array" ref="AU26">VLOOKUP(B26,cgpi!$A$8:$K992,8,FALSE)</f>
        <v>8.1300000000000008</v>
      </c>
      <c r="AV26" s="89">
        <f t="array" ref="AV26">VLOOKUP(B26,cgpi!$A$8:$K992,9,FALSE)</f>
        <v>8.8800000000000008</v>
      </c>
      <c r="AW26" s="89">
        <f t="array" ref="AW26">VLOOKUP(B26,cgpi!$A$8:$K992,10,FALSE)</f>
        <v>8.8800000000000008</v>
      </c>
      <c r="AX26" s="89">
        <f t="array" ref="AX26">VLOOKUP(B26,cgpi!$A$8:$K992,11,FALSE)</f>
        <v>8.5</v>
      </c>
    </row>
    <row r="27" spans="1:50" ht="45" customHeight="1">
      <c r="A27" s="98">
        <v>21</v>
      </c>
      <c r="B27" s="50">
        <v>2019120039</v>
      </c>
      <c r="C27" s="51" t="str">
        <f t="array" ref="C27">VLOOKUP(B27,studentnames!$A$6:$B992,2,FALSE)</f>
        <v>MOHIDDIN ADNAN ARSHAD AAFREEN</v>
      </c>
      <c r="D27" s="84">
        <f ca="1">IFERROR(__xludf.DUMMYFUNCTION("(VLOOKUP(B27,{(IMPORTRANGE(""https://docs.google.com/spreadsheets/d/1IgGENpYbL2rI7gfQAXyk9JS3FgAuuh8Wul__oPf-faY/edit#gid=838365050"",""BE-OESall branches!J1:K350""))},2,FALSE))"),71)</f>
        <v>71</v>
      </c>
      <c r="E27" s="85" t="str">
        <f t="shared" ca="1" si="0"/>
        <v>Pass</v>
      </c>
      <c r="F27" s="86" t="str">
        <f t="shared" ca="1" si="22"/>
        <v>B</v>
      </c>
      <c r="G27" s="85">
        <v>3</v>
      </c>
      <c r="H27" s="82">
        <f t="shared" ca="1" si="2"/>
        <v>8</v>
      </c>
      <c r="I27" s="80">
        <f t="shared" ca="1" si="3"/>
        <v>24</v>
      </c>
      <c r="J27" s="112" t="str">
        <f ca="1">IFERROR(__xludf.DUMMYFUNCTION("IFERROR(VLOOKUP(B27,{(IMPORTRANGE(""https://docs.google.com/spreadsheets/d/1IgGENpYbL2rI7gfQAXyk9JS3FgAuuh8Wul__oPf-faY/edit#gid=139233849"",""PEV all barnches!A1:E200""))},4,FALSE),"" "")"),"`Blockchain and its applications")</f>
        <v>`Blockchain and its applications</v>
      </c>
      <c r="K27" s="85">
        <f ca="1">IFERROR(__xludf.DUMMYFUNCTION("IFERROR(VLOOKUP(B27,{(IMPORTRANGE(""https://docs.google.com/spreadsheets/d/1IgGENpYbL2rI7gfQAXyk9JS3FgAuuh8Wul__oPf-faY/edit#gid=139233849"",""PEV all barnches!A1:E200""))},5,FALSE),"" "")"),55)</f>
        <v>55</v>
      </c>
      <c r="L27" s="85" t="str">
        <f t="shared" ca="1" si="4"/>
        <v>Pass</v>
      </c>
      <c r="M27" s="86" t="str">
        <f t="shared" ca="1" si="23"/>
        <v>D</v>
      </c>
      <c r="N27" s="85">
        <v>3</v>
      </c>
      <c r="O27" s="82">
        <f t="shared" ca="1" si="6"/>
        <v>6</v>
      </c>
      <c r="P27" s="80">
        <f t="shared" ca="1" si="7"/>
        <v>18</v>
      </c>
      <c r="Q27" s="112" t="str">
        <f ca="1">IFERROR(__xludf.DUMMYFUNCTION("IFERROR(VLOOKUP(B27,{(IMPORTRANGE(""https://docs.google.com/spreadsheets/d/1IgGENpYbL2rI7gfQAXyk9JS3FgAuuh8Wul__oPf-faY/edit#gid=37342362"",""PE VI all branches!A1:E200""))},4,FALSE),"" "")"),"Cloud Computing")</f>
        <v>Cloud Computing</v>
      </c>
      <c r="R27" s="85">
        <f ca="1">IFERROR(__xludf.DUMMYFUNCTION("IFERROR(VLOOKUP(B27,{(IMPORTRANGE(""https://docs.google.com/spreadsheets/d/1IgGENpYbL2rI7gfQAXyk9JS3FgAuuh8Wul__oPf-faY/edit#gid=37342362"",""PE VI all branches!A1:E200""))},5,FALSE),"" "")"),65)</f>
        <v>65</v>
      </c>
      <c r="S27" s="85" t="str">
        <f t="shared" ca="1" si="29"/>
        <v>Pass</v>
      </c>
      <c r="T27" s="86" t="str">
        <f t="shared" ca="1" si="28"/>
        <v>C</v>
      </c>
      <c r="U27" s="85">
        <v>3</v>
      </c>
      <c r="V27" s="82">
        <f t="shared" ca="1" si="10"/>
        <v>7</v>
      </c>
      <c r="W27" s="80">
        <f t="shared" ca="1" si="11"/>
        <v>21</v>
      </c>
      <c r="X27" s="85">
        <v>88</v>
      </c>
      <c r="Y27" s="85" t="str">
        <f t="shared" si="12"/>
        <v>Pass</v>
      </c>
      <c r="Z27" s="86" t="str">
        <f t="shared" si="13"/>
        <v>O</v>
      </c>
      <c r="AA27" s="87">
        <v>6</v>
      </c>
      <c r="AB27" s="82">
        <f t="shared" si="14"/>
        <v>10</v>
      </c>
      <c r="AC27" s="80">
        <f t="shared" si="15"/>
        <v>60</v>
      </c>
      <c r="AD27" s="87">
        <f ca="1">IFERROR(__xludf.DUMMYFUNCTION("(VLOOKUP(B27,{(IMPORTRANGE(""https://docs.google.com/spreadsheets/d/1bhPzFUTLMV7e35kNXQBjHBx0hnSRtnD8lSPi2nGpa7Y/edit#gid=1774387053"",""BE EXTC!B11:E91""))},4,FALSE))"),84)</f>
        <v>84</v>
      </c>
      <c r="AE27" s="87"/>
      <c r="AF27" s="86" t="str">
        <f t="shared" ca="1" si="16"/>
        <v>O</v>
      </c>
      <c r="AG27" s="87">
        <v>1</v>
      </c>
      <c r="AH27" s="82">
        <f t="shared" ca="1" si="17"/>
        <v>10</v>
      </c>
      <c r="AI27" s="80">
        <f t="shared" ca="1" si="18"/>
        <v>10</v>
      </c>
      <c r="AJ27" s="87">
        <v>16</v>
      </c>
      <c r="AK27" s="87">
        <f t="shared" si="19"/>
        <v>16</v>
      </c>
      <c r="AL27" s="87">
        <f t="shared" ca="1" si="20"/>
        <v>133</v>
      </c>
      <c r="AM27" s="81">
        <f t="shared" ca="1" si="21"/>
        <v>8.3125</v>
      </c>
      <c r="AN27" s="80" t="s">
        <v>35</v>
      </c>
      <c r="AO27" s="81">
        <f t="array" ref="AO27">VLOOKUP(B27,cgpi!$A$8:$K992,2,FALSE)</f>
        <v>7.35</v>
      </c>
      <c r="AP27" s="89">
        <f t="array" ref="AP27">VLOOKUP(B27,cgpi!$A$8:$K992,3,FALSE)</f>
        <v>7.95</v>
      </c>
      <c r="AQ27" s="89">
        <f t="array" ref="AQ27">VLOOKUP(B27,cgpi!$A$8:$K992,4,FALSE)</f>
        <v>9.2899999999999991</v>
      </c>
      <c r="AR27" s="89">
        <f t="array" ref="AR27">VLOOKUP(B27,cgpi!$A$8:$K992,5,FALSE)</f>
        <v>8.4700000000000006</v>
      </c>
      <c r="AS27" s="89">
        <f t="array" ref="AS27">VLOOKUP(B27,cgpi!$A$8:$K992,6,FALSE)</f>
        <v>8.67</v>
      </c>
      <c r="AT27" s="89">
        <f t="array" ref="AT27">VLOOKUP(B27,cgpi!$A$8:$K992,7,FALSE)</f>
        <v>8.86</v>
      </c>
      <c r="AU27" s="89">
        <f t="array" ref="AU27">VLOOKUP(B27,cgpi!$A$8:$K992,8,FALSE)</f>
        <v>7.56</v>
      </c>
      <c r="AV27" s="89">
        <f t="array" ref="AV27">VLOOKUP(B27,cgpi!$A$8:$K992,9,FALSE)</f>
        <v>8.31</v>
      </c>
      <c r="AW27" s="89">
        <f t="array" ref="AW27">VLOOKUP(B27,cgpi!$A$8:$K992,10,FALSE)</f>
        <v>8.34</v>
      </c>
      <c r="AX27" s="89">
        <f t="array" ref="AX27">VLOOKUP(B27,cgpi!$A$8:$K992,11,FALSE)</f>
        <v>7.94</v>
      </c>
    </row>
    <row r="28" spans="1:50" ht="45" customHeight="1">
      <c r="A28" s="49">
        <v>22</v>
      </c>
      <c r="B28" s="50">
        <v>2019120040</v>
      </c>
      <c r="C28" s="51" t="str">
        <f t="array" ref="C28">VLOOKUP(B28,studentnames!$A$6:$B992,2,FALSE)</f>
        <v>/ MOTWANI RICHA JAIRAM DEEPIKA</v>
      </c>
      <c r="D28" s="84">
        <f ca="1">IFERROR(__xludf.DUMMYFUNCTION("(VLOOKUP(B28,{(IMPORTRANGE(""https://docs.google.com/spreadsheets/d/1IgGENpYbL2rI7gfQAXyk9JS3FgAuuh8Wul__oPf-faY/edit#gid=838365050"",""BE-OESall branches!J1:K350""))},2,FALSE))"),81)</f>
        <v>81</v>
      </c>
      <c r="E28" s="85" t="str">
        <f t="shared" ca="1" si="0"/>
        <v>Pass</v>
      </c>
      <c r="F28" s="86" t="str">
        <f t="shared" ca="1" si="22"/>
        <v>O</v>
      </c>
      <c r="G28" s="85">
        <v>3</v>
      </c>
      <c r="H28" s="82">
        <f t="shared" ca="1" si="2"/>
        <v>10</v>
      </c>
      <c r="I28" s="80">
        <f t="shared" ca="1" si="3"/>
        <v>30</v>
      </c>
      <c r="J28" s="112" t="str">
        <f ca="1">IFERROR(__xludf.DUMMYFUNCTION("IFERROR(VLOOKUP(B28,{(IMPORTRANGE(""https://docs.google.com/spreadsheets/d/1IgGENpYbL2rI7gfQAXyk9JS3FgAuuh8Wul__oPf-faY/edit#gid=139233849"",""PEV all barnches!A1:E200""))},4,FALSE),"" "")"),"Blockchain and its Application ")</f>
        <v xml:space="preserve">Blockchain and its Application </v>
      </c>
      <c r="K28" s="85">
        <f ca="1">IFERROR(__xludf.DUMMYFUNCTION("IFERROR(VLOOKUP(B28,{(IMPORTRANGE(""https://docs.google.com/spreadsheets/d/1IgGENpYbL2rI7gfQAXyk9JS3FgAuuh8Wul__oPf-faY/edit#gid=139233849"",""PEV all barnches!A1:E200""))},5,FALSE),"" "")"),65)</f>
        <v>65</v>
      </c>
      <c r="L28" s="85" t="str">
        <f t="shared" ca="1" si="4"/>
        <v>Pass</v>
      </c>
      <c r="M28" s="86" t="str">
        <f t="shared" ca="1" si="23"/>
        <v>C</v>
      </c>
      <c r="N28" s="85">
        <v>3</v>
      </c>
      <c r="O28" s="82">
        <f t="shared" ca="1" si="6"/>
        <v>7</v>
      </c>
      <c r="P28" s="80">
        <f t="shared" ca="1" si="7"/>
        <v>21</v>
      </c>
      <c r="Q28" s="112" t="str">
        <f ca="1">IFERROR(__xludf.DUMMYFUNCTION("IFERROR(VLOOKUP(B28,{(IMPORTRANGE(""https://docs.google.com/spreadsheets/d/1IgGENpYbL2rI7gfQAXyk9JS3FgAuuh8Wul__oPf-faY/edit#gid=37342362"",""PE VI all branches!A1:E200""))},4,FALSE),"" "")"),"Cloud Computing ")</f>
        <v xml:space="preserve">Cloud Computing </v>
      </c>
      <c r="R28" s="85">
        <f ca="1">IFERROR(__xludf.DUMMYFUNCTION("IFERROR(VLOOKUP(B28,{(IMPORTRANGE(""https://docs.google.com/spreadsheets/d/1IgGENpYbL2rI7gfQAXyk9JS3FgAuuh8Wul__oPf-faY/edit#gid=37342362"",""PE VI all branches!A1:E200""))},5,FALSE),"" "")"),83)</f>
        <v>83</v>
      </c>
      <c r="S28" s="85" t="str">
        <f t="shared" ca="1" si="29"/>
        <v>Pass</v>
      </c>
      <c r="T28" s="86" t="str">
        <f t="shared" ca="1" si="28"/>
        <v>O</v>
      </c>
      <c r="U28" s="85">
        <v>3</v>
      </c>
      <c r="V28" s="82">
        <f t="shared" ca="1" si="10"/>
        <v>10</v>
      </c>
      <c r="W28" s="80">
        <f t="shared" ca="1" si="11"/>
        <v>30</v>
      </c>
      <c r="X28" s="85">
        <v>83</v>
      </c>
      <c r="Y28" s="85" t="str">
        <f t="shared" si="12"/>
        <v>Pass</v>
      </c>
      <c r="Z28" s="86" t="str">
        <f t="shared" si="13"/>
        <v>O</v>
      </c>
      <c r="AA28" s="87">
        <v>6</v>
      </c>
      <c r="AB28" s="82">
        <f t="shared" si="14"/>
        <v>10</v>
      </c>
      <c r="AC28" s="80">
        <f t="shared" si="15"/>
        <v>60</v>
      </c>
      <c r="AD28" s="87">
        <f ca="1">IFERROR(__xludf.DUMMYFUNCTION("(VLOOKUP(B28,{(IMPORTRANGE(""https://docs.google.com/spreadsheets/d/1bhPzFUTLMV7e35kNXQBjHBx0hnSRtnD8lSPi2nGpa7Y/edit#gid=1774387053"",""BE EXTC!B11:E91""))},4,FALSE))"),84)</f>
        <v>84</v>
      </c>
      <c r="AE28" s="87"/>
      <c r="AF28" s="86" t="str">
        <f t="shared" ca="1" si="16"/>
        <v>O</v>
      </c>
      <c r="AG28" s="87">
        <v>1</v>
      </c>
      <c r="AH28" s="82">
        <f t="shared" ca="1" si="17"/>
        <v>10</v>
      </c>
      <c r="AI28" s="80">
        <f t="shared" ca="1" si="18"/>
        <v>10</v>
      </c>
      <c r="AJ28" s="87">
        <v>16</v>
      </c>
      <c r="AK28" s="87">
        <f t="shared" si="19"/>
        <v>16</v>
      </c>
      <c r="AL28" s="87">
        <f t="shared" ca="1" si="20"/>
        <v>151</v>
      </c>
      <c r="AM28" s="81">
        <f t="shared" ca="1" si="21"/>
        <v>9.4375</v>
      </c>
      <c r="AN28" s="80" t="s">
        <v>35</v>
      </c>
      <c r="AO28" s="81">
        <f t="array" ref="AO28">VLOOKUP(B28,cgpi!$A$8:$K992,2,FALSE)</f>
        <v>8.6</v>
      </c>
      <c r="AP28" s="89">
        <f t="array" ref="AP28">VLOOKUP(B28,cgpi!$A$8:$K992,3,FALSE)</f>
        <v>9.15</v>
      </c>
      <c r="AQ28" s="89">
        <f t="array" ref="AQ28">VLOOKUP(B28,cgpi!$A$8:$K992,4,FALSE)</f>
        <v>9.81</v>
      </c>
      <c r="AR28" s="89">
        <f t="array" ref="AR28">VLOOKUP(B28,cgpi!$A$8:$K992,5,FALSE)</f>
        <v>8.68</v>
      </c>
      <c r="AS28" s="89">
        <f t="array" ref="AS28">VLOOKUP(B28,cgpi!$A$8:$K992,6,FALSE)</f>
        <v>8.86</v>
      </c>
      <c r="AT28" s="89">
        <f t="array" ref="AT28">VLOOKUP(B28,cgpi!$A$8:$K992,7,FALSE)</f>
        <v>9.86</v>
      </c>
      <c r="AU28" s="89">
        <f t="array" ref="AU28">VLOOKUP(B28,cgpi!$A$8:$K992,8,FALSE)</f>
        <v>8.5</v>
      </c>
      <c r="AV28" s="89">
        <f t="array" ref="AV28">VLOOKUP(B28,cgpi!$A$8:$K992,9,FALSE)</f>
        <v>9.44</v>
      </c>
      <c r="AW28" s="89">
        <f t="array" ref="AW28">VLOOKUP(B28,cgpi!$A$8:$K992,10,FALSE)</f>
        <v>9.1300000000000008</v>
      </c>
      <c r="AX28" s="89">
        <f t="array" ref="AX28">VLOOKUP(B28,cgpi!$A$8:$K992,11,FALSE)</f>
        <v>8.9700000000000006</v>
      </c>
    </row>
    <row r="29" spans="1:50" ht="45" customHeight="1">
      <c r="A29" s="98">
        <v>23</v>
      </c>
      <c r="B29" s="50">
        <v>2019120041</v>
      </c>
      <c r="C29" s="51" t="str">
        <f t="array" ref="C29">VLOOKUP(B29,studentnames!$A$6:$B992,2,FALSE)</f>
        <v>MURALIDARAN SAIKRISHNA N MURALIDARAN LALITHA</v>
      </c>
      <c r="D29" s="84">
        <f ca="1">IFERROR(__xludf.DUMMYFUNCTION("(VLOOKUP(B29,{(IMPORTRANGE(""https://docs.google.com/spreadsheets/d/1IgGENpYbL2rI7gfQAXyk9JS3FgAuuh8Wul__oPf-faY/edit#gid=838365050"",""BE-OESall branches!J1:K350""))},2,FALSE))"),87)</f>
        <v>87</v>
      </c>
      <c r="E29" s="85" t="str">
        <f t="shared" ca="1" si="0"/>
        <v>Pass</v>
      </c>
      <c r="F29" s="86" t="str">
        <f t="shared" ca="1" si="22"/>
        <v>O</v>
      </c>
      <c r="G29" s="85">
        <v>3</v>
      </c>
      <c r="H29" s="82">
        <f t="shared" ca="1" si="2"/>
        <v>10</v>
      </c>
      <c r="I29" s="80">
        <f t="shared" ca="1" si="3"/>
        <v>30</v>
      </c>
      <c r="J29" s="112" t="str">
        <f ca="1">IFERROR(__xludf.DUMMYFUNCTION("IFERROR(VLOOKUP(B29,{(IMPORTRANGE(""https://docs.google.com/spreadsheets/d/1IgGENpYbL2rI7gfQAXyk9JS3FgAuuh8Wul__oPf-faY/edit#gid=139233849"",""PEV all barnches!A1:E200""))},4,FALSE),"" "")"),"Cloud Computing")</f>
        <v>Cloud Computing</v>
      </c>
      <c r="K29" s="85">
        <f ca="1">IFERROR(__xludf.DUMMYFUNCTION("IFERROR(VLOOKUP(B29,{(IMPORTRANGE(""https://docs.google.com/spreadsheets/d/1IgGENpYbL2rI7gfQAXyk9JS3FgAuuh8Wul__oPf-faY/edit#gid=139233849"",""PEV all barnches!A1:E200""))},5,FALSE),"" "")"),85)</f>
        <v>85</v>
      </c>
      <c r="L29" s="85" t="str">
        <f t="shared" ca="1" si="4"/>
        <v>Pass</v>
      </c>
      <c r="M29" s="86" t="str">
        <f t="shared" ca="1" si="23"/>
        <v>O</v>
      </c>
      <c r="N29" s="85">
        <v>3</v>
      </c>
      <c r="O29" s="82">
        <f t="shared" ca="1" si="6"/>
        <v>10</v>
      </c>
      <c r="P29" s="80">
        <f t="shared" ca="1" si="7"/>
        <v>30</v>
      </c>
      <c r="Q29" s="112" t="str">
        <f ca="1">IFERROR(__xludf.DUMMYFUNCTION("IFERROR(VLOOKUP(B29,{(IMPORTRANGE(""https://docs.google.com/spreadsheets/d/1IgGENpYbL2rI7gfQAXyk9JS3FgAuuh8Wul__oPf-faY/edit#gid=37342362"",""PE VI all branches!A1:E200""))},4,FALSE),"" "")"),"Introduction to Internet of Things")</f>
        <v>Introduction to Internet of Things</v>
      </c>
      <c r="R29" s="85">
        <f ca="1">IFERROR(__xludf.DUMMYFUNCTION("IFERROR(VLOOKUP(B29,{(IMPORTRANGE(""https://docs.google.com/spreadsheets/d/1IgGENpYbL2rI7gfQAXyk9JS3FgAuuh8Wul__oPf-faY/edit#gid=37342362"",""PE VI all branches!A1:E200""))},5,FALSE),"" "")"),90)</f>
        <v>90</v>
      </c>
      <c r="S29" s="85" t="str">
        <f t="shared" ca="1" si="29"/>
        <v>Pass</v>
      </c>
      <c r="T29" s="86" t="str">
        <f t="shared" ca="1" si="28"/>
        <v>O</v>
      </c>
      <c r="U29" s="85">
        <v>3</v>
      </c>
      <c r="V29" s="82">
        <f t="shared" ca="1" si="10"/>
        <v>10</v>
      </c>
      <c r="W29" s="80">
        <f t="shared" ca="1" si="11"/>
        <v>30</v>
      </c>
      <c r="X29" s="85">
        <v>92</v>
      </c>
      <c r="Y29" s="85" t="str">
        <f t="shared" si="12"/>
        <v>Pass</v>
      </c>
      <c r="Z29" s="86" t="str">
        <f t="shared" si="13"/>
        <v>O</v>
      </c>
      <c r="AA29" s="87">
        <v>6</v>
      </c>
      <c r="AB29" s="82">
        <f t="shared" si="14"/>
        <v>10</v>
      </c>
      <c r="AC29" s="80">
        <f t="shared" si="15"/>
        <v>60</v>
      </c>
      <c r="AD29" s="87">
        <f ca="1">IFERROR(__xludf.DUMMYFUNCTION("(VLOOKUP(B29,{(IMPORTRANGE(""https://docs.google.com/spreadsheets/d/1bhPzFUTLMV7e35kNXQBjHBx0hnSRtnD8lSPi2nGpa7Y/edit#gid=1774387053"",""BE EXTC!B11:E91""))},4,FALSE))"),84)</f>
        <v>84</v>
      </c>
      <c r="AE29" s="87"/>
      <c r="AF29" s="86" t="str">
        <f t="shared" ca="1" si="16"/>
        <v>O</v>
      </c>
      <c r="AG29" s="87">
        <v>1</v>
      </c>
      <c r="AH29" s="82">
        <f t="shared" ca="1" si="17"/>
        <v>10</v>
      </c>
      <c r="AI29" s="80">
        <f t="shared" ca="1" si="18"/>
        <v>10</v>
      </c>
      <c r="AJ29" s="87">
        <v>16</v>
      </c>
      <c r="AK29" s="87">
        <f t="shared" si="19"/>
        <v>16</v>
      </c>
      <c r="AL29" s="87">
        <f t="shared" ca="1" si="20"/>
        <v>160</v>
      </c>
      <c r="AM29" s="88">
        <f t="shared" ca="1" si="21"/>
        <v>10</v>
      </c>
      <c r="AN29" s="80" t="s">
        <v>35</v>
      </c>
      <c r="AO29" s="81">
        <f t="array" ref="AO29">VLOOKUP(B29,cgpi!$A$8:$K992,2,FALSE)</f>
        <v>9</v>
      </c>
      <c r="AP29" s="89">
        <f t="array" ref="AP29">VLOOKUP(B29,cgpi!$A$8:$K992,3,FALSE)</f>
        <v>9.5500000000000007</v>
      </c>
      <c r="AQ29" s="89">
        <f t="array" ref="AQ29">VLOOKUP(B29,cgpi!$A$8:$K992,4,FALSE)</f>
        <v>9.81</v>
      </c>
      <c r="AR29" s="89">
        <f t="array" ref="AR29">VLOOKUP(B29,cgpi!$A$8:$K992,5,FALSE)</f>
        <v>9.26</v>
      </c>
      <c r="AS29" s="89">
        <f t="array" ref="AS29">VLOOKUP(B29,cgpi!$A$8:$K992,6,FALSE)</f>
        <v>9.43</v>
      </c>
      <c r="AT29" s="89">
        <f t="array" ref="AT29">VLOOKUP(B29,cgpi!$A$8:$K992,7,FALSE)</f>
        <v>9.57</v>
      </c>
      <c r="AU29" s="89">
        <f t="array" ref="AU29">VLOOKUP(B29,cgpi!$A$8:$K992,8,FALSE)</f>
        <v>9.81</v>
      </c>
      <c r="AV29" s="89">
        <f t="array" ref="AV29">VLOOKUP(B29,cgpi!$A$8:$K992,9,FALSE)</f>
        <v>10</v>
      </c>
      <c r="AW29" s="89">
        <f t="array" ref="AW29">VLOOKUP(B29,cgpi!$A$8:$K992,10,FALSE)</f>
        <v>9.5399999999999991</v>
      </c>
      <c r="AX29" s="89">
        <f t="array" ref="AX29">VLOOKUP(B29,cgpi!$A$8:$K992,11,FALSE)</f>
        <v>9.91</v>
      </c>
    </row>
    <row r="30" spans="1:50" ht="45" customHeight="1">
      <c r="A30" s="49">
        <v>24</v>
      </c>
      <c r="B30" s="50">
        <v>2019120042</v>
      </c>
      <c r="C30" s="51" t="str">
        <f t="array" ref="C30">VLOOKUP(B30,studentnames!$A$6:$B992,2,FALSE)</f>
        <v>/ NIMRAT KAUR AMAR PAL SINGH SUKHINDER KAUR</v>
      </c>
      <c r="D30" s="84">
        <f ca="1">IFERROR(__xludf.DUMMYFUNCTION("(VLOOKUP(B30,{(IMPORTRANGE(""https://docs.google.com/spreadsheets/d/1IgGENpYbL2rI7gfQAXyk9JS3FgAuuh8Wul__oPf-faY/edit#gid=838365050"",""BE-OESall branches!J1:K350""))},2,FALSE))"),81)</f>
        <v>81</v>
      </c>
      <c r="E30" s="85" t="str">
        <f t="shared" ca="1" si="0"/>
        <v>Pass</v>
      </c>
      <c r="F30" s="86" t="str">
        <f t="shared" ca="1" si="22"/>
        <v>O</v>
      </c>
      <c r="G30" s="85">
        <v>3</v>
      </c>
      <c r="H30" s="82">
        <f t="shared" ca="1" si="2"/>
        <v>10</v>
      </c>
      <c r="I30" s="80">
        <f t="shared" ca="1" si="3"/>
        <v>30</v>
      </c>
      <c r="J30" s="112" t="str">
        <f ca="1">IFERROR(__xludf.DUMMYFUNCTION("IFERROR(VLOOKUP(B30,{(IMPORTRANGE(""https://docs.google.com/spreadsheets/d/1IgGENpYbL2rI7gfQAXyk9JS3FgAuuh8Wul__oPf-faY/edit#gid=139233849"",""PEV all barnches!A1:E200""))},4,FALSE),"" "")"),"Cloud Computing")</f>
        <v>Cloud Computing</v>
      </c>
      <c r="K30" s="85">
        <f ca="1">IFERROR(__xludf.DUMMYFUNCTION("IFERROR(VLOOKUP(B30,{(IMPORTRANGE(""https://docs.google.com/spreadsheets/d/1IgGENpYbL2rI7gfQAXyk9JS3FgAuuh8Wul__oPf-faY/edit#gid=139233849"",""PEV all barnches!A1:E200""))},5,FALSE),"" "")"),78)</f>
        <v>78</v>
      </c>
      <c r="L30" s="85" t="str">
        <f t="shared" ca="1" si="4"/>
        <v>Pass</v>
      </c>
      <c r="M30" s="86" t="str">
        <f t="shared" ca="1" si="23"/>
        <v>A</v>
      </c>
      <c r="N30" s="85">
        <v>3</v>
      </c>
      <c r="O30" s="82">
        <f t="shared" ca="1" si="6"/>
        <v>9</v>
      </c>
      <c r="P30" s="80">
        <f t="shared" ca="1" si="7"/>
        <v>27</v>
      </c>
      <c r="Q30" s="112" t="str">
        <f ca="1">IFERROR(__xludf.DUMMYFUNCTION("IFERROR(VLOOKUP(B30,{(IMPORTRANGE(""https://docs.google.com/spreadsheets/d/1IgGENpYbL2rI7gfQAXyk9JS3FgAuuh8Wul__oPf-faY/edit#gid=37342362"",""PE VI all branches!A1:E200""))},4,FALSE),"" "")"),"Blockchain and its Applications")</f>
        <v>Blockchain and its Applications</v>
      </c>
      <c r="R30" s="85">
        <f ca="1">IFERROR(__xludf.DUMMYFUNCTION("IFERROR(VLOOKUP(B30,{(IMPORTRANGE(""https://docs.google.com/spreadsheets/d/1IgGENpYbL2rI7gfQAXyk9JS3FgAuuh8Wul__oPf-faY/edit#gid=37342362"",""PE VI all branches!A1:E200""))},5,FALSE),"" "")"),58)</f>
        <v>58</v>
      </c>
      <c r="S30" s="85" t="str">
        <f t="shared" ca="1" si="29"/>
        <v>Pass</v>
      </c>
      <c r="T30" s="86" t="str">
        <f t="shared" ca="1" si="28"/>
        <v>D</v>
      </c>
      <c r="U30" s="85">
        <v>3</v>
      </c>
      <c r="V30" s="82">
        <f t="shared" ca="1" si="10"/>
        <v>6</v>
      </c>
      <c r="W30" s="80">
        <f t="shared" ca="1" si="11"/>
        <v>18</v>
      </c>
      <c r="X30" s="85">
        <v>87</v>
      </c>
      <c r="Y30" s="85" t="str">
        <f t="shared" si="12"/>
        <v>Pass</v>
      </c>
      <c r="Z30" s="86" t="str">
        <f t="shared" si="13"/>
        <v>O</v>
      </c>
      <c r="AA30" s="87">
        <v>6</v>
      </c>
      <c r="AB30" s="82">
        <f t="shared" si="14"/>
        <v>10</v>
      </c>
      <c r="AC30" s="80">
        <f t="shared" si="15"/>
        <v>60</v>
      </c>
      <c r="AD30" s="87">
        <f ca="1">IFERROR(__xludf.DUMMYFUNCTION("(VLOOKUP(B30,{(IMPORTRANGE(""https://docs.google.com/spreadsheets/d/1bhPzFUTLMV7e35kNXQBjHBx0hnSRtnD8lSPi2nGpa7Y/edit#gid=1774387053"",""BE EXTC!B11:E91""))},4,FALSE))"),84)</f>
        <v>84</v>
      </c>
      <c r="AE30" s="87"/>
      <c r="AF30" s="86" t="str">
        <f t="shared" ca="1" si="16"/>
        <v>O</v>
      </c>
      <c r="AG30" s="87">
        <v>1</v>
      </c>
      <c r="AH30" s="82">
        <f t="shared" ca="1" si="17"/>
        <v>10</v>
      </c>
      <c r="AI30" s="80">
        <f t="shared" ca="1" si="18"/>
        <v>10</v>
      </c>
      <c r="AJ30" s="87">
        <v>16</v>
      </c>
      <c r="AK30" s="87">
        <f t="shared" si="19"/>
        <v>16</v>
      </c>
      <c r="AL30" s="87">
        <f t="shared" ca="1" si="20"/>
        <v>145</v>
      </c>
      <c r="AM30" s="88">
        <f t="shared" ca="1" si="21"/>
        <v>9.0625</v>
      </c>
      <c r="AN30" s="80" t="s">
        <v>35</v>
      </c>
      <c r="AO30" s="81">
        <f t="array" ref="AO30">VLOOKUP(B30,cgpi!$A$8:$K992,2,FALSE)</f>
        <v>9.1</v>
      </c>
      <c r="AP30" s="89">
        <f t="array" ref="AP30">VLOOKUP(B30,cgpi!$A$8:$K992,3,FALSE)</f>
        <v>9.4</v>
      </c>
      <c r="AQ30" s="89">
        <f t="array" ref="AQ30">VLOOKUP(B30,cgpi!$A$8:$K992,4,FALSE)</f>
        <v>9.7100000000000009</v>
      </c>
      <c r="AR30" s="89">
        <f t="array" ref="AR30">VLOOKUP(B30,cgpi!$A$8:$K992,5,FALSE)</f>
        <v>9.42</v>
      </c>
      <c r="AS30" s="89">
        <f t="array" ref="AS30">VLOOKUP(B30,cgpi!$A$8:$K992,6,FALSE)</f>
        <v>9.24</v>
      </c>
      <c r="AT30" s="89">
        <f t="array" ref="AT30">VLOOKUP(B30,cgpi!$A$8:$K992,7,FALSE)</f>
        <v>9.7100000000000009</v>
      </c>
      <c r="AU30" s="89">
        <f t="array" ref="AU30">VLOOKUP(B30,cgpi!$A$8:$K992,8,FALSE)</f>
        <v>9.06</v>
      </c>
      <c r="AV30" s="89">
        <f t="array" ref="AV30">VLOOKUP(B30,cgpi!$A$8:$K992,9,FALSE)</f>
        <v>9.06</v>
      </c>
      <c r="AW30" s="89">
        <f t="array" ref="AW30">VLOOKUP(B30,cgpi!$A$8:$K992,10,FALSE)</f>
        <v>9.36</v>
      </c>
      <c r="AX30" s="89">
        <f t="array" ref="AX30">VLOOKUP(B30,cgpi!$A$8:$K992,11,FALSE)</f>
        <v>9.06</v>
      </c>
    </row>
    <row r="31" spans="1:50" ht="45" customHeight="1">
      <c r="A31" s="98">
        <v>25</v>
      </c>
      <c r="B31" s="50">
        <v>2019120044</v>
      </c>
      <c r="C31" s="51" t="str">
        <f t="array" ref="C31">VLOOKUP(B31,studentnames!$A$6:$B992,2,FALSE)</f>
        <v>/ PAL DEEKSHA SANJAY KUMAR PRAGATI</v>
      </c>
      <c r="D31" s="84">
        <f ca="1">IFERROR(__xludf.DUMMYFUNCTION("(VLOOKUP(B31,{(IMPORTRANGE(""https://docs.google.com/spreadsheets/d/1IgGENpYbL2rI7gfQAXyk9JS3FgAuuh8Wul__oPf-faY/edit#gid=838365050"",""BE-OESall branches!J1:K350""))},2,FALSE))"),82)</f>
        <v>82</v>
      </c>
      <c r="E31" s="85" t="str">
        <f t="shared" ca="1" si="0"/>
        <v>Pass</v>
      </c>
      <c r="F31" s="86" t="str">
        <f t="shared" ca="1" si="22"/>
        <v>O</v>
      </c>
      <c r="G31" s="85">
        <v>3</v>
      </c>
      <c r="H31" s="82">
        <f t="shared" ca="1" si="2"/>
        <v>10</v>
      </c>
      <c r="I31" s="80">
        <f t="shared" ca="1" si="3"/>
        <v>30</v>
      </c>
      <c r="J31" s="112" t="str">
        <f ca="1">IFERROR(__xludf.DUMMYFUNCTION("IFERROR(VLOOKUP(B31,{(IMPORTRANGE(""https://docs.google.com/spreadsheets/d/1IgGENpYbL2rI7gfQAXyk9JS3FgAuuh8Wul__oPf-faY/edit#gid=139233849"",""PEV all barnches!A1:E200""))},4,FALSE),"" "")"),"Cloud computing")</f>
        <v>Cloud computing</v>
      </c>
      <c r="K31" s="85">
        <f ca="1">IFERROR(__xludf.DUMMYFUNCTION("IFERROR(VLOOKUP(B31,{(IMPORTRANGE(""https://docs.google.com/spreadsheets/d/1IgGENpYbL2rI7gfQAXyk9JS3FgAuuh8Wul__oPf-faY/edit#gid=139233849"",""PEV all barnches!A1:E200""))},5,FALSE),"" "")"),85)</f>
        <v>85</v>
      </c>
      <c r="L31" s="85" t="str">
        <f t="shared" ca="1" si="4"/>
        <v>Pass</v>
      </c>
      <c r="M31" s="86" t="str">
        <f t="shared" ca="1" si="23"/>
        <v>O</v>
      </c>
      <c r="N31" s="85">
        <v>3</v>
      </c>
      <c r="O31" s="82">
        <f t="shared" ca="1" si="6"/>
        <v>10</v>
      </c>
      <c r="P31" s="80">
        <f t="shared" ca="1" si="7"/>
        <v>30</v>
      </c>
      <c r="Q31" s="112" t="str">
        <f ca="1">IFERROR(__xludf.DUMMYFUNCTION("IFERROR(VLOOKUP(B31,{(IMPORTRANGE(""https://docs.google.com/spreadsheets/d/1IgGENpYbL2rI7gfQAXyk9JS3FgAuuh8Wul__oPf-faY/edit#gid=37342362"",""PE VI all branches!A1:E200""))},4,FALSE),"" "")"),"Blockchain and its Applications")</f>
        <v>Blockchain and its Applications</v>
      </c>
      <c r="R31" s="85">
        <f ca="1">IFERROR(__xludf.DUMMYFUNCTION("IFERROR(VLOOKUP(B31,{(IMPORTRANGE(""https://docs.google.com/spreadsheets/d/1IgGENpYbL2rI7gfQAXyk9JS3FgAuuh8Wul__oPf-faY/edit#gid=37342362"",""PE VI all branches!A1:E200""))},5,FALSE),"" "")"),77)</f>
        <v>77</v>
      </c>
      <c r="S31" s="85" t="str">
        <f t="shared" ca="1" si="29"/>
        <v>Pass</v>
      </c>
      <c r="T31" s="86" t="str">
        <f t="shared" ca="1" si="28"/>
        <v>A</v>
      </c>
      <c r="U31" s="85">
        <v>3</v>
      </c>
      <c r="V31" s="82">
        <f t="shared" ca="1" si="10"/>
        <v>9</v>
      </c>
      <c r="W31" s="80">
        <f t="shared" ca="1" si="11"/>
        <v>27</v>
      </c>
      <c r="X31" s="85">
        <v>92</v>
      </c>
      <c r="Y31" s="85" t="str">
        <f t="shared" si="12"/>
        <v>Pass</v>
      </c>
      <c r="Z31" s="86" t="str">
        <f t="shared" si="13"/>
        <v>O</v>
      </c>
      <c r="AA31" s="87">
        <v>6</v>
      </c>
      <c r="AB31" s="82">
        <f t="shared" si="14"/>
        <v>10</v>
      </c>
      <c r="AC31" s="80">
        <f t="shared" si="15"/>
        <v>60</v>
      </c>
      <c r="AD31" s="87">
        <f ca="1">IFERROR(__xludf.DUMMYFUNCTION("(VLOOKUP(B31,{(IMPORTRANGE(""https://docs.google.com/spreadsheets/d/1bhPzFUTLMV7e35kNXQBjHBx0hnSRtnD8lSPi2nGpa7Y/edit#gid=1774387053"",""BE EXTC!B11:E91""))},4,FALSE))"),90)</f>
        <v>90</v>
      </c>
      <c r="AE31" s="87"/>
      <c r="AF31" s="86" t="str">
        <f t="shared" ca="1" si="16"/>
        <v>O</v>
      </c>
      <c r="AG31" s="87">
        <v>1</v>
      </c>
      <c r="AH31" s="82">
        <f t="shared" ca="1" si="17"/>
        <v>10</v>
      </c>
      <c r="AI31" s="80">
        <f t="shared" ca="1" si="18"/>
        <v>10</v>
      </c>
      <c r="AJ31" s="87">
        <v>16</v>
      </c>
      <c r="AK31" s="87">
        <f t="shared" si="19"/>
        <v>16</v>
      </c>
      <c r="AL31" s="87">
        <f t="shared" ca="1" si="20"/>
        <v>157</v>
      </c>
      <c r="AM31" s="81">
        <f t="shared" ca="1" si="21"/>
        <v>9.8125</v>
      </c>
      <c r="AN31" s="80" t="s">
        <v>35</v>
      </c>
      <c r="AO31" s="81">
        <f t="array" ref="AO31">VLOOKUP(B31,cgpi!$A$8:$K992,2,FALSE)</f>
        <v>8.65</v>
      </c>
      <c r="AP31" s="89">
        <f t="array" ref="AP31">VLOOKUP(B31,cgpi!$A$8:$K992,3,FALSE)</f>
        <v>9.1999999999999993</v>
      </c>
      <c r="AQ31" s="89">
        <f t="array" ref="AQ31">VLOOKUP(B31,cgpi!$A$8:$K992,4,FALSE)</f>
        <v>10</v>
      </c>
      <c r="AR31" s="89">
        <f t="array" ref="AR31">VLOOKUP(B31,cgpi!$A$8:$K992,5,FALSE)</f>
        <v>9.5299999999999994</v>
      </c>
      <c r="AS31" s="89">
        <f t="array" ref="AS31">VLOOKUP(B31,cgpi!$A$8:$K992,6,FALSE)</f>
        <v>9.81</v>
      </c>
      <c r="AT31" s="89">
        <f t="array" ref="AT31">VLOOKUP(B31,cgpi!$A$8:$K992,7,FALSE)</f>
        <v>9.7100000000000009</v>
      </c>
      <c r="AU31" s="89">
        <f t="array" ref="AU31">VLOOKUP(B31,cgpi!$A$8:$K992,8,FALSE)</f>
        <v>9.6300000000000008</v>
      </c>
      <c r="AV31" s="89">
        <f t="array" ref="AV31">VLOOKUP(B31,cgpi!$A$8:$K992,9,FALSE)</f>
        <v>9.81</v>
      </c>
      <c r="AW31" s="89">
        <f t="array" ref="AW31">VLOOKUP(B31,cgpi!$A$8:$K992,10,FALSE)</f>
        <v>9.5399999999999991</v>
      </c>
      <c r="AX31" s="89">
        <f t="array" ref="AX31">VLOOKUP(B31,cgpi!$A$8:$K992,11,FALSE)</f>
        <v>9.7200000000000006</v>
      </c>
    </row>
    <row r="32" spans="1:50" ht="45" customHeight="1">
      <c r="A32" s="49">
        <v>26</v>
      </c>
      <c r="B32" s="50">
        <v>2019120045</v>
      </c>
      <c r="C32" s="51" t="str">
        <f t="array" ref="C32">VLOOKUP(B32,studentnames!$A$6:$B992,2,FALSE)</f>
        <v>PALLAYIL ABHINAV RAMESH KUMAR DHIVYA</v>
      </c>
      <c r="D32" s="84">
        <f ca="1">IFERROR(__xludf.DUMMYFUNCTION("(VLOOKUP(B32,{(IMPORTRANGE(""https://docs.google.com/spreadsheets/d/1IgGENpYbL2rI7gfQAXyk9JS3FgAuuh8Wul__oPf-faY/edit#gid=838365050"",""BE-OESall branches!J1:K350""))},2,FALSE))"),70)</f>
        <v>70</v>
      </c>
      <c r="E32" s="85" t="str">
        <f t="shared" ca="1" si="0"/>
        <v>Pass</v>
      </c>
      <c r="F32" s="86" t="str">
        <f t="shared" ca="1" si="22"/>
        <v>B</v>
      </c>
      <c r="G32" s="85">
        <v>3</v>
      </c>
      <c r="H32" s="82">
        <f t="shared" ca="1" si="2"/>
        <v>8</v>
      </c>
      <c r="I32" s="80">
        <f t="shared" ca="1" si="3"/>
        <v>24</v>
      </c>
      <c r="J32" s="112" t="str">
        <f ca="1">IFERROR(__xludf.DUMMYFUNCTION("IFERROR(VLOOKUP(B32,{(IMPORTRANGE(""https://docs.google.com/spreadsheets/d/1IgGENpYbL2rI7gfQAXyk9JS3FgAuuh8Wul__oPf-faY/edit#gid=139233849"",""PEV all barnches!A1:E200""))},4,FALSE),"" "")"),"Cloud Computing")</f>
        <v>Cloud Computing</v>
      </c>
      <c r="K32" s="85">
        <f ca="1">IFERROR(__xludf.DUMMYFUNCTION("IFERROR(VLOOKUP(B32,{(IMPORTRANGE(""https://docs.google.com/spreadsheets/d/1IgGENpYbL2rI7gfQAXyk9JS3FgAuuh8Wul__oPf-faY/edit#gid=139233849"",""PEV all barnches!A1:E200""))},5,FALSE),"" "")"),76)</f>
        <v>76</v>
      </c>
      <c r="L32" s="85" t="str">
        <f t="shared" ca="1" si="4"/>
        <v>Pass</v>
      </c>
      <c r="M32" s="86" t="str">
        <f t="shared" ca="1" si="23"/>
        <v>A</v>
      </c>
      <c r="N32" s="85">
        <v>3</v>
      </c>
      <c r="O32" s="82">
        <f t="shared" ca="1" si="6"/>
        <v>9</v>
      </c>
      <c r="P32" s="80">
        <f t="shared" ca="1" si="7"/>
        <v>27</v>
      </c>
      <c r="Q32" s="112" t="str">
        <f ca="1">IFERROR(__xludf.DUMMYFUNCTION("IFERROR(VLOOKUP(B32,{(IMPORTRANGE(""https://docs.google.com/spreadsheets/d/1IgGENpYbL2rI7gfQAXyk9JS3FgAuuh8Wul__oPf-faY/edit#gid=37342362"",""PE VI all branches!A1:E200""))},4,FALSE),"" "")"),"Blockchain and its Application")</f>
        <v>Blockchain and its Application</v>
      </c>
      <c r="R32" s="85">
        <f ca="1">IFERROR(__xludf.DUMMYFUNCTION("IFERROR(VLOOKUP(B32,{(IMPORTRANGE(""https://docs.google.com/spreadsheets/d/1IgGENpYbL2rI7gfQAXyk9JS3FgAuuh8Wul__oPf-faY/edit#gid=37342362"",""PE VI all branches!A1:E200""))},5,FALSE),"" "")"),60)</f>
        <v>60</v>
      </c>
      <c r="S32" s="85" t="str">
        <f t="shared" ca="1" si="29"/>
        <v>Pass</v>
      </c>
      <c r="T32" s="86" t="str">
        <f t="shared" ca="1" si="28"/>
        <v>C</v>
      </c>
      <c r="U32" s="85">
        <v>3</v>
      </c>
      <c r="V32" s="82">
        <f t="shared" ca="1" si="10"/>
        <v>7</v>
      </c>
      <c r="W32" s="80">
        <f t="shared" ca="1" si="11"/>
        <v>21</v>
      </c>
      <c r="X32" s="85">
        <v>86</v>
      </c>
      <c r="Y32" s="85" t="str">
        <f t="shared" si="12"/>
        <v>Pass</v>
      </c>
      <c r="Z32" s="86" t="str">
        <f t="shared" si="13"/>
        <v>O</v>
      </c>
      <c r="AA32" s="87">
        <v>6</v>
      </c>
      <c r="AB32" s="82">
        <f t="shared" si="14"/>
        <v>10</v>
      </c>
      <c r="AC32" s="80">
        <f t="shared" si="15"/>
        <v>60</v>
      </c>
      <c r="AD32" s="87">
        <f ca="1">IFERROR(__xludf.DUMMYFUNCTION("(VLOOKUP(B32,{(IMPORTRANGE(""https://docs.google.com/spreadsheets/d/1bhPzFUTLMV7e35kNXQBjHBx0hnSRtnD8lSPi2nGpa7Y/edit#gid=1774387053"",""BE EXTC!B11:E91""))},4,FALSE))"),84)</f>
        <v>84</v>
      </c>
      <c r="AE32" s="87"/>
      <c r="AF32" s="86" t="str">
        <f t="shared" ca="1" si="16"/>
        <v>O</v>
      </c>
      <c r="AG32" s="87">
        <v>1</v>
      </c>
      <c r="AH32" s="82">
        <f t="shared" ca="1" si="17"/>
        <v>10</v>
      </c>
      <c r="AI32" s="80">
        <f t="shared" ca="1" si="18"/>
        <v>10</v>
      </c>
      <c r="AJ32" s="87">
        <v>16</v>
      </c>
      <c r="AK32" s="87">
        <f t="shared" si="19"/>
        <v>16</v>
      </c>
      <c r="AL32" s="87">
        <f t="shared" ca="1" si="20"/>
        <v>142</v>
      </c>
      <c r="AM32" s="81">
        <f t="shared" ca="1" si="21"/>
        <v>8.875</v>
      </c>
      <c r="AN32" s="80" t="s">
        <v>35</v>
      </c>
      <c r="AO32" s="81">
        <f t="array" ref="AO32">VLOOKUP(B32,cgpi!$A$8:$K992,2,FALSE)</f>
        <v>9.5</v>
      </c>
      <c r="AP32" s="89">
        <f t="array" ref="AP32">VLOOKUP(B32,cgpi!$A$8:$K992,3,FALSE)</f>
        <v>9.4499999999999993</v>
      </c>
      <c r="AQ32" s="89">
        <f t="array" ref="AQ32">VLOOKUP(B32,cgpi!$A$8:$K992,4,FALSE)</f>
        <v>9.57</v>
      </c>
      <c r="AR32" s="89">
        <f t="array" ref="AR32">VLOOKUP(B32,cgpi!$A$8:$K992,5,FALSE)</f>
        <v>9</v>
      </c>
      <c r="AS32" s="89">
        <f t="array" ref="AS32">VLOOKUP(B32,cgpi!$A$8:$K992,6,FALSE)</f>
        <v>9.43</v>
      </c>
      <c r="AT32" s="89">
        <f t="array" ref="AT32">VLOOKUP(B32,cgpi!$A$8:$K992,7,FALSE)</f>
        <v>10</v>
      </c>
      <c r="AU32" s="89">
        <f t="array" ref="AU32">VLOOKUP(B32,cgpi!$A$8:$K992,8,FALSE)</f>
        <v>8.8800000000000008</v>
      </c>
      <c r="AV32" s="89">
        <f t="array" ref="AV32">VLOOKUP(B32,cgpi!$A$8:$K992,9,FALSE)</f>
        <v>8.8800000000000008</v>
      </c>
      <c r="AW32" s="89">
        <f t="array" ref="AW32">VLOOKUP(B32,cgpi!$A$8:$K992,10,FALSE)</f>
        <v>9.3699999999999992</v>
      </c>
      <c r="AX32" s="89">
        <f t="array" ref="AX32">VLOOKUP(B32,cgpi!$A$8:$K992,11,FALSE)</f>
        <v>8.8800000000000008</v>
      </c>
    </row>
    <row r="33" spans="1:50" ht="45" customHeight="1">
      <c r="A33" s="98">
        <v>27</v>
      </c>
      <c r="B33" s="50">
        <v>2019120046</v>
      </c>
      <c r="C33" s="51" t="str">
        <f t="array" ref="C33">VLOOKUP(B33,studentnames!$A$6:$B992,2,FALSE)</f>
        <v>PANCHAL GAURAV RAJNIKANT CHANDRIKA</v>
      </c>
      <c r="D33" s="84">
        <f ca="1">IFERROR(__xludf.DUMMYFUNCTION("(VLOOKUP(B33,{(IMPORTRANGE(""https://docs.google.com/spreadsheets/d/1IgGENpYbL2rI7gfQAXyk9JS3FgAuuh8Wul__oPf-faY/edit#gid=838365050"",""BE-OESall branches!J1:K350""))},2,FALSE))"),72)</f>
        <v>72</v>
      </c>
      <c r="E33" s="85" t="str">
        <f t="shared" ca="1" si="0"/>
        <v>Pass</v>
      </c>
      <c r="F33" s="86" t="str">
        <f t="shared" ca="1" si="22"/>
        <v>B</v>
      </c>
      <c r="G33" s="85">
        <v>3</v>
      </c>
      <c r="H33" s="82">
        <f t="shared" ca="1" si="2"/>
        <v>8</v>
      </c>
      <c r="I33" s="80">
        <f t="shared" ca="1" si="3"/>
        <v>24</v>
      </c>
      <c r="J33" s="112" t="str">
        <f ca="1">IFERROR(__xludf.DUMMYFUNCTION("IFERROR(VLOOKUP(B33,{(IMPORTRANGE(""https://docs.google.com/spreadsheets/d/1IgGENpYbL2rI7gfQAXyk9JS3FgAuuh8Wul__oPf-faY/edit#gid=139233849"",""PEV all barnches!A1:E200""))},4,FALSE),"" "")"),"Blockchain and it's Application ")</f>
        <v xml:space="preserve">Blockchain and it's Application </v>
      </c>
      <c r="K33" s="85">
        <f ca="1">IFERROR(__xludf.DUMMYFUNCTION("IFERROR(VLOOKUP(B33,{(IMPORTRANGE(""https://docs.google.com/spreadsheets/d/1IgGENpYbL2rI7gfQAXyk9JS3FgAuuh8Wul__oPf-faY/edit#gid=139233849"",""PEV all barnches!A1:E200""))},5,FALSE),"" "")"),65)</f>
        <v>65</v>
      </c>
      <c r="L33" s="85" t="str">
        <f t="shared" ca="1" si="4"/>
        <v>Pass</v>
      </c>
      <c r="M33" s="86" t="str">
        <f t="shared" ca="1" si="23"/>
        <v>C</v>
      </c>
      <c r="N33" s="85">
        <v>3</v>
      </c>
      <c r="O33" s="82">
        <f t="shared" ca="1" si="6"/>
        <v>7</v>
      </c>
      <c r="P33" s="80">
        <f t="shared" ca="1" si="7"/>
        <v>21</v>
      </c>
      <c r="Q33" s="112" t="str">
        <f ca="1">IFERROR(__xludf.DUMMYFUNCTION("IFERROR(VLOOKUP(B33,{(IMPORTRANGE(""https://docs.google.com/spreadsheets/d/1IgGENpYbL2rI7gfQAXyk9JS3FgAuuh8Wul__oPf-faY/edit#gid=37342362"",""PE VI all branches!A1:E200""))},4,FALSE),"" "")"),"Cloud computing ")</f>
        <v xml:space="preserve">Cloud computing </v>
      </c>
      <c r="R33" s="85">
        <f ca="1">IFERROR(__xludf.DUMMYFUNCTION("IFERROR(VLOOKUP(B33,{(IMPORTRANGE(""https://docs.google.com/spreadsheets/d/1IgGENpYbL2rI7gfQAXyk9JS3FgAuuh8Wul__oPf-faY/edit#gid=37342362"",""PE VI all branches!A1:E200""))},5,FALSE),"" "")"),81)</f>
        <v>81</v>
      </c>
      <c r="S33" s="85"/>
      <c r="T33" s="86" t="str">
        <f t="shared" ca="1" si="28"/>
        <v>O</v>
      </c>
      <c r="U33" s="85">
        <v>3</v>
      </c>
      <c r="V33" s="82">
        <f t="shared" ca="1" si="10"/>
        <v>10</v>
      </c>
      <c r="W33" s="80">
        <f t="shared" ca="1" si="11"/>
        <v>30</v>
      </c>
      <c r="X33" s="85">
        <v>90</v>
      </c>
      <c r="Y33" s="85" t="str">
        <f t="shared" si="12"/>
        <v>Pass</v>
      </c>
      <c r="Z33" s="86" t="str">
        <f t="shared" si="13"/>
        <v>O</v>
      </c>
      <c r="AA33" s="87">
        <v>6</v>
      </c>
      <c r="AB33" s="82">
        <f t="shared" si="14"/>
        <v>10</v>
      </c>
      <c r="AC33" s="80">
        <f t="shared" si="15"/>
        <v>60</v>
      </c>
      <c r="AD33" s="87">
        <f ca="1">IFERROR(__xludf.DUMMYFUNCTION("(VLOOKUP(B33,{(IMPORTRANGE(""https://docs.google.com/spreadsheets/d/1bhPzFUTLMV7e35kNXQBjHBx0hnSRtnD8lSPi2nGpa7Y/edit#gid=1774387053"",""BE EXTC!B11:E91""))},4,FALSE))"),90)</f>
        <v>90</v>
      </c>
      <c r="AE33" s="87"/>
      <c r="AF33" s="86" t="str">
        <f t="shared" ca="1" si="16"/>
        <v>O</v>
      </c>
      <c r="AG33" s="87">
        <v>1</v>
      </c>
      <c r="AH33" s="82">
        <f t="shared" ca="1" si="17"/>
        <v>10</v>
      </c>
      <c r="AI33" s="80">
        <f t="shared" ca="1" si="18"/>
        <v>10</v>
      </c>
      <c r="AJ33" s="87">
        <v>16</v>
      </c>
      <c r="AK33" s="87">
        <f t="shared" si="19"/>
        <v>16</v>
      </c>
      <c r="AL33" s="87">
        <f t="shared" ca="1" si="20"/>
        <v>145</v>
      </c>
      <c r="AM33" s="81">
        <f t="shared" ca="1" si="21"/>
        <v>9.0625</v>
      </c>
      <c r="AN33" s="80" t="s">
        <v>35</v>
      </c>
      <c r="AO33" s="81">
        <f t="array" ref="AO33">VLOOKUP(B33,cgpi!$A$8:$K992,2,FALSE)</f>
        <v>9</v>
      </c>
      <c r="AP33" s="89">
        <f t="array" ref="AP33">VLOOKUP(B33,cgpi!$A$8:$K992,3,FALSE)</f>
        <v>8.8000000000000007</v>
      </c>
      <c r="AQ33" s="89">
        <f t="array" ref="AQ33">VLOOKUP(B33,cgpi!$A$8:$K992,4,FALSE)</f>
        <v>9.6199999999999992</v>
      </c>
      <c r="AR33" s="89">
        <f t="array" ref="AR33">VLOOKUP(B33,cgpi!$A$8:$K992,5,FALSE)</f>
        <v>8.5299999999999994</v>
      </c>
      <c r="AS33" s="89">
        <f t="array" ref="AS33">VLOOKUP(B33,cgpi!$A$8:$K992,6,FALSE)</f>
        <v>9.43</v>
      </c>
      <c r="AT33" s="89">
        <f t="array" ref="AT33">VLOOKUP(B33,cgpi!$A$8:$K992,7,FALSE)</f>
        <v>9.57</v>
      </c>
      <c r="AU33" s="89">
        <f t="array" ref="AU33">VLOOKUP(B33,cgpi!$A$8:$K992,8,FALSE)</f>
        <v>7.75</v>
      </c>
      <c r="AV33" s="89">
        <f t="array" ref="AV33">VLOOKUP(B33,cgpi!$A$8:$K992,9,FALSE)</f>
        <v>9.06</v>
      </c>
      <c r="AW33" s="89">
        <f t="array" ref="AW33">VLOOKUP(B33,cgpi!$A$8:$K992,10,FALSE)</f>
        <v>9.01</v>
      </c>
      <c r="AX33" s="89">
        <f t="array" ref="AX33">VLOOKUP(B33,cgpi!$A$8:$K992,11,FALSE)</f>
        <v>8.41</v>
      </c>
    </row>
    <row r="34" spans="1:50" ht="45" customHeight="1">
      <c r="A34" s="49">
        <v>28</v>
      </c>
      <c r="B34" s="50">
        <v>2019120053</v>
      </c>
      <c r="C34" s="51" t="str">
        <f t="array" ref="C34">VLOOKUP(B34,studentnames!$A$6:$B992,2,FALSE)</f>
        <v>SANKHE NACHIKET KALPESH SWATI</v>
      </c>
      <c r="D34" s="107">
        <v>40</v>
      </c>
      <c r="E34" s="108" t="str">
        <f t="shared" si="0"/>
        <v>Pass</v>
      </c>
      <c r="F34" s="109" t="s">
        <v>34</v>
      </c>
      <c r="G34" s="108">
        <v>3</v>
      </c>
      <c r="H34" s="110">
        <f t="shared" si="2"/>
        <v>6</v>
      </c>
      <c r="I34" s="111">
        <f t="shared" si="3"/>
        <v>18</v>
      </c>
      <c r="J34" s="113" t="s">
        <v>42</v>
      </c>
      <c r="K34" s="108">
        <v>60</v>
      </c>
      <c r="L34" s="108" t="str">
        <f t="shared" si="4"/>
        <v>Pass</v>
      </c>
      <c r="M34" s="109" t="s">
        <v>34</v>
      </c>
      <c r="N34" s="108">
        <v>3</v>
      </c>
      <c r="O34" s="110">
        <f t="shared" si="6"/>
        <v>6</v>
      </c>
      <c r="P34" s="111">
        <f t="shared" si="7"/>
        <v>18</v>
      </c>
      <c r="Q34" s="112" t="str">
        <f ca="1">IFERROR(__xludf.DUMMYFUNCTION("IFERROR(VLOOKUP(B34,{(IMPORTRANGE(""https://docs.google.com/spreadsheets/d/1IgGENpYbL2rI7gfQAXyk9JS3FgAuuh8Wul__oPf-faY/edit#gid=37342362"",""PE VI all branches!A1:E200""))},4,FALSE),"" "")"),"Cloud Computing")</f>
        <v>Cloud Computing</v>
      </c>
      <c r="R34" s="85">
        <f ca="1">IFERROR(__xludf.DUMMYFUNCTION("IFERROR(VLOOKUP(B34,{(IMPORTRANGE(""https://docs.google.com/spreadsheets/d/1IgGENpYbL2rI7gfQAXyk9JS3FgAuuh8Wul__oPf-faY/edit#gid=37342362"",""PE VI all branches!A1:E200""))},5,FALSE),"" "")"),80)</f>
        <v>80</v>
      </c>
      <c r="S34" s="85" t="str">
        <f ca="1">IF((R34&gt;=40),"Pass","Fail")</f>
        <v>Pass</v>
      </c>
      <c r="T34" s="86" t="str">
        <f t="shared" ca="1" si="28"/>
        <v>O</v>
      </c>
      <c r="U34" s="85">
        <v>3</v>
      </c>
      <c r="V34" s="82">
        <f t="shared" ca="1" si="10"/>
        <v>10</v>
      </c>
      <c r="W34" s="80">
        <f t="shared" ca="1" si="11"/>
        <v>30</v>
      </c>
      <c r="X34" s="85">
        <v>82</v>
      </c>
      <c r="Y34" s="85" t="str">
        <f t="shared" si="12"/>
        <v>Pass</v>
      </c>
      <c r="Z34" s="86" t="str">
        <f t="shared" si="13"/>
        <v>O</v>
      </c>
      <c r="AA34" s="87">
        <v>6</v>
      </c>
      <c r="AB34" s="82">
        <f t="shared" si="14"/>
        <v>10</v>
      </c>
      <c r="AC34" s="80">
        <f t="shared" si="15"/>
        <v>60</v>
      </c>
      <c r="AD34" s="87">
        <f ca="1">IFERROR(__xludf.DUMMYFUNCTION("(VLOOKUP(B34,{(IMPORTRANGE(""https://docs.google.com/spreadsheets/d/1bhPzFUTLMV7e35kNXQBjHBx0hnSRtnD8lSPi2nGpa7Y/edit#gid=1774387053"",""BE EXTC!B11:E91""))},4,FALSE))"),80)</f>
        <v>80</v>
      </c>
      <c r="AE34" s="87"/>
      <c r="AF34" s="86" t="str">
        <f t="shared" ca="1" si="16"/>
        <v>O</v>
      </c>
      <c r="AG34" s="87">
        <v>1</v>
      </c>
      <c r="AH34" s="82">
        <f t="shared" ca="1" si="17"/>
        <v>10</v>
      </c>
      <c r="AI34" s="80">
        <f t="shared" ca="1" si="18"/>
        <v>10</v>
      </c>
      <c r="AJ34" s="87">
        <v>16</v>
      </c>
      <c r="AK34" s="87">
        <f t="shared" si="19"/>
        <v>16</v>
      </c>
      <c r="AL34" s="87">
        <f t="shared" ca="1" si="20"/>
        <v>136</v>
      </c>
      <c r="AM34" s="81">
        <f t="shared" ca="1" si="21"/>
        <v>8.5</v>
      </c>
      <c r="AN34" s="80" t="s">
        <v>35</v>
      </c>
      <c r="AO34" s="81">
        <f t="array" ref="AO34">VLOOKUP(B34,cgpi!$A$8:$K992,2,FALSE)</f>
        <v>6.1</v>
      </c>
      <c r="AP34" s="89">
        <f t="array" ref="AP34">VLOOKUP(B34,cgpi!$A$8:$K992,3,FALSE)</f>
        <v>6.75</v>
      </c>
      <c r="AQ34" s="89">
        <f t="array" ref="AQ34">VLOOKUP(B34,cgpi!$A$8:$K992,4,FALSE)</f>
        <v>9.6199999999999992</v>
      </c>
      <c r="AR34" s="89">
        <f t="array" ref="AR34">VLOOKUP(B34,cgpi!$A$8:$K992,5,FALSE)</f>
        <v>8.4700000000000006</v>
      </c>
      <c r="AS34" s="89">
        <f t="array" ref="AS34">VLOOKUP(B34,cgpi!$A$8:$K992,6,FALSE)</f>
        <v>8.76</v>
      </c>
      <c r="AT34" s="89">
        <f t="array" ref="AT34">VLOOKUP(B34,cgpi!$A$8:$K992,7,FALSE)</f>
        <v>7.43</v>
      </c>
      <c r="AU34" s="89">
        <f t="array" ref="AU34">VLOOKUP(B34,cgpi!$A$8:$K992,8,FALSE)</f>
        <v>6.25</v>
      </c>
      <c r="AV34" s="89">
        <f t="array" ref="AV34">VLOOKUP(B34,cgpi!$A$8:$K992,9,FALSE)</f>
        <v>8.5</v>
      </c>
      <c r="AW34" s="89">
        <f t="array" ref="AW34">VLOOKUP(B34,cgpi!$A$8:$K992,10,FALSE)</f>
        <v>7.77</v>
      </c>
      <c r="AX34" s="89">
        <f t="array" ref="AX34">VLOOKUP(B34,cgpi!$A$8:$K992,11,FALSE)</f>
        <v>7.38</v>
      </c>
    </row>
    <row r="35" spans="1:50" ht="45" customHeight="1">
      <c r="A35" s="98">
        <v>29</v>
      </c>
      <c r="B35" s="50">
        <v>2019120056</v>
      </c>
      <c r="C35" s="51" t="str">
        <f t="array" ref="C35">VLOOKUP(B35,studentnames!$A$6:$B992,2,FALSE)</f>
        <v>SHAH MITASH ASHISH NAMITA</v>
      </c>
      <c r="D35" s="84">
        <f ca="1">IFERROR(__xludf.DUMMYFUNCTION("(VLOOKUP(B35,{(IMPORTRANGE(""https://docs.google.com/spreadsheets/d/1IgGENpYbL2rI7gfQAXyk9JS3FgAuuh8Wul__oPf-faY/edit#gid=838365050"",""BE-OESall branches!J1:K350""))},2,FALSE))"),87)</f>
        <v>87</v>
      </c>
      <c r="E35" s="85" t="str">
        <f t="shared" ca="1" si="0"/>
        <v>Pass</v>
      </c>
      <c r="F35" s="86" t="str">
        <f t="shared" ref="F35:F45" ca="1" si="30">IF(D35&gt;=80,"O",IF(D35&gt;=75,"A",IF(D35&gt;=70,"B",IF(D35&gt;=60,"C",IF(D35&gt;=50,"D", IF(D35&gt;=45,"E",IF(D35&gt;=40,"P","F")))))))</f>
        <v>O</v>
      </c>
      <c r="G35" s="85">
        <v>3</v>
      </c>
      <c r="H35" s="82">
        <f t="shared" ca="1" si="2"/>
        <v>10</v>
      </c>
      <c r="I35" s="80">
        <f t="shared" ca="1" si="3"/>
        <v>30</v>
      </c>
      <c r="J35" s="112" t="str">
        <f ca="1">IFERROR(__xludf.DUMMYFUNCTION("IFERROR(VLOOKUP(B35,{(IMPORTRANGE(""https://docs.google.com/spreadsheets/d/1IgGENpYbL2rI7gfQAXyk9JS3FgAuuh8Wul__oPf-faY/edit#gid=139233849"",""PEV all barnches!A1:E200""))},4,FALSE),"" "")"),"Blockchain and its Applications")</f>
        <v>Blockchain and its Applications</v>
      </c>
      <c r="K35" s="85">
        <f ca="1">IFERROR(__xludf.DUMMYFUNCTION("IFERROR(VLOOKUP(B35,{(IMPORTRANGE(""https://docs.google.com/spreadsheets/d/1IgGENpYbL2rI7gfQAXyk9JS3FgAuuh8Wul__oPf-faY/edit#gid=139233849"",""PEV all barnches!A1:E200""))},5,FALSE),"" "")"),86)</f>
        <v>86</v>
      </c>
      <c r="L35" s="85" t="str">
        <f t="shared" ca="1" si="4"/>
        <v>Pass</v>
      </c>
      <c r="M35" s="86" t="str">
        <f t="shared" ref="M35:M36" ca="1" si="31">IF(K35&gt;=80,"O",IF(K35&gt;=75,"A",IF(K35&gt;=70,"B",IF(K35&gt;=60,"C",IF(K35&gt;=50,"D", IF(K35&gt;=45,"E",IF(K35&gt;=40,"P","F")))))))</f>
        <v>O</v>
      </c>
      <c r="N35" s="85">
        <v>3</v>
      </c>
      <c r="O35" s="82">
        <f t="shared" ca="1" si="6"/>
        <v>10</v>
      </c>
      <c r="P35" s="80">
        <f t="shared" ca="1" si="7"/>
        <v>30</v>
      </c>
      <c r="Q35" s="112" t="str">
        <f ca="1">IFERROR(__xludf.DUMMYFUNCTION("IFERROR(VLOOKUP(B35,{(IMPORTRANGE(""https://docs.google.com/spreadsheets/d/1IgGENpYbL2rI7gfQAXyk9JS3FgAuuh8Wul__oPf-faY/edit#gid=37342362"",""PE VI all branches!A1:E200""))},4,FALSE),"" "")"),"Cloud Computing")</f>
        <v>Cloud Computing</v>
      </c>
      <c r="R35" s="85">
        <f ca="1">IFERROR(__xludf.DUMMYFUNCTION("IFERROR(VLOOKUP(B35,{(IMPORTRANGE(""https://docs.google.com/spreadsheets/d/1IgGENpYbL2rI7gfQAXyk9JS3FgAuuh8Wul__oPf-faY/edit#gid=37342362"",""PE VI all branches!A1:E200""))},5,FALSE),"" "")"),89)</f>
        <v>89</v>
      </c>
      <c r="S35" s="85"/>
      <c r="T35" s="86" t="str">
        <f t="shared" ca="1" si="28"/>
        <v>O</v>
      </c>
      <c r="U35" s="85">
        <v>3</v>
      </c>
      <c r="V35" s="82">
        <f t="shared" ca="1" si="10"/>
        <v>10</v>
      </c>
      <c r="W35" s="80">
        <f t="shared" ca="1" si="11"/>
        <v>30</v>
      </c>
      <c r="X35" s="85">
        <v>78</v>
      </c>
      <c r="Y35" s="85" t="str">
        <f t="shared" si="12"/>
        <v>Pass</v>
      </c>
      <c r="Z35" s="86" t="str">
        <f t="shared" si="13"/>
        <v>A</v>
      </c>
      <c r="AA35" s="87">
        <v>6</v>
      </c>
      <c r="AB35" s="82">
        <f t="shared" si="14"/>
        <v>9</v>
      </c>
      <c r="AC35" s="80">
        <f t="shared" si="15"/>
        <v>54</v>
      </c>
      <c r="AD35" s="87">
        <f ca="1">IFERROR(__xludf.DUMMYFUNCTION("(VLOOKUP(B35,{(IMPORTRANGE(""https://docs.google.com/spreadsheets/d/1bhPzFUTLMV7e35kNXQBjHBx0hnSRtnD8lSPi2nGpa7Y/edit#gid=1774387053"",""BE EXTC!B11:E91""))},4,FALSE))"),78)</f>
        <v>78</v>
      </c>
      <c r="AE35" s="87"/>
      <c r="AF35" s="86" t="str">
        <f t="shared" ca="1" si="16"/>
        <v>A</v>
      </c>
      <c r="AG35" s="87">
        <v>1</v>
      </c>
      <c r="AH35" s="82">
        <f t="shared" ca="1" si="17"/>
        <v>9</v>
      </c>
      <c r="AI35" s="80">
        <f t="shared" ca="1" si="18"/>
        <v>9</v>
      </c>
      <c r="AJ35" s="87">
        <v>16</v>
      </c>
      <c r="AK35" s="87">
        <f t="shared" si="19"/>
        <v>16</v>
      </c>
      <c r="AL35" s="87">
        <f t="shared" ca="1" si="20"/>
        <v>153</v>
      </c>
      <c r="AM35" s="81">
        <f t="shared" ca="1" si="21"/>
        <v>9.5625</v>
      </c>
      <c r="AN35" s="80" t="s">
        <v>35</v>
      </c>
      <c r="AO35" s="81">
        <f t="array" ref="AO35">VLOOKUP(B35,cgpi!$A$8:$K992,2,FALSE)</f>
        <v>7.8</v>
      </c>
      <c r="AP35" s="89">
        <f t="array" ref="AP35">VLOOKUP(B35,cgpi!$A$8:$K992,3,FALSE)</f>
        <v>8.35</v>
      </c>
      <c r="AQ35" s="89">
        <f t="array" ref="AQ35">VLOOKUP(B35,cgpi!$A$8:$K992,4,FALSE)</f>
        <v>9.81</v>
      </c>
      <c r="AR35" s="89">
        <f t="array" ref="AR35">VLOOKUP(B35,cgpi!$A$8:$K992,5,FALSE)</f>
        <v>9.26</v>
      </c>
      <c r="AS35" s="89">
        <f t="array" ref="AS35">VLOOKUP(B35,cgpi!$A$8:$K992,6,FALSE)</f>
        <v>9.33</v>
      </c>
      <c r="AT35" s="89">
        <f t="array" ref="AT35">VLOOKUP(B35,cgpi!$A$8:$K992,7,FALSE)</f>
        <v>9.7100000000000009</v>
      </c>
      <c r="AU35" s="89">
        <f t="array" ref="AU35">VLOOKUP(B35,cgpi!$A$8:$K992,8,FALSE)</f>
        <v>7.44</v>
      </c>
      <c r="AV35" s="89">
        <f t="array" ref="AV35">VLOOKUP(B35,cgpi!$A$8:$K992,9,FALSE)</f>
        <v>9.56</v>
      </c>
      <c r="AW35" s="89">
        <f t="array" ref="AW35">VLOOKUP(B35,cgpi!$A$8:$K992,10,FALSE)</f>
        <v>8.94</v>
      </c>
      <c r="AX35" s="89">
        <f t="array" ref="AX35">VLOOKUP(B35,cgpi!$A$8:$K992,11,FALSE)</f>
        <v>8.5</v>
      </c>
    </row>
    <row r="36" spans="1:50" ht="45" customHeight="1">
      <c r="A36" s="49">
        <v>30</v>
      </c>
      <c r="B36" s="50">
        <v>2019120057</v>
      </c>
      <c r="C36" s="51" t="str">
        <f t="array" ref="C36">VLOOKUP(B36,studentnames!$A$6:$B992,2,FALSE)</f>
        <v>SHARMA AYUSH MANOJ DOLLY</v>
      </c>
      <c r="D36" s="84">
        <f ca="1">IFERROR(__xludf.DUMMYFUNCTION("(VLOOKUP(B36,{(IMPORTRANGE(""https://docs.google.com/spreadsheets/d/1IgGENpYbL2rI7gfQAXyk9JS3FgAuuh8Wul__oPf-faY/edit#gid=838365050"",""BE-OESall branches!J1:K350""))},2,FALSE))"),56)</f>
        <v>56</v>
      </c>
      <c r="E36" s="85" t="str">
        <f t="shared" ca="1" si="0"/>
        <v>Pass</v>
      </c>
      <c r="F36" s="86" t="str">
        <f t="shared" ca="1" si="30"/>
        <v>D</v>
      </c>
      <c r="G36" s="85">
        <v>3</v>
      </c>
      <c r="H36" s="82">
        <f t="shared" ca="1" si="2"/>
        <v>6</v>
      </c>
      <c r="I36" s="80">
        <f t="shared" ca="1" si="3"/>
        <v>18</v>
      </c>
      <c r="J36" s="112" t="str">
        <f ca="1">IFERROR(__xludf.DUMMYFUNCTION("IFERROR(VLOOKUP(B36,{(IMPORTRANGE(""https://docs.google.com/spreadsheets/d/1IgGENpYbL2rI7gfQAXyk9JS3FgAuuh8Wul__oPf-faY/edit#gid=139233849"",""PEV all barnches!A1:E200""))},4,FALSE),"" "")"),"Deep learning for visual computing")</f>
        <v>Deep learning for visual computing</v>
      </c>
      <c r="K36" s="85">
        <f ca="1">IFERROR(__xludf.DUMMYFUNCTION("IFERROR(VLOOKUP(B36,{(IMPORTRANGE(""https://docs.google.com/spreadsheets/d/1IgGENpYbL2rI7gfQAXyk9JS3FgAuuh8Wul__oPf-faY/edit#gid=139233849"",""PEV all barnches!A1:E200""))},5,FALSE),"" "")"),72)</f>
        <v>72</v>
      </c>
      <c r="L36" s="85" t="str">
        <f t="shared" ca="1" si="4"/>
        <v>Pass</v>
      </c>
      <c r="M36" s="86" t="str">
        <f t="shared" ca="1" si="31"/>
        <v>B</v>
      </c>
      <c r="N36" s="85">
        <v>3</v>
      </c>
      <c r="O36" s="82">
        <f t="shared" ca="1" si="6"/>
        <v>8</v>
      </c>
      <c r="P36" s="80">
        <f t="shared" ca="1" si="7"/>
        <v>24</v>
      </c>
      <c r="Q36" s="112" t="str">
        <f ca="1">IFERROR(__xludf.DUMMYFUNCTION("IFERROR(VLOOKUP(B36,{(IMPORTRANGE(""https://docs.google.com/spreadsheets/d/1IgGENpYbL2rI7gfQAXyk9JS3FgAuuh8Wul__oPf-faY/edit#gid=37342362"",""PE VI all branches!A1:E200""))},4,FALSE),"" "")"),"Blockchain and its Application")</f>
        <v>Blockchain and its Application</v>
      </c>
      <c r="R36" s="85">
        <f ca="1">IFERROR(__xludf.DUMMYFUNCTION("IFERROR(VLOOKUP(B36,{(IMPORTRANGE(""https://docs.google.com/spreadsheets/d/1IgGENpYbL2rI7gfQAXyk9JS3FgAuuh8Wul__oPf-faY/edit#gid=37342362"",""PE VI all branches!A1:E200""))},5,FALSE),"" "")"),54)</f>
        <v>54</v>
      </c>
      <c r="S36" s="85" t="str">
        <f t="shared" ref="S36:S39" ca="1" si="32">IF((R36&gt;=40),"Pass","Fail")</f>
        <v>Pass</v>
      </c>
      <c r="T36" s="86" t="str">
        <f t="shared" ca="1" si="28"/>
        <v>D</v>
      </c>
      <c r="U36" s="85">
        <v>3</v>
      </c>
      <c r="V36" s="82">
        <f t="shared" ca="1" si="10"/>
        <v>6</v>
      </c>
      <c r="W36" s="80">
        <f t="shared" ca="1" si="11"/>
        <v>18</v>
      </c>
      <c r="X36" s="85">
        <v>90</v>
      </c>
      <c r="Y36" s="85" t="str">
        <f t="shared" si="12"/>
        <v>Pass</v>
      </c>
      <c r="Z36" s="86" t="str">
        <f t="shared" si="13"/>
        <v>O</v>
      </c>
      <c r="AA36" s="87">
        <v>6</v>
      </c>
      <c r="AB36" s="82">
        <f t="shared" si="14"/>
        <v>10</v>
      </c>
      <c r="AC36" s="80">
        <f t="shared" si="15"/>
        <v>60</v>
      </c>
      <c r="AD36" s="87">
        <f ca="1">IFERROR(__xludf.DUMMYFUNCTION("(VLOOKUP(B36,{(IMPORTRANGE(""https://docs.google.com/spreadsheets/d/1bhPzFUTLMV7e35kNXQBjHBx0hnSRtnD8lSPi2nGpa7Y/edit#gid=1774387053"",""BE EXTC!B11:E91""))},4,FALSE))"),94)</f>
        <v>94</v>
      </c>
      <c r="AE36" s="87"/>
      <c r="AF36" s="86" t="str">
        <f t="shared" ca="1" si="16"/>
        <v>O</v>
      </c>
      <c r="AG36" s="87">
        <v>1</v>
      </c>
      <c r="AH36" s="82">
        <f t="shared" ca="1" si="17"/>
        <v>10</v>
      </c>
      <c r="AI36" s="80">
        <f t="shared" ca="1" si="18"/>
        <v>10</v>
      </c>
      <c r="AJ36" s="87">
        <v>16</v>
      </c>
      <c r="AK36" s="87">
        <f t="shared" si="19"/>
        <v>16</v>
      </c>
      <c r="AL36" s="87">
        <f t="shared" ca="1" si="20"/>
        <v>130</v>
      </c>
      <c r="AM36" s="81">
        <f t="shared" ca="1" si="21"/>
        <v>8.125</v>
      </c>
      <c r="AN36" s="80" t="s">
        <v>35</v>
      </c>
      <c r="AO36" s="81">
        <f t="array" ref="AO36">VLOOKUP(B36,cgpi!$A$8:$K992,2,FALSE)</f>
        <v>8</v>
      </c>
      <c r="AP36" s="89">
        <f t="array" ref="AP36">VLOOKUP(B36,cgpi!$A$8:$K992,3,FALSE)</f>
        <v>8.15</v>
      </c>
      <c r="AQ36" s="89">
        <f t="array" ref="AQ36">VLOOKUP(B36,cgpi!$A$8:$K992,4,FALSE)</f>
        <v>9.67</v>
      </c>
      <c r="AR36" s="89">
        <f t="array" ref="AR36">VLOOKUP(B36,cgpi!$A$8:$K992,5,FALSE)</f>
        <v>8.74</v>
      </c>
      <c r="AS36" s="89">
        <f t="array" ref="AS36">VLOOKUP(B36,cgpi!$A$8:$K992,6,FALSE)</f>
        <v>8.9499999999999993</v>
      </c>
      <c r="AT36" s="89">
        <f t="array" ref="AT36">VLOOKUP(B36,cgpi!$A$8:$K992,7,FALSE)</f>
        <v>9.57</v>
      </c>
      <c r="AU36" s="89">
        <f t="array" ref="AU36">VLOOKUP(B36,cgpi!$A$8:$K992,8,FALSE)</f>
        <v>8.8800000000000008</v>
      </c>
      <c r="AV36" s="89">
        <f t="array" ref="AV36">VLOOKUP(B36,cgpi!$A$8:$K992,9,FALSE)</f>
        <v>8.1300000000000008</v>
      </c>
      <c r="AW36" s="89">
        <f t="array" ref="AW36">VLOOKUP(B36,cgpi!$A$8:$K992,10,FALSE)</f>
        <v>8.7899999999999991</v>
      </c>
      <c r="AX36" s="89">
        <f t="array" ref="AX36">VLOOKUP(B36,cgpi!$A$8:$K992,11,FALSE)</f>
        <v>8.5</v>
      </c>
    </row>
    <row r="37" spans="1:50" ht="45" customHeight="1">
      <c r="A37" s="98">
        <v>31</v>
      </c>
      <c r="B37" s="50">
        <v>2019120058</v>
      </c>
      <c r="C37" s="51" t="str">
        <f t="array" ref="C37">VLOOKUP(B37,studentnames!$A$6:$B992,2,FALSE)</f>
        <v>/ SHETH SARA SAMIR SAMITA</v>
      </c>
      <c r="D37" s="107">
        <v>50</v>
      </c>
      <c r="E37" s="108" t="str">
        <f t="shared" si="0"/>
        <v>Pass</v>
      </c>
      <c r="F37" s="109" t="str">
        <f t="shared" si="30"/>
        <v>D</v>
      </c>
      <c r="G37" s="108">
        <v>3</v>
      </c>
      <c r="H37" s="110">
        <f t="shared" si="2"/>
        <v>6</v>
      </c>
      <c r="I37" s="111">
        <f t="shared" si="3"/>
        <v>18</v>
      </c>
      <c r="J37" s="113" t="str">
        <f ca="1">IFERROR(__xludf.DUMMYFUNCTION("IFERROR(VLOOKUP(B37,{(IMPORTRANGE(""https://docs.google.com/spreadsheets/d/1IgGENpYbL2rI7gfQAXyk9JS3FgAuuh8Wul__oPf-faY/edit#gid=139233849"",""PEV all barnches!A1:E200""))},4,FALSE),"" "")"),"Cloud computing")</f>
        <v>Cloud computing</v>
      </c>
      <c r="K37" s="108">
        <v>69</v>
      </c>
      <c r="L37" s="108" t="str">
        <f t="shared" si="4"/>
        <v>Pass</v>
      </c>
      <c r="M37" s="109" t="s">
        <v>34</v>
      </c>
      <c r="N37" s="108">
        <v>3</v>
      </c>
      <c r="O37" s="110">
        <f t="shared" si="6"/>
        <v>6</v>
      </c>
      <c r="P37" s="111">
        <f t="shared" si="7"/>
        <v>18</v>
      </c>
      <c r="Q37" s="113" t="s">
        <v>48</v>
      </c>
      <c r="R37" s="108">
        <v>73</v>
      </c>
      <c r="S37" s="108" t="str">
        <f t="shared" si="32"/>
        <v>Pass</v>
      </c>
      <c r="T37" s="109" t="s">
        <v>43</v>
      </c>
      <c r="U37" s="108">
        <v>3</v>
      </c>
      <c r="V37" s="110">
        <f t="shared" si="10"/>
        <v>7</v>
      </c>
      <c r="W37" s="111">
        <f t="shared" si="11"/>
        <v>21</v>
      </c>
      <c r="X37" s="85">
        <v>82</v>
      </c>
      <c r="Y37" s="85" t="str">
        <f t="shared" si="12"/>
        <v>Pass</v>
      </c>
      <c r="Z37" s="86" t="str">
        <f t="shared" si="13"/>
        <v>O</v>
      </c>
      <c r="AA37" s="87">
        <v>6</v>
      </c>
      <c r="AB37" s="82">
        <f t="shared" si="14"/>
        <v>10</v>
      </c>
      <c r="AC37" s="80">
        <f t="shared" si="15"/>
        <v>60</v>
      </c>
      <c r="AD37" s="87">
        <f ca="1">IFERROR(__xludf.DUMMYFUNCTION("(VLOOKUP(B37,{(IMPORTRANGE(""https://docs.google.com/spreadsheets/d/1bhPzFUTLMV7e35kNXQBjHBx0hnSRtnD8lSPi2nGpa7Y/edit#gid=1774387053"",""BE EXTC!B11:E91""))},4,FALSE))"),90)</f>
        <v>90</v>
      </c>
      <c r="AE37" s="87"/>
      <c r="AF37" s="86" t="str">
        <f t="shared" ca="1" si="16"/>
        <v>O</v>
      </c>
      <c r="AG37" s="87">
        <v>1</v>
      </c>
      <c r="AH37" s="82">
        <f t="shared" ca="1" si="17"/>
        <v>10</v>
      </c>
      <c r="AI37" s="80">
        <f t="shared" ca="1" si="18"/>
        <v>10</v>
      </c>
      <c r="AJ37" s="87">
        <v>16</v>
      </c>
      <c r="AK37" s="87">
        <f t="shared" si="19"/>
        <v>16</v>
      </c>
      <c r="AL37" s="87">
        <f t="shared" ca="1" si="20"/>
        <v>127</v>
      </c>
      <c r="AM37" s="81">
        <f t="shared" ca="1" si="21"/>
        <v>7.9375</v>
      </c>
      <c r="AN37" s="80" t="s">
        <v>35</v>
      </c>
      <c r="AO37" s="81">
        <f t="array" ref="AO37">VLOOKUP(B37,cgpi!$A$8:$K992,2,FALSE)</f>
        <v>7.35</v>
      </c>
      <c r="AP37" s="89">
        <f t="array" ref="AP37">VLOOKUP(B37,cgpi!$A$8:$K992,3,FALSE)</f>
        <v>7.75</v>
      </c>
      <c r="AQ37" s="89">
        <f t="array" ref="AQ37">VLOOKUP(B37,cgpi!$A$8:$K992,4,FALSE)</f>
        <v>9.81</v>
      </c>
      <c r="AR37" s="89">
        <f t="array" ref="AR37">VLOOKUP(B37,cgpi!$A$8:$K992,5,FALSE)</f>
        <v>9.6300000000000008</v>
      </c>
      <c r="AS37" s="89">
        <f t="array" ref="AS37">VLOOKUP(B37,cgpi!$A$8:$K992,6,FALSE)</f>
        <v>9.14</v>
      </c>
      <c r="AT37" s="89">
        <f t="array" ref="AT37">VLOOKUP(B37,cgpi!$A$8:$K992,7,FALSE)</f>
        <v>9.2899999999999991</v>
      </c>
      <c r="AU37" s="89">
        <f t="array" ref="AU37">VLOOKUP(B37,cgpi!$A$8:$K992,8,FALSE)</f>
        <v>7.75</v>
      </c>
      <c r="AV37" s="89">
        <f t="array" ref="AV37">VLOOKUP(B37,cgpi!$A$8:$K992,9,FALSE)</f>
        <v>7.94</v>
      </c>
      <c r="AW37" s="89">
        <f t="array" ref="AW37">VLOOKUP(B37,cgpi!$A$8:$K992,10,FALSE)</f>
        <v>8.6300000000000008</v>
      </c>
      <c r="AX37" s="89">
        <f t="array" ref="AX37">VLOOKUP(B37,cgpi!$A$8:$K992,11,FALSE)</f>
        <v>7.84</v>
      </c>
    </row>
    <row r="38" spans="1:50" ht="45" customHeight="1">
      <c r="A38" s="49">
        <v>32</v>
      </c>
      <c r="B38" s="50">
        <v>2019120060</v>
      </c>
      <c r="C38" s="51" t="str">
        <f t="array" ref="C38">VLOOKUP(B38,studentnames!$A$6:$B992,2,FALSE)</f>
        <v>SOLANKI PRATHAM DEEPAK SHYAMLEE</v>
      </c>
      <c r="D38" s="84">
        <f ca="1">IFERROR(__xludf.DUMMYFUNCTION("(VLOOKUP(B38,{(IMPORTRANGE(""https://docs.google.com/spreadsheets/d/1IgGENpYbL2rI7gfQAXyk9JS3FgAuuh8Wul__oPf-faY/edit#gid=838365050"",""BE-OESall branches!J1:K350""))},2,FALSE))"),79)</f>
        <v>79</v>
      </c>
      <c r="E38" s="85" t="str">
        <f t="shared" ca="1" si="0"/>
        <v>Pass</v>
      </c>
      <c r="F38" s="86" t="str">
        <f t="shared" ca="1" si="30"/>
        <v>A</v>
      </c>
      <c r="G38" s="85">
        <v>3</v>
      </c>
      <c r="H38" s="82">
        <f t="shared" ca="1" si="2"/>
        <v>9</v>
      </c>
      <c r="I38" s="80">
        <f t="shared" ca="1" si="3"/>
        <v>27</v>
      </c>
      <c r="J38" s="112" t="str">
        <f ca="1">IFERROR(__xludf.DUMMYFUNCTION("IFERROR(VLOOKUP(B38,{(IMPORTRANGE(""https://docs.google.com/spreadsheets/d/1IgGENpYbL2rI7gfQAXyk9JS3FgAuuh8Wul__oPf-faY/edit#gid=139233849"",""PEV all barnches!A1:E200""))},4,FALSE),"" "")"),"Block chain and its technology")</f>
        <v>Block chain and its technology</v>
      </c>
      <c r="K38" s="85">
        <f ca="1">IFERROR(__xludf.DUMMYFUNCTION("IFERROR(VLOOKUP(B38,{(IMPORTRANGE(""https://docs.google.com/spreadsheets/d/1IgGENpYbL2rI7gfQAXyk9JS3FgAuuh8Wul__oPf-faY/edit#gid=139233849"",""PEV all barnches!A1:E200""))},5,FALSE),"" "")"),61)</f>
        <v>61</v>
      </c>
      <c r="L38" s="85" t="str">
        <f t="shared" ca="1" si="4"/>
        <v>Pass</v>
      </c>
      <c r="M38" s="86" t="str">
        <f t="shared" ref="M38:M45" ca="1" si="33">IF(K38&gt;=80,"O",IF(K38&gt;=75,"A",IF(K38&gt;=70,"B",IF(K38&gt;=60,"C",IF(K38&gt;=50,"D", IF(K38&gt;=45,"E",IF(K38&gt;=40,"P","F")))))))</f>
        <v>C</v>
      </c>
      <c r="N38" s="85">
        <v>3</v>
      </c>
      <c r="O38" s="82">
        <f t="shared" ca="1" si="6"/>
        <v>7</v>
      </c>
      <c r="P38" s="80">
        <f t="shared" ca="1" si="7"/>
        <v>21</v>
      </c>
      <c r="Q38" s="112" t="str">
        <f ca="1">IFERROR(__xludf.DUMMYFUNCTION("IFERROR(VLOOKUP(B38,{(IMPORTRANGE(""https://docs.google.com/spreadsheets/d/1IgGENpYbL2rI7gfQAXyk9JS3FgAuuh8Wul__oPf-faY/edit#gid=37342362"",""PE VI all branches!A1:E200""))},4,FALSE),"" "")"),"Cloud computing")</f>
        <v>Cloud computing</v>
      </c>
      <c r="R38" s="85">
        <f ca="1">IFERROR(__xludf.DUMMYFUNCTION("IFERROR(VLOOKUP(B38,{(IMPORTRANGE(""https://docs.google.com/spreadsheets/d/1IgGENpYbL2rI7gfQAXyk9JS3FgAuuh8Wul__oPf-faY/edit#gid=37342362"",""PE VI all branches!A1:E200""))},5,FALSE),"" "")"),76)</f>
        <v>76</v>
      </c>
      <c r="S38" s="85" t="str">
        <f t="shared" ca="1" si="32"/>
        <v>Pass</v>
      </c>
      <c r="T38" s="86" t="str">
        <f t="shared" ref="T38:T45" ca="1" si="34">IF(R38&gt;=80,"O",IF(R38&gt;=75,"A",IF(R38&gt;=70,"B",IF(R38&gt;=60,"C",IF(R38&gt;=50,"D", IF(R38&gt;=45,"E",IF(R38&gt;=40,"P","F")))))))</f>
        <v>A</v>
      </c>
      <c r="U38" s="85">
        <v>3</v>
      </c>
      <c r="V38" s="82">
        <f t="shared" ca="1" si="10"/>
        <v>9</v>
      </c>
      <c r="W38" s="80">
        <f t="shared" ca="1" si="11"/>
        <v>27</v>
      </c>
      <c r="X38" s="85">
        <v>85</v>
      </c>
      <c r="Y38" s="85" t="str">
        <f t="shared" si="12"/>
        <v>Pass</v>
      </c>
      <c r="Z38" s="86" t="str">
        <f t="shared" si="13"/>
        <v>O</v>
      </c>
      <c r="AA38" s="87">
        <v>6</v>
      </c>
      <c r="AB38" s="82">
        <f t="shared" si="14"/>
        <v>10</v>
      </c>
      <c r="AC38" s="80">
        <f t="shared" si="15"/>
        <v>60</v>
      </c>
      <c r="AD38" s="87">
        <f ca="1">IFERROR(__xludf.DUMMYFUNCTION("(VLOOKUP(B38,{(IMPORTRANGE(""https://docs.google.com/spreadsheets/d/1bhPzFUTLMV7e35kNXQBjHBx0hnSRtnD8lSPi2nGpa7Y/edit#gid=1774387053"",""BE EXTC!B11:E91""))},4,FALSE))"),87)</f>
        <v>87</v>
      </c>
      <c r="AE38" s="87"/>
      <c r="AF38" s="86" t="str">
        <f t="shared" ca="1" si="16"/>
        <v>O</v>
      </c>
      <c r="AG38" s="87">
        <v>1</v>
      </c>
      <c r="AH38" s="82">
        <f t="shared" ca="1" si="17"/>
        <v>10</v>
      </c>
      <c r="AI38" s="80">
        <f t="shared" ca="1" si="18"/>
        <v>10</v>
      </c>
      <c r="AJ38" s="87">
        <v>16</v>
      </c>
      <c r="AK38" s="87">
        <f t="shared" si="19"/>
        <v>16</v>
      </c>
      <c r="AL38" s="87">
        <f t="shared" ca="1" si="20"/>
        <v>145</v>
      </c>
      <c r="AM38" s="81">
        <f t="shared" ca="1" si="21"/>
        <v>9.0625</v>
      </c>
      <c r="AN38" s="80" t="s">
        <v>35</v>
      </c>
      <c r="AO38" s="81">
        <f t="array" ref="AO38">VLOOKUP(B38,cgpi!$A$8:$K992,2,FALSE)</f>
        <v>7.4</v>
      </c>
      <c r="AP38" s="89">
        <f t="array" ref="AP38">VLOOKUP(B38,cgpi!$A$8:$K992,3,FALSE)</f>
        <v>8.3000000000000007</v>
      </c>
      <c r="AQ38" s="89">
        <f t="array" ref="AQ38">VLOOKUP(B38,cgpi!$A$8:$K992,4,FALSE)</f>
        <v>9.81</v>
      </c>
      <c r="AR38" s="89">
        <f t="array" ref="AR38">VLOOKUP(B38,cgpi!$A$8:$K992,5,FALSE)</f>
        <v>9.11</v>
      </c>
      <c r="AS38" s="89">
        <f t="array" ref="AS38">VLOOKUP(B38,cgpi!$A$8:$K992,6,FALSE)</f>
        <v>9.6199999999999992</v>
      </c>
      <c r="AT38" s="89">
        <f t="array" ref="AT38">VLOOKUP(B38,cgpi!$A$8:$K992,7,FALSE)</f>
        <v>9.86</v>
      </c>
      <c r="AU38" s="89">
        <f t="array" ref="AU38">VLOOKUP(B38,cgpi!$A$8:$K992,8,FALSE)</f>
        <v>7.94</v>
      </c>
      <c r="AV38" s="89">
        <f t="array" ref="AV38">VLOOKUP(B38,cgpi!$A$8:$K992,9,FALSE)</f>
        <v>9.06</v>
      </c>
      <c r="AW38" s="89">
        <f t="array" ref="AW38">VLOOKUP(B38,cgpi!$A$8:$K992,10,FALSE)</f>
        <v>8.92</v>
      </c>
      <c r="AX38" s="89">
        <f t="array" ref="AX38">VLOOKUP(B38,cgpi!$A$8:$K992,11,FALSE)</f>
        <v>8.5</v>
      </c>
    </row>
    <row r="39" spans="1:50" ht="45" customHeight="1">
      <c r="A39" s="98">
        <v>33</v>
      </c>
      <c r="B39" s="50">
        <v>2019120062</v>
      </c>
      <c r="C39" s="51" t="str">
        <f t="array" ref="C39">VLOOKUP(B39,studentnames!$A$6:$B992,2,FALSE)</f>
        <v>SOMANI DARSHAN AMOL ARUNA</v>
      </c>
      <c r="D39" s="84">
        <f ca="1">IFERROR(__xludf.DUMMYFUNCTION("(VLOOKUP(B39,{(IMPORTRANGE(""https://docs.google.com/spreadsheets/d/1IgGENpYbL2rI7gfQAXyk9JS3FgAuuh8Wul__oPf-faY/edit#gid=838365050"",""BE-OESall branches!J1:K350""))},2,FALSE))"),79)</f>
        <v>79</v>
      </c>
      <c r="E39" s="85" t="str">
        <f t="shared" ca="1" si="0"/>
        <v>Pass</v>
      </c>
      <c r="F39" s="86" t="str">
        <f t="shared" ca="1" si="30"/>
        <v>A</v>
      </c>
      <c r="G39" s="85">
        <v>3</v>
      </c>
      <c r="H39" s="82">
        <f t="shared" ca="1" si="2"/>
        <v>9</v>
      </c>
      <c r="I39" s="80">
        <f t="shared" ca="1" si="3"/>
        <v>27</v>
      </c>
      <c r="J39" s="112" t="str">
        <f ca="1">IFERROR(__xludf.DUMMYFUNCTION("IFERROR(VLOOKUP(B39,{(IMPORTRANGE(""https://docs.google.com/spreadsheets/d/1IgGENpYbL2rI7gfQAXyk9JS3FgAuuh8Wul__oPf-faY/edit#gid=139233849"",""PEV all barnches!A1:E200""))},4,FALSE),"" "")"),"Introduction to Internet of Things")</f>
        <v>Introduction to Internet of Things</v>
      </c>
      <c r="K39" s="85">
        <f ca="1">IFERROR(__xludf.DUMMYFUNCTION("IFERROR(VLOOKUP(B39,{(IMPORTRANGE(""https://docs.google.com/spreadsheets/d/1IgGENpYbL2rI7gfQAXyk9JS3FgAuuh8Wul__oPf-faY/edit#gid=139233849"",""PEV all barnches!A1:E200""))},5,FALSE),"" "")"),81)</f>
        <v>81</v>
      </c>
      <c r="L39" s="85" t="str">
        <f t="shared" ca="1" si="4"/>
        <v>Pass</v>
      </c>
      <c r="M39" s="86" t="str">
        <f t="shared" ca="1" si="33"/>
        <v>O</v>
      </c>
      <c r="N39" s="85">
        <v>3</v>
      </c>
      <c r="O39" s="82">
        <f t="shared" ca="1" si="6"/>
        <v>10</v>
      </c>
      <c r="P39" s="80">
        <f t="shared" ca="1" si="7"/>
        <v>30</v>
      </c>
      <c r="Q39" s="112" t="str">
        <f ca="1">IFERROR(__xludf.DUMMYFUNCTION("IFERROR(VLOOKUP(B39,{(IMPORTRANGE(""https://docs.google.com/spreadsheets/d/1IgGENpYbL2rI7gfQAXyk9JS3FgAuuh8Wul__oPf-faY/edit#gid=37342362"",""PE VI all branches!A1:E200""))},4,FALSE),"" "")"),"Blockchain and its Application")</f>
        <v>Blockchain and its Application</v>
      </c>
      <c r="R39" s="85">
        <f ca="1">IFERROR(__xludf.DUMMYFUNCTION("IFERROR(VLOOKUP(B39,{(IMPORTRANGE(""https://docs.google.com/spreadsheets/d/1IgGENpYbL2rI7gfQAXyk9JS3FgAuuh8Wul__oPf-faY/edit#gid=37342362"",""PE VI all branches!A1:E200""))},5,FALSE),"" "")"),54)</f>
        <v>54</v>
      </c>
      <c r="S39" s="85" t="str">
        <f t="shared" ca="1" si="32"/>
        <v>Pass</v>
      </c>
      <c r="T39" s="86" t="str">
        <f t="shared" ca="1" si="34"/>
        <v>D</v>
      </c>
      <c r="U39" s="85">
        <v>3</v>
      </c>
      <c r="V39" s="82">
        <f t="shared" ca="1" si="10"/>
        <v>6</v>
      </c>
      <c r="W39" s="80">
        <f t="shared" ca="1" si="11"/>
        <v>18</v>
      </c>
      <c r="X39" s="85">
        <v>85</v>
      </c>
      <c r="Y39" s="85" t="str">
        <f t="shared" si="12"/>
        <v>Pass</v>
      </c>
      <c r="Z39" s="86" t="str">
        <f t="shared" si="13"/>
        <v>O</v>
      </c>
      <c r="AA39" s="87">
        <v>6</v>
      </c>
      <c r="AB39" s="82">
        <f t="shared" si="14"/>
        <v>10</v>
      </c>
      <c r="AC39" s="80">
        <f t="shared" si="15"/>
        <v>60</v>
      </c>
      <c r="AD39" s="87">
        <f ca="1">IFERROR(__xludf.DUMMYFUNCTION("(VLOOKUP(B39,{(IMPORTRANGE(""https://docs.google.com/spreadsheets/d/1bhPzFUTLMV7e35kNXQBjHBx0hnSRtnD8lSPi2nGpa7Y/edit#gid=1774387053"",""BE EXTC!B11:E91""))},4,FALSE))"),86)</f>
        <v>86</v>
      </c>
      <c r="AE39" s="87"/>
      <c r="AF39" s="86" t="str">
        <f t="shared" ca="1" si="16"/>
        <v>O</v>
      </c>
      <c r="AG39" s="87">
        <v>1</v>
      </c>
      <c r="AH39" s="82">
        <f t="shared" ca="1" si="17"/>
        <v>10</v>
      </c>
      <c r="AI39" s="80">
        <f t="shared" ca="1" si="18"/>
        <v>10</v>
      </c>
      <c r="AJ39" s="87">
        <v>16</v>
      </c>
      <c r="AK39" s="87">
        <f t="shared" si="19"/>
        <v>16</v>
      </c>
      <c r="AL39" s="87">
        <f t="shared" ca="1" si="20"/>
        <v>145</v>
      </c>
      <c r="AM39" s="81">
        <f t="shared" ca="1" si="21"/>
        <v>9.0625</v>
      </c>
      <c r="AN39" s="80" t="s">
        <v>35</v>
      </c>
      <c r="AO39" s="81">
        <f t="array" ref="AO39">VLOOKUP(B39,cgpi!$A$8:$K992,2,FALSE)</f>
        <v>7.65</v>
      </c>
      <c r="AP39" s="89">
        <f t="array" ref="AP39">VLOOKUP(B39,cgpi!$A$8:$K992,3,FALSE)</f>
        <v>8.3000000000000007</v>
      </c>
      <c r="AQ39" s="89">
        <f t="array" ref="AQ39">VLOOKUP(B39,cgpi!$A$8:$K992,4,FALSE)</f>
        <v>9.52</v>
      </c>
      <c r="AR39" s="89">
        <f t="array" ref="AR39">VLOOKUP(B39,cgpi!$A$8:$K992,5,FALSE)</f>
        <v>9</v>
      </c>
      <c r="AS39" s="89">
        <f t="array" ref="AS39">VLOOKUP(B39,cgpi!$A$8:$K992,6,FALSE)</f>
        <v>9.43</v>
      </c>
      <c r="AT39" s="89">
        <f t="array" ref="AT39">VLOOKUP(B39,cgpi!$A$8:$K992,7,FALSE)</f>
        <v>9.2899999999999991</v>
      </c>
      <c r="AU39" s="89">
        <f t="array" ref="AU39">VLOOKUP(B39,cgpi!$A$8:$K992,8,FALSE)</f>
        <v>8.19</v>
      </c>
      <c r="AV39" s="89">
        <f t="array" ref="AV39">VLOOKUP(B39,cgpi!$A$8:$K992,9,FALSE)</f>
        <v>9.06</v>
      </c>
      <c r="AW39" s="89">
        <f t="array" ref="AW39">VLOOKUP(B39,cgpi!$A$8:$K992,10,FALSE)</f>
        <v>8.82</v>
      </c>
      <c r="AX39" s="89">
        <f t="array" ref="AX39">VLOOKUP(B39,cgpi!$A$8:$K992,11,FALSE)</f>
        <v>8.6300000000000008</v>
      </c>
    </row>
    <row r="40" spans="1:50" ht="45" customHeight="1">
      <c r="A40" s="49">
        <v>34</v>
      </c>
      <c r="B40" s="50">
        <v>2019120063</v>
      </c>
      <c r="C40" s="51" t="str">
        <f t="array" ref="C40">VLOOKUP(B40,studentnames!$A$6:$B992,2,FALSE)</f>
        <v>SONAVANE ATHARVA SANTOSH</v>
      </c>
      <c r="D40" s="84">
        <f ca="1">IFERROR(__xludf.DUMMYFUNCTION("(VLOOKUP(B40,{(IMPORTRANGE(""https://docs.google.com/spreadsheets/d/1IgGENpYbL2rI7gfQAXyk9JS3FgAuuh8Wul__oPf-faY/edit#gid=838365050"",""BE-OESall branches!J1:K350""))},2,FALSE))"),62)</f>
        <v>62</v>
      </c>
      <c r="E40" s="85" t="str">
        <f t="shared" ca="1" si="0"/>
        <v>Pass</v>
      </c>
      <c r="F40" s="86" t="str">
        <f t="shared" ca="1" si="30"/>
        <v>C</v>
      </c>
      <c r="G40" s="85">
        <v>3</v>
      </c>
      <c r="H40" s="82">
        <f t="shared" ca="1" si="2"/>
        <v>7</v>
      </c>
      <c r="I40" s="80">
        <f t="shared" ca="1" si="3"/>
        <v>21</v>
      </c>
      <c r="J40" s="112" t="str">
        <f ca="1">IFERROR(__xludf.DUMMYFUNCTION("IFERROR(VLOOKUP(B40,{(IMPORTRANGE(""https://docs.google.com/spreadsheets/d/1IgGENpYbL2rI7gfQAXyk9JS3FgAuuh8Wul__oPf-faY/edit#gid=139233849"",""PEV all barnches!A1:E200""))},4,FALSE),"" "")"),"	 Blockchain and its Applications")</f>
        <v xml:space="preserve">	 Blockchain and its Applications</v>
      </c>
      <c r="K40" s="85">
        <f ca="1">IFERROR(__xludf.DUMMYFUNCTION("IFERROR(VLOOKUP(B40,{(IMPORTRANGE(""https://docs.google.com/spreadsheets/d/1IgGENpYbL2rI7gfQAXyk9JS3FgAuuh8Wul__oPf-faY/edit#gid=139233849"",""PEV all barnches!A1:E200""))},5,FALSE),"" "")"),63)</f>
        <v>63</v>
      </c>
      <c r="L40" s="85" t="str">
        <f t="shared" ca="1" si="4"/>
        <v>Pass</v>
      </c>
      <c r="M40" s="86" t="str">
        <f t="shared" ca="1" si="33"/>
        <v>C</v>
      </c>
      <c r="N40" s="85">
        <v>3</v>
      </c>
      <c r="O40" s="82">
        <f t="shared" ca="1" si="6"/>
        <v>7</v>
      </c>
      <c r="P40" s="80">
        <f t="shared" ca="1" si="7"/>
        <v>21</v>
      </c>
      <c r="Q40" s="112" t="str">
        <f ca="1">IFERROR(__xludf.DUMMYFUNCTION("IFERROR(VLOOKUP(B40,{(IMPORTRANGE(""https://docs.google.com/spreadsheets/d/1IgGENpYbL2rI7gfQAXyk9JS3FgAuuh8Wul__oPf-faY/edit#gid=37342362"",""PE VI all branches!A1:E200""))},4,FALSE),"" "")"),"Cloud Computing")</f>
        <v>Cloud Computing</v>
      </c>
      <c r="R40" s="85">
        <f ca="1">IFERROR(__xludf.DUMMYFUNCTION("IFERROR(VLOOKUP(B40,{(IMPORTRANGE(""https://docs.google.com/spreadsheets/d/1IgGENpYbL2rI7gfQAXyk9JS3FgAuuh8Wul__oPf-faY/edit#gid=37342362"",""PE VI all branches!A1:E200""))},5,FALSE),"" "")"),75)</f>
        <v>75</v>
      </c>
      <c r="S40" s="85"/>
      <c r="T40" s="86" t="str">
        <f t="shared" ca="1" si="34"/>
        <v>A</v>
      </c>
      <c r="U40" s="85">
        <v>3</v>
      </c>
      <c r="V40" s="82">
        <f t="shared" ca="1" si="10"/>
        <v>9</v>
      </c>
      <c r="W40" s="80">
        <f t="shared" ca="1" si="11"/>
        <v>27</v>
      </c>
      <c r="X40" s="85">
        <v>89</v>
      </c>
      <c r="Y40" s="85" t="str">
        <f t="shared" si="12"/>
        <v>Pass</v>
      </c>
      <c r="Z40" s="86" t="str">
        <f t="shared" si="13"/>
        <v>O</v>
      </c>
      <c r="AA40" s="87">
        <v>6</v>
      </c>
      <c r="AB40" s="82">
        <f t="shared" si="14"/>
        <v>10</v>
      </c>
      <c r="AC40" s="80">
        <f t="shared" si="15"/>
        <v>60</v>
      </c>
      <c r="AD40" s="87">
        <f ca="1">IFERROR(__xludf.DUMMYFUNCTION("(VLOOKUP(B40,{(IMPORTRANGE(""https://docs.google.com/spreadsheets/d/1bhPzFUTLMV7e35kNXQBjHBx0hnSRtnD8lSPi2nGpa7Y/edit#gid=1774387053"",""BE EXTC!B11:E91""))},4,FALSE))"),91)</f>
        <v>91</v>
      </c>
      <c r="AE40" s="87"/>
      <c r="AF40" s="86" t="str">
        <f t="shared" ca="1" si="16"/>
        <v>O</v>
      </c>
      <c r="AG40" s="87">
        <v>1</v>
      </c>
      <c r="AH40" s="82">
        <f t="shared" ca="1" si="17"/>
        <v>10</v>
      </c>
      <c r="AI40" s="80">
        <f t="shared" ca="1" si="18"/>
        <v>10</v>
      </c>
      <c r="AJ40" s="87">
        <v>16</v>
      </c>
      <c r="AK40" s="87">
        <f t="shared" si="19"/>
        <v>16</v>
      </c>
      <c r="AL40" s="87">
        <f t="shared" ca="1" si="20"/>
        <v>139</v>
      </c>
      <c r="AM40" s="81">
        <f t="shared" ca="1" si="21"/>
        <v>8.6875</v>
      </c>
      <c r="AN40" s="80" t="s">
        <v>35</v>
      </c>
      <c r="AO40" s="81">
        <f t="array" ref="AO40">VLOOKUP(B40,cgpi!$A$8:$K992,2,FALSE)</f>
        <v>7.3</v>
      </c>
      <c r="AP40" s="89">
        <f t="array" ref="AP40">VLOOKUP(B40,cgpi!$A$8:$K992,3,FALSE)</f>
        <v>8</v>
      </c>
      <c r="AQ40" s="89">
        <f t="array" ref="AQ40">VLOOKUP(B40,cgpi!$A$8:$K992,4,FALSE)</f>
        <v>10</v>
      </c>
      <c r="AR40" s="89">
        <f t="array" ref="AR40">VLOOKUP(B40,cgpi!$A$8:$K992,5,FALSE)</f>
        <v>9.6300000000000008</v>
      </c>
      <c r="AS40" s="89">
        <f t="array" ref="AS40">VLOOKUP(B40,cgpi!$A$8:$K992,6,FALSE)</f>
        <v>9.14</v>
      </c>
      <c r="AT40" s="89">
        <f t="array" ref="AT40">VLOOKUP(B40,cgpi!$A$8:$K992,7,FALSE)</f>
        <v>9.57</v>
      </c>
      <c r="AU40" s="89">
        <f t="array" ref="AU40">VLOOKUP(B40,cgpi!$A$8:$K992,8,FALSE)</f>
        <v>7.94</v>
      </c>
      <c r="AV40" s="89">
        <f t="array" ref="AV40">VLOOKUP(B40,cgpi!$A$8:$K992,9,FALSE)</f>
        <v>8.69</v>
      </c>
      <c r="AW40" s="89">
        <f t="array" ref="AW40">VLOOKUP(B40,cgpi!$A$8:$K992,10,FALSE)</f>
        <v>8.82</v>
      </c>
      <c r="AX40" s="89">
        <f t="array" ref="AX40">VLOOKUP(B40,cgpi!$A$8:$K992,11,FALSE)</f>
        <v>8.31</v>
      </c>
    </row>
    <row r="41" spans="1:50" ht="45" customHeight="1">
      <c r="A41" s="98">
        <v>35</v>
      </c>
      <c r="B41" s="50">
        <v>2019120064</v>
      </c>
      <c r="C41" s="51" t="str">
        <f t="array" ref="C41">VLOOKUP(B41,studentnames!$A$6:$B992,2,FALSE)</f>
        <v>PRANAV SWAMINATHAN</v>
      </c>
      <c r="D41" s="84">
        <f ca="1">IFERROR(__xludf.DUMMYFUNCTION("(VLOOKUP(B41,{(IMPORTRANGE(""https://docs.google.com/spreadsheets/d/1IgGENpYbL2rI7gfQAXyk9JS3FgAuuh8Wul__oPf-faY/edit#gid=838365050"",""BE-OESall branches!J1:K350""))},2,FALSE))"),67)</f>
        <v>67</v>
      </c>
      <c r="E41" s="85" t="str">
        <f t="shared" ca="1" si="0"/>
        <v>Pass</v>
      </c>
      <c r="F41" s="86" t="str">
        <f t="shared" ca="1" si="30"/>
        <v>C</v>
      </c>
      <c r="G41" s="85">
        <v>3</v>
      </c>
      <c r="H41" s="82">
        <f t="shared" ca="1" si="2"/>
        <v>7</v>
      </c>
      <c r="I41" s="80">
        <f t="shared" ca="1" si="3"/>
        <v>21</v>
      </c>
      <c r="J41" s="112" t="str">
        <f ca="1">IFERROR(__xludf.DUMMYFUNCTION("IFERROR(VLOOKUP(B41,{(IMPORTRANGE(""https://docs.google.com/spreadsheets/d/1IgGENpYbL2rI7gfQAXyk9JS3FgAuuh8Wul__oPf-faY/edit#gid=139233849"",""PEV all barnches!A1:E200""))},4,FALSE),"" "")"),"Introduction To Internet Of Things")</f>
        <v>Introduction To Internet Of Things</v>
      </c>
      <c r="K41" s="85">
        <f ca="1">IFERROR(__xludf.DUMMYFUNCTION("IFERROR(VLOOKUP(B41,{(IMPORTRANGE(""https://docs.google.com/spreadsheets/d/1IgGENpYbL2rI7gfQAXyk9JS3FgAuuh8Wul__oPf-faY/edit#gid=139233849"",""PEV all barnches!A1:E200""))},5,FALSE),"" "")"),80)</f>
        <v>80</v>
      </c>
      <c r="L41" s="85" t="str">
        <f t="shared" ca="1" si="4"/>
        <v>Pass</v>
      </c>
      <c r="M41" s="86" t="str">
        <f t="shared" ca="1" si="33"/>
        <v>O</v>
      </c>
      <c r="N41" s="85">
        <v>3</v>
      </c>
      <c r="O41" s="82">
        <f t="shared" ca="1" si="6"/>
        <v>10</v>
      </c>
      <c r="P41" s="80">
        <f t="shared" ca="1" si="7"/>
        <v>30</v>
      </c>
      <c r="Q41" s="112" t="str">
        <f ca="1">IFERROR(__xludf.DUMMYFUNCTION("IFERROR(VLOOKUP(B41,{(IMPORTRANGE(""https://docs.google.com/spreadsheets/d/1IgGENpYbL2rI7gfQAXyk9JS3FgAuuh8Wul__oPf-faY/edit#gid=37342362"",""PE VI all branches!A1:E200""))},4,FALSE),"" "")"),"Cloud Computing")</f>
        <v>Cloud Computing</v>
      </c>
      <c r="R41" s="85">
        <f ca="1">IFERROR(__xludf.DUMMYFUNCTION("IFERROR(VLOOKUP(B41,{(IMPORTRANGE(""https://docs.google.com/spreadsheets/d/1IgGENpYbL2rI7gfQAXyk9JS3FgAuuh8Wul__oPf-faY/edit#gid=37342362"",""PE VI all branches!A1:E200""))},5,FALSE),"" "")"),79)</f>
        <v>79</v>
      </c>
      <c r="S41" s="85" t="str">
        <f t="shared" ref="S41:S45" ca="1" si="35">IF((R41&gt;=40),"Pass","Fail")</f>
        <v>Pass</v>
      </c>
      <c r="T41" s="86" t="str">
        <f t="shared" ca="1" si="34"/>
        <v>A</v>
      </c>
      <c r="U41" s="85">
        <v>3</v>
      </c>
      <c r="V41" s="82">
        <f t="shared" ca="1" si="10"/>
        <v>9</v>
      </c>
      <c r="W41" s="80">
        <f t="shared" ca="1" si="11"/>
        <v>27</v>
      </c>
      <c r="X41" s="85">
        <v>85</v>
      </c>
      <c r="Y41" s="85" t="str">
        <f t="shared" si="12"/>
        <v>Pass</v>
      </c>
      <c r="Z41" s="86" t="str">
        <f t="shared" si="13"/>
        <v>O</v>
      </c>
      <c r="AA41" s="87">
        <v>6</v>
      </c>
      <c r="AB41" s="82">
        <f t="shared" si="14"/>
        <v>10</v>
      </c>
      <c r="AC41" s="80">
        <f t="shared" si="15"/>
        <v>60</v>
      </c>
      <c r="AD41" s="87">
        <f ca="1">IFERROR(__xludf.DUMMYFUNCTION("(VLOOKUP(B41,{(IMPORTRANGE(""https://docs.google.com/spreadsheets/d/1bhPzFUTLMV7e35kNXQBjHBx0hnSRtnD8lSPi2nGpa7Y/edit#gid=1774387053"",""BE EXTC!B11:E91""))},4,FALSE))"),89)</f>
        <v>89</v>
      </c>
      <c r="AE41" s="87"/>
      <c r="AF41" s="86" t="str">
        <f t="shared" ca="1" si="16"/>
        <v>O</v>
      </c>
      <c r="AG41" s="87">
        <v>1</v>
      </c>
      <c r="AH41" s="82">
        <f t="shared" ca="1" si="17"/>
        <v>10</v>
      </c>
      <c r="AI41" s="80">
        <f t="shared" ca="1" si="18"/>
        <v>10</v>
      </c>
      <c r="AJ41" s="87">
        <v>16</v>
      </c>
      <c r="AK41" s="87">
        <f t="shared" si="19"/>
        <v>16</v>
      </c>
      <c r="AL41" s="87">
        <f t="shared" ca="1" si="20"/>
        <v>148</v>
      </c>
      <c r="AM41" s="81">
        <f t="shared" ca="1" si="21"/>
        <v>9.25</v>
      </c>
      <c r="AN41" s="80" t="s">
        <v>35</v>
      </c>
      <c r="AO41" s="81">
        <f t="array" ref="AO41">VLOOKUP(B41,cgpi!$A$8:$K992,2,FALSE)</f>
        <v>7.9</v>
      </c>
      <c r="AP41" s="89">
        <f t="array" ref="AP41">VLOOKUP(B41,cgpi!$A$8:$K992,3,FALSE)</f>
        <v>8.3000000000000007</v>
      </c>
      <c r="AQ41" s="89">
        <f t="array" ref="AQ41">VLOOKUP(B41,cgpi!$A$8:$K992,4,FALSE)</f>
        <v>9.7100000000000009</v>
      </c>
      <c r="AR41" s="89">
        <f t="array" ref="AR41">VLOOKUP(B41,cgpi!$A$8:$K992,5,FALSE)</f>
        <v>8.42</v>
      </c>
      <c r="AS41" s="89">
        <f t="array" ref="AS41">VLOOKUP(B41,cgpi!$A$8:$K992,6,FALSE)</f>
        <v>9.0500000000000007</v>
      </c>
      <c r="AT41" s="89">
        <f t="array" ref="AT41">VLOOKUP(B41,cgpi!$A$8:$K992,7,FALSE)</f>
        <v>9.7100000000000009</v>
      </c>
      <c r="AU41" s="89">
        <f t="array" ref="AU41">VLOOKUP(B41,cgpi!$A$8:$K992,8,FALSE)</f>
        <v>8.69</v>
      </c>
      <c r="AV41" s="89">
        <f t="array" ref="AV41">VLOOKUP(B41,cgpi!$A$8:$K992,9,FALSE)</f>
        <v>9.25</v>
      </c>
      <c r="AW41" s="89">
        <f t="array" ref="AW41">VLOOKUP(B41,cgpi!$A$8:$K992,10,FALSE)</f>
        <v>8.89</v>
      </c>
      <c r="AX41" s="89">
        <f t="array" ref="AX41">VLOOKUP(B41,cgpi!$A$8:$K992,11,FALSE)</f>
        <v>8.9700000000000006</v>
      </c>
    </row>
    <row r="42" spans="1:50" ht="45" customHeight="1">
      <c r="A42" s="49">
        <v>36</v>
      </c>
      <c r="B42" s="50">
        <v>2019120068</v>
      </c>
      <c r="C42" s="51" t="str">
        <f t="array" ref="C42">VLOOKUP(B42,studentnames!$A$6:$B992,2,FALSE)</f>
        <v>/ VORA MAITRI TARUN AMITA</v>
      </c>
      <c r="D42" s="84">
        <f ca="1">IFERROR(__xludf.DUMMYFUNCTION("(VLOOKUP(B42,{(IMPORTRANGE(""https://docs.google.com/spreadsheets/d/1IgGENpYbL2rI7gfQAXyk9JS3FgAuuh8Wul__oPf-faY/edit#gid=838365050"",""BE-OESall branches!J1:K350""))},2,FALSE))"),80)</f>
        <v>80</v>
      </c>
      <c r="E42" s="85" t="str">
        <f t="shared" ca="1" si="0"/>
        <v>Pass</v>
      </c>
      <c r="F42" s="86" t="str">
        <f t="shared" ca="1" si="30"/>
        <v>O</v>
      </c>
      <c r="G42" s="85">
        <v>3</v>
      </c>
      <c r="H42" s="82">
        <f t="shared" ca="1" si="2"/>
        <v>10</v>
      </c>
      <c r="I42" s="80">
        <f t="shared" ca="1" si="3"/>
        <v>30</v>
      </c>
      <c r="J42" s="112" t="str">
        <f ca="1">IFERROR(__xludf.DUMMYFUNCTION("IFERROR(VLOOKUP(B42,{(IMPORTRANGE(""https://docs.google.com/spreadsheets/d/1IgGENpYbL2rI7gfQAXyk9JS3FgAuuh8Wul__oPf-faY/edit#gid=139233849"",""PEV all barnches!A1:E200""))},4,FALSE),"" "")"),"Cloud Computing")</f>
        <v>Cloud Computing</v>
      </c>
      <c r="K42" s="85">
        <f ca="1">IFERROR(__xludf.DUMMYFUNCTION("IFERROR(VLOOKUP(B42,{(IMPORTRANGE(""https://docs.google.com/spreadsheets/d/1IgGENpYbL2rI7gfQAXyk9JS3FgAuuh8Wul__oPf-faY/edit#gid=139233849"",""PEV all barnches!A1:E200""))},5,FALSE),"" "")"),79)</f>
        <v>79</v>
      </c>
      <c r="L42" s="85" t="str">
        <f t="shared" ca="1" si="4"/>
        <v>Pass</v>
      </c>
      <c r="M42" s="86" t="str">
        <f t="shared" ca="1" si="33"/>
        <v>A</v>
      </c>
      <c r="N42" s="85">
        <v>3</v>
      </c>
      <c r="O42" s="82">
        <f t="shared" ca="1" si="6"/>
        <v>9</v>
      </c>
      <c r="P42" s="80">
        <f t="shared" ca="1" si="7"/>
        <v>27</v>
      </c>
      <c r="Q42" s="112" t="str">
        <f ca="1">IFERROR(__xludf.DUMMYFUNCTION("IFERROR(VLOOKUP(B42,{(IMPORTRANGE(""https://docs.google.com/spreadsheets/d/1IgGENpYbL2rI7gfQAXyk9JS3FgAuuh8Wul__oPf-faY/edit#gid=37342362"",""PE VI all branches!A1:E200""))},4,FALSE),"" "")"),"Blockchain and its Applications")</f>
        <v>Blockchain and its Applications</v>
      </c>
      <c r="R42" s="85">
        <f ca="1">IFERROR(__xludf.DUMMYFUNCTION("IFERROR(VLOOKUP(B42,{(IMPORTRANGE(""https://docs.google.com/spreadsheets/d/1IgGENpYbL2rI7gfQAXyk9JS3FgAuuh8Wul__oPf-faY/edit#gid=37342362"",""PE VI all branches!A1:E200""))},5,FALSE),"" "")"),62)</f>
        <v>62</v>
      </c>
      <c r="S42" s="85" t="str">
        <f t="shared" ca="1" si="35"/>
        <v>Pass</v>
      </c>
      <c r="T42" s="86" t="str">
        <f t="shared" ca="1" si="34"/>
        <v>C</v>
      </c>
      <c r="U42" s="85">
        <v>3</v>
      </c>
      <c r="V42" s="82">
        <f t="shared" ca="1" si="10"/>
        <v>7</v>
      </c>
      <c r="W42" s="80">
        <f t="shared" ca="1" si="11"/>
        <v>21</v>
      </c>
      <c r="X42" s="85">
        <v>88</v>
      </c>
      <c r="Y42" s="85" t="str">
        <f t="shared" si="12"/>
        <v>Pass</v>
      </c>
      <c r="Z42" s="86" t="str">
        <f t="shared" si="13"/>
        <v>O</v>
      </c>
      <c r="AA42" s="87">
        <v>6</v>
      </c>
      <c r="AB42" s="82">
        <f t="shared" si="14"/>
        <v>10</v>
      </c>
      <c r="AC42" s="80">
        <f t="shared" si="15"/>
        <v>60</v>
      </c>
      <c r="AD42" s="87">
        <f ca="1">IFERROR(__xludf.DUMMYFUNCTION("(VLOOKUP(B42,{(IMPORTRANGE(""https://docs.google.com/spreadsheets/d/1bhPzFUTLMV7e35kNXQBjHBx0hnSRtnD8lSPi2nGpa7Y/edit#gid=1774387053"",""BE EXTC!B11:E91""))},4,FALSE))"),86)</f>
        <v>86</v>
      </c>
      <c r="AE42" s="87"/>
      <c r="AF42" s="86" t="str">
        <f t="shared" ca="1" si="16"/>
        <v>O</v>
      </c>
      <c r="AG42" s="87">
        <v>1</v>
      </c>
      <c r="AH42" s="82">
        <f t="shared" ca="1" si="17"/>
        <v>10</v>
      </c>
      <c r="AI42" s="80">
        <f t="shared" ca="1" si="18"/>
        <v>10</v>
      </c>
      <c r="AJ42" s="87">
        <v>16</v>
      </c>
      <c r="AK42" s="87">
        <f t="shared" si="19"/>
        <v>16</v>
      </c>
      <c r="AL42" s="87">
        <f t="shared" ca="1" si="20"/>
        <v>148</v>
      </c>
      <c r="AM42" s="81">
        <f t="shared" ca="1" si="21"/>
        <v>9.25</v>
      </c>
      <c r="AN42" s="80" t="s">
        <v>35</v>
      </c>
      <c r="AO42" s="81">
        <f t="array" ref="AO42">VLOOKUP(B42,cgpi!$A$8:$K992,2,FALSE)</f>
        <v>8.65</v>
      </c>
      <c r="AP42" s="89">
        <f t="array" ref="AP42">VLOOKUP(B42,cgpi!$A$8:$K992,3,FALSE)</f>
        <v>9.4499999999999993</v>
      </c>
      <c r="AQ42" s="89">
        <f t="array" ref="AQ42">VLOOKUP(B42,cgpi!$A$8:$K992,4,FALSE)</f>
        <v>9.7100000000000009</v>
      </c>
      <c r="AR42" s="89">
        <f t="array" ref="AR42">VLOOKUP(B42,cgpi!$A$8:$K992,5,FALSE)</f>
        <v>8.6300000000000008</v>
      </c>
      <c r="AS42" s="89">
        <f t="array" ref="AS42">VLOOKUP(B42,cgpi!$A$8:$K992,6,FALSE)</f>
        <v>9.43</v>
      </c>
      <c r="AT42" s="89">
        <f t="array" ref="AT42">VLOOKUP(B42,cgpi!$A$8:$K992,7,FALSE)</f>
        <v>9.86</v>
      </c>
      <c r="AU42" s="89">
        <f t="array" ref="AU42">VLOOKUP(B42,cgpi!$A$8:$K992,8,FALSE)</f>
        <v>8.8800000000000008</v>
      </c>
      <c r="AV42" s="89">
        <f t="array" ref="AV42">VLOOKUP(B42,cgpi!$A$8:$K992,9,FALSE)</f>
        <v>9.25</v>
      </c>
      <c r="AW42" s="89">
        <f t="array" ref="AW42">VLOOKUP(B42,cgpi!$A$8:$K992,10,FALSE)</f>
        <v>9.25</v>
      </c>
      <c r="AX42" s="89">
        <f t="array" ref="AX42">VLOOKUP(B42,cgpi!$A$8:$K992,11,FALSE)</f>
        <v>9.06</v>
      </c>
    </row>
    <row r="43" spans="1:50" ht="45" customHeight="1">
      <c r="A43" s="98">
        <v>37</v>
      </c>
      <c r="B43" s="50">
        <v>2020201063</v>
      </c>
      <c r="C43" s="51" t="str">
        <f t="array" ref="C43">VLOOKUP(B43,studentnames!$A$6:$B992,2,FALSE)</f>
        <v>CHRIS PAUL CEENA</v>
      </c>
      <c r="D43" s="84">
        <f ca="1">IFERROR(__xludf.DUMMYFUNCTION("(VLOOKUP(B43,{(IMPORTRANGE(""https://docs.google.com/spreadsheets/d/1IgGENpYbL2rI7gfQAXyk9JS3FgAuuh8Wul__oPf-faY/edit#gid=838365050"",""BE-OESall branches!J1:K350""))},2,FALSE))"),61)</f>
        <v>61</v>
      </c>
      <c r="E43" s="85" t="str">
        <f t="shared" ca="1" si="0"/>
        <v>Pass</v>
      </c>
      <c r="F43" s="86" t="str">
        <f t="shared" ca="1" si="30"/>
        <v>C</v>
      </c>
      <c r="G43" s="85">
        <v>3</v>
      </c>
      <c r="H43" s="82">
        <f t="shared" ca="1" si="2"/>
        <v>7</v>
      </c>
      <c r="I43" s="80">
        <f t="shared" ca="1" si="3"/>
        <v>21</v>
      </c>
      <c r="J43" s="112" t="str">
        <f ca="1">IFERROR(__xludf.DUMMYFUNCTION("IFERROR(VLOOKUP(B43,{(IMPORTRANGE(""https://docs.google.com/spreadsheets/d/1IgGENpYbL2rI7gfQAXyk9JS3FgAuuh8Wul__oPf-faY/edit#gid=139233849"",""PEV all barnches!A1:E200""))},4,FALSE),"" "")"),"Introduction To Internet Of Things")</f>
        <v>Introduction To Internet Of Things</v>
      </c>
      <c r="K43" s="85">
        <f ca="1">IFERROR(__xludf.DUMMYFUNCTION("IFERROR(VLOOKUP(B43,{(IMPORTRANGE(""https://docs.google.com/spreadsheets/d/1IgGENpYbL2rI7gfQAXyk9JS3FgAuuh8Wul__oPf-faY/edit#gid=139233849"",""PEV all barnches!A1:E200""))},5,FALSE),"" "")"),79)</f>
        <v>79</v>
      </c>
      <c r="L43" s="85" t="str">
        <f t="shared" ca="1" si="4"/>
        <v>Pass</v>
      </c>
      <c r="M43" s="86" t="str">
        <f t="shared" ca="1" si="33"/>
        <v>A</v>
      </c>
      <c r="N43" s="85">
        <v>3</v>
      </c>
      <c r="O43" s="82">
        <f t="shared" ca="1" si="6"/>
        <v>9</v>
      </c>
      <c r="P43" s="80">
        <f t="shared" ca="1" si="7"/>
        <v>27</v>
      </c>
      <c r="Q43" s="112" t="str">
        <f ca="1">IFERROR(__xludf.DUMMYFUNCTION("IFERROR(VLOOKUP(B43,{(IMPORTRANGE(""https://docs.google.com/spreadsheets/d/1IgGENpYbL2rI7gfQAXyk9JS3FgAuuh8Wul__oPf-faY/edit#gid=37342362"",""PE VI all branches!A1:E200""))},4,FALSE),"" "")"),"Cloud computing")</f>
        <v>Cloud computing</v>
      </c>
      <c r="R43" s="85">
        <f ca="1">IFERROR(__xludf.DUMMYFUNCTION("IFERROR(VLOOKUP(B43,{(IMPORTRANGE(""https://docs.google.com/spreadsheets/d/1IgGENpYbL2rI7gfQAXyk9JS3FgAuuh8Wul__oPf-faY/edit#gid=37342362"",""PE VI all branches!A1:E200""))},5,FALSE),"" "")"),57)</f>
        <v>57</v>
      </c>
      <c r="S43" s="85" t="str">
        <f t="shared" ca="1" si="35"/>
        <v>Pass</v>
      </c>
      <c r="T43" s="86" t="str">
        <f t="shared" ca="1" si="34"/>
        <v>D</v>
      </c>
      <c r="U43" s="85">
        <v>3</v>
      </c>
      <c r="V43" s="82">
        <f t="shared" ca="1" si="10"/>
        <v>6</v>
      </c>
      <c r="W43" s="80">
        <f t="shared" ca="1" si="11"/>
        <v>18</v>
      </c>
      <c r="X43" s="85">
        <v>90</v>
      </c>
      <c r="Y43" s="85" t="str">
        <f t="shared" si="12"/>
        <v>Pass</v>
      </c>
      <c r="Z43" s="86" t="str">
        <f t="shared" si="13"/>
        <v>O</v>
      </c>
      <c r="AA43" s="87">
        <v>6</v>
      </c>
      <c r="AB43" s="82">
        <f t="shared" si="14"/>
        <v>10</v>
      </c>
      <c r="AC43" s="80">
        <f t="shared" si="15"/>
        <v>60</v>
      </c>
      <c r="AD43" s="87">
        <f ca="1">IFERROR(__xludf.DUMMYFUNCTION("(VLOOKUP(B43,{(IMPORTRANGE(""https://docs.google.com/spreadsheets/d/1bhPzFUTLMV7e35kNXQBjHBx0hnSRtnD8lSPi2nGpa7Y/edit#gid=1774387053"",""BE EXTC!B11:E91""))},4,FALSE))"),94)</f>
        <v>94</v>
      </c>
      <c r="AE43" s="87"/>
      <c r="AF43" s="86" t="str">
        <f t="shared" ca="1" si="16"/>
        <v>O</v>
      </c>
      <c r="AG43" s="87">
        <v>1</v>
      </c>
      <c r="AH43" s="82">
        <f t="shared" ca="1" si="17"/>
        <v>10</v>
      </c>
      <c r="AI43" s="80">
        <f t="shared" ca="1" si="18"/>
        <v>10</v>
      </c>
      <c r="AJ43" s="87">
        <v>16</v>
      </c>
      <c r="AK43" s="87">
        <f t="shared" si="19"/>
        <v>16</v>
      </c>
      <c r="AL43" s="87">
        <f t="shared" ca="1" si="20"/>
        <v>136</v>
      </c>
      <c r="AM43" s="81">
        <f t="shared" ca="1" si="21"/>
        <v>8.5</v>
      </c>
      <c r="AN43" s="80" t="s">
        <v>35</v>
      </c>
      <c r="AO43" s="81" t="s">
        <v>152</v>
      </c>
      <c r="AP43" s="89" t="s">
        <v>152</v>
      </c>
      <c r="AQ43" s="89">
        <f t="array" ref="AQ43">VLOOKUP(B43,cgpi!$A$8:$K992,4,FALSE)</f>
        <v>9.81</v>
      </c>
      <c r="AR43" s="89">
        <f t="array" ref="AR43">VLOOKUP(B43,cgpi!$A$8:$K992,5,FALSE)</f>
        <v>9</v>
      </c>
      <c r="AS43" s="89">
        <f t="array" ref="AS43">VLOOKUP(B43,cgpi!$A$8:$K992,6,FALSE)</f>
        <v>9.24</v>
      </c>
      <c r="AT43" s="89">
        <f t="array" ref="AT43">VLOOKUP(B43,cgpi!$A$8:$K992,7,FALSE)</f>
        <v>9.57</v>
      </c>
      <c r="AU43" s="89">
        <f t="array" ref="AU43">VLOOKUP(B43,cgpi!$A$8:$K992,8,FALSE)</f>
        <v>9.06</v>
      </c>
      <c r="AV43" s="89">
        <f t="array" ref="AV43">VLOOKUP(B43,cgpi!$A$8:$K992,9,FALSE)</f>
        <v>8.5</v>
      </c>
      <c r="AW43" s="89">
        <f t="array" ref="AW43">VLOOKUP(B43,cgpi!$A$8:$K992,10,FALSE)</f>
        <v>9.23</v>
      </c>
      <c r="AX43" s="89">
        <f t="array" ref="AX43">VLOOKUP(B43,cgpi!$A$8:$K992,11,FALSE)</f>
        <v>8.7799999999999994</v>
      </c>
    </row>
    <row r="44" spans="1:50" ht="45" customHeight="1">
      <c r="A44" s="49">
        <v>38</v>
      </c>
      <c r="B44" s="50">
        <v>2020201070</v>
      </c>
      <c r="C44" s="51" t="str">
        <f t="array" ref="C44">VLOOKUP(B44,studentnames!$A$6:$B992,2,FALSE)</f>
        <v>PANCHAL UTSAV SURESH SANGITA</v>
      </c>
      <c r="D44" s="84">
        <f ca="1">IFERROR(__xludf.DUMMYFUNCTION("(VLOOKUP(B44,{(IMPORTRANGE(""https://docs.google.com/spreadsheets/d/1IgGENpYbL2rI7gfQAXyk9JS3FgAuuh8Wul__oPf-faY/edit#gid=838365050"",""BE-OESall branches!J1:K350""))},2,FALSE))"),75)</f>
        <v>75</v>
      </c>
      <c r="E44" s="85" t="str">
        <f t="shared" ca="1" si="0"/>
        <v>Pass</v>
      </c>
      <c r="F44" s="86" t="str">
        <f t="shared" ca="1" si="30"/>
        <v>A</v>
      </c>
      <c r="G44" s="85">
        <v>3</v>
      </c>
      <c r="H44" s="82">
        <f t="shared" ca="1" si="2"/>
        <v>9</v>
      </c>
      <c r="I44" s="80">
        <f t="shared" ca="1" si="3"/>
        <v>27</v>
      </c>
      <c r="J44" s="112" t="str">
        <f ca="1">IFERROR(__xludf.DUMMYFUNCTION("IFERROR(VLOOKUP(B44,{(IMPORTRANGE(""https://docs.google.com/spreadsheets/d/1IgGENpYbL2rI7gfQAXyk9JS3FgAuuh8Wul__oPf-faY/edit#gid=139233849"",""PEV all barnches!A1:E200""))},4,FALSE),"" "")"),"Blockchain and Its Application ")</f>
        <v xml:space="preserve">Blockchain and Its Application </v>
      </c>
      <c r="K44" s="114">
        <f ca="1">IFERROR(__xludf.DUMMYFUNCTION("IFERROR(VLOOKUP(B44,{(IMPORTRANGE(""https://docs.google.com/spreadsheets/d/1IgGENpYbL2rI7gfQAXyk9JS3FgAuuh8Wul__oPf-faY/edit#gid=139233849"",""PEV all barnches!A1:E200""))},5,FALSE),"" "")"),52)</f>
        <v>52</v>
      </c>
      <c r="L44" s="85" t="str">
        <f t="shared" ca="1" si="4"/>
        <v>Pass</v>
      </c>
      <c r="M44" s="86" t="str">
        <f t="shared" ca="1" si="33"/>
        <v>D</v>
      </c>
      <c r="N44" s="85">
        <v>3</v>
      </c>
      <c r="O44" s="82">
        <f t="shared" ca="1" si="6"/>
        <v>6</v>
      </c>
      <c r="P44" s="80">
        <f t="shared" ca="1" si="7"/>
        <v>18</v>
      </c>
      <c r="Q44" s="112" t="str">
        <f ca="1">IFERROR(__xludf.DUMMYFUNCTION("IFERROR(VLOOKUP(B44,{(IMPORTRANGE(""https://docs.google.com/spreadsheets/d/1IgGENpYbL2rI7gfQAXyk9JS3FgAuuh8Wul__oPf-faY/edit#gid=37342362"",""PE VI all branches!A1:E200""))},4,FALSE),"" "")"),"Cloud Computing ")</f>
        <v xml:space="preserve">Cloud Computing </v>
      </c>
      <c r="R44" s="85">
        <f ca="1">IFERROR(__xludf.DUMMYFUNCTION("IFERROR(VLOOKUP(B44,{(IMPORTRANGE(""https://docs.google.com/spreadsheets/d/1IgGENpYbL2rI7gfQAXyk9JS3FgAuuh8Wul__oPf-faY/edit#gid=37342362"",""PE VI all branches!A1:E200""))},5,FALSE),"" "")"),55)</f>
        <v>55</v>
      </c>
      <c r="S44" s="85" t="str">
        <f t="shared" ca="1" si="35"/>
        <v>Pass</v>
      </c>
      <c r="T44" s="86" t="str">
        <f t="shared" ca="1" si="34"/>
        <v>D</v>
      </c>
      <c r="U44" s="85">
        <v>3</v>
      </c>
      <c r="V44" s="82">
        <f t="shared" ca="1" si="10"/>
        <v>6</v>
      </c>
      <c r="W44" s="80">
        <f t="shared" ca="1" si="11"/>
        <v>18</v>
      </c>
      <c r="X44" s="85">
        <v>90</v>
      </c>
      <c r="Y44" s="85" t="str">
        <f t="shared" si="12"/>
        <v>Pass</v>
      </c>
      <c r="Z44" s="86" t="str">
        <f t="shared" si="13"/>
        <v>O</v>
      </c>
      <c r="AA44" s="87">
        <v>6</v>
      </c>
      <c r="AB44" s="82">
        <f t="shared" si="14"/>
        <v>10</v>
      </c>
      <c r="AC44" s="80">
        <f t="shared" si="15"/>
        <v>60</v>
      </c>
      <c r="AD44" s="87">
        <f ca="1">IFERROR(__xludf.DUMMYFUNCTION("(VLOOKUP(B44,{(IMPORTRANGE(""https://docs.google.com/spreadsheets/d/1bhPzFUTLMV7e35kNXQBjHBx0hnSRtnD8lSPi2nGpa7Y/edit#gid=1774387053"",""BE EXTC!B11:E91""))},4,FALSE))"),94)</f>
        <v>94</v>
      </c>
      <c r="AE44" s="87"/>
      <c r="AF44" s="86" t="str">
        <f t="shared" ca="1" si="16"/>
        <v>O</v>
      </c>
      <c r="AG44" s="87">
        <v>1</v>
      </c>
      <c r="AH44" s="82">
        <f t="shared" ca="1" si="17"/>
        <v>10</v>
      </c>
      <c r="AI44" s="80">
        <f t="shared" ca="1" si="18"/>
        <v>10</v>
      </c>
      <c r="AJ44" s="87">
        <v>16</v>
      </c>
      <c r="AK44" s="87">
        <f t="shared" si="19"/>
        <v>16</v>
      </c>
      <c r="AL44" s="87">
        <f t="shared" ca="1" si="20"/>
        <v>133</v>
      </c>
      <c r="AM44" s="81">
        <f t="shared" ca="1" si="21"/>
        <v>8.3125</v>
      </c>
      <c r="AN44" s="80" t="s">
        <v>35</v>
      </c>
      <c r="AO44" s="81" t="s">
        <v>152</v>
      </c>
      <c r="AP44" s="89" t="s">
        <v>152</v>
      </c>
      <c r="AQ44" s="89">
        <f t="array" ref="AQ44">VLOOKUP(B44,cgpi!$A$8:$K992,4,FALSE)</f>
        <v>9.81</v>
      </c>
      <c r="AR44" s="89">
        <f t="array" ref="AR44">VLOOKUP(B44,cgpi!$A$8:$K992,5,FALSE)</f>
        <v>9.56</v>
      </c>
      <c r="AS44" s="89">
        <f t="array" ref="AS44">VLOOKUP(B44,cgpi!$A$8:$K992,6,FALSE)</f>
        <v>8.86</v>
      </c>
      <c r="AT44" s="89">
        <f t="array" ref="AT44">VLOOKUP(B44,cgpi!$A$8:$K992,7,FALSE)</f>
        <v>9.57</v>
      </c>
      <c r="AU44" s="89">
        <f t="array" ref="AU44">VLOOKUP(B44,cgpi!$A$8:$K992,8,FALSE)</f>
        <v>8.31</v>
      </c>
      <c r="AV44" s="89">
        <f t="array" ref="AV44">VLOOKUP(B44,cgpi!$A$8:$K992,9,FALSE)</f>
        <v>8.31</v>
      </c>
      <c r="AW44" s="89">
        <f t="array" ref="AW44">VLOOKUP(B44,cgpi!$A$8:$K992,10,FALSE)</f>
        <v>9.15</v>
      </c>
      <c r="AX44" s="89">
        <f t="array" ref="AX44">VLOOKUP(B44,cgpi!$A$8:$K992,11,FALSE)</f>
        <v>8.31</v>
      </c>
    </row>
    <row r="45" spans="1:50" ht="45" customHeight="1">
      <c r="A45" s="98">
        <v>39</v>
      </c>
      <c r="B45" s="50">
        <v>2020201072</v>
      </c>
      <c r="C45" s="51" t="str">
        <f t="array" ref="C45">VLOOKUP(B45,studentnames!$A$6:$B992,2,FALSE)</f>
        <v>SAYED MOHAMMED SAUD NISAR ALMAS</v>
      </c>
      <c r="D45" s="84">
        <f ca="1">IFERROR(__xludf.DUMMYFUNCTION("(VLOOKUP(B45,{(IMPORTRANGE(""https://docs.google.com/spreadsheets/d/1IgGENpYbL2rI7gfQAXyk9JS3FgAuuh8Wul__oPf-faY/edit#gid=838365050"",""BE-OESall branches!J1:K350""))},2,FALSE))"),49)</f>
        <v>49</v>
      </c>
      <c r="E45" s="85" t="str">
        <f t="shared" ca="1" si="0"/>
        <v>Pass</v>
      </c>
      <c r="F45" s="86" t="str">
        <f t="shared" ca="1" si="30"/>
        <v>E</v>
      </c>
      <c r="G45" s="85">
        <v>3</v>
      </c>
      <c r="H45" s="82">
        <f t="shared" ca="1" si="2"/>
        <v>5</v>
      </c>
      <c r="I45" s="80">
        <f t="shared" ca="1" si="3"/>
        <v>15</v>
      </c>
      <c r="J45" s="116" t="str">
        <f ca="1">IFERROR(__xludf.DUMMYFUNCTION("IFERROR(VLOOKUP(B45,{(IMPORTRANGE(""https://docs.google.com/spreadsheets/d/1IgGENpYbL2rI7gfQAXyk9JS3FgAuuh8Wul__oPf-faY/edit#gid=139233849"",""PEV all barnches!A1:E200""))},4,FALSE),"" "")"),"Introduction to Internet of Things")</f>
        <v>Introduction to Internet of Things</v>
      </c>
      <c r="K45" s="118">
        <f ca="1">IFERROR(__xludf.DUMMYFUNCTION("IFERROR(VLOOKUP(B45,{(IMPORTRANGE(""https://docs.google.com/spreadsheets/d/1IgGENpYbL2rI7gfQAXyk9JS3FgAuuh8Wul__oPf-faY/edit#gid=139233849"",""PEV all barnches!A1:E200""))},5,FALSE),"" "")"),75)</f>
        <v>75</v>
      </c>
      <c r="L45" s="117" t="str">
        <f t="shared" ca="1" si="4"/>
        <v>Pass</v>
      </c>
      <c r="M45" s="86" t="str">
        <f t="shared" ca="1" si="33"/>
        <v>A</v>
      </c>
      <c r="N45" s="85">
        <v>3</v>
      </c>
      <c r="O45" s="82">
        <f t="shared" ca="1" si="6"/>
        <v>9</v>
      </c>
      <c r="P45" s="80">
        <f t="shared" ca="1" si="7"/>
        <v>27</v>
      </c>
      <c r="Q45" s="112" t="str">
        <f ca="1">IFERROR(__xludf.DUMMYFUNCTION("IFERROR(VLOOKUP(B45,{(IMPORTRANGE(""https://docs.google.com/spreadsheets/d/1IgGENpYbL2rI7gfQAXyk9JS3FgAuuh8Wul__oPf-faY/edit#gid=37342362"",""PE VI all branches!A1:E200""))},4,FALSE),"" "")"),"Cloud Computing ")</f>
        <v xml:space="preserve">Cloud Computing </v>
      </c>
      <c r="R45" s="85">
        <f ca="1">IFERROR(__xludf.DUMMYFUNCTION("IFERROR(VLOOKUP(B45,{(IMPORTRANGE(""https://docs.google.com/spreadsheets/d/1IgGENpYbL2rI7gfQAXyk9JS3FgAuuh8Wul__oPf-faY/edit#gid=37342362"",""PE VI all branches!A1:E200""))},5,FALSE),"" "")"),71)</f>
        <v>71</v>
      </c>
      <c r="S45" s="85" t="str">
        <f t="shared" ca="1" si="35"/>
        <v>Pass</v>
      </c>
      <c r="T45" s="86" t="str">
        <f t="shared" ca="1" si="34"/>
        <v>B</v>
      </c>
      <c r="U45" s="85">
        <v>3</v>
      </c>
      <c r="V45" s="82">
        <f t="shared" ca="1" si="10"/>
        <v>8</v>
      </c>
      <c r="W45" s="80">
        <f t="shared" ca="1" si="11"/>
        <v>24</v>
      </c>
      <c r="X45" s="85">
        <v>90</v>
      </c>
      <c r="Y45" s="85" t="str">
        <f t="shared" si="12"/>
        <v>Pass</v>
      </c>
      <c r="Z45" s="86" t="str">
        <f t="shared" si="13"/>
        <v>O</v>
      </c>
      <c r="AA45" s="87">
        <v>6</v>
      </c>
      <c r="AB45" s="82">
        <f t="shared" si="14"/>
        <v>10</v>
      </c>
      <c r="AC45" s="80">
        <f t="shared" si="15"/>
        <v>60</v>
      </c>
      <c r="AD45" s="87">
        <f ca="1">IFERROR(__xludf.DUMMYFUNCTION("(VLOOKUP(B45,{(IMPORTRANGE(""https://docs.google.com/spreadsheets/d/1bhPzFUTLMV7e35kNXQBjHBx0hnSRtnD8lSPi2nGpa7Y/edit#gid=1774387053"",""BE EXTC!B11:E91""))},4,FALSE))"),93)</f>
        <v>93</v>
      </c>
      <c r="AE45" s="87"/>
      <c r="AF45" s="86" t="str">
        <f t="shared" ca="1" si="16"/>
        <v>O</v>
      </c>
      <c r="AG45" s="87">
        <v>1</v>
      </c>
      <c r="AH45" s="82">
        <f t="shared" ca="1" si="17"/>
        <v>10</v>
      </c>
      <c r="AI45" s="80">
        <f t="shared" ca="1" si="18"/>
        <v>10</v>
      </c>
      <c r="AJ45" s="87">
        <v>16</v>
      </c>
      <c r="AK45" s="87">
        <f t="shared" si="19"/>
        <v>16</v>
      </c>
      <c r="AL45" s="87">
        <f t="shared" ca="1" si="20"/>
        <v>136</v>
      </c>
      <c r="AM45" s="81">
        <f t="shared" ca="1" si="21"/>
        <v>8.5</v>
      </c>
      <c r="AN45" s="80" t="s">
        <v>35</v>
      </c>
      <c r="AO45" s="81" t="s">
        <v>152</v>
      </c>
      <c r="AP45" s="89" t="s">
        <v>152</v>
      </c>
      <c r="AQ45" s="89">
        <f t="array" ref="AQ45">VLOOKUP(B45,cgpi!$A$8:$K992,4,FALSE)</f>
        <v>9.6199999999999992</v>
      </c>
      <c r="AR45" s="89">
        <f t="array" ref="AR45">VLOOKUP(B45,cgpi!$A$8:$K992,5,FALSE)</f>
        <v>8.7200000000000006</v>
      </c>
      <c r="AS45" s="89">
        <f t="array" ref="AS45">VLOOKUP(B45,cgpi!$A$8:$K992,6,FALSE)</f>
        <v>8.9499999999999993</v>
      </c>
      <c r="AT45" s="89">
        <f t="array" ref="AT45">VLOOKUP(B45,cgpi!$A$8:$K992,7,FALSE)</f>
        <v>8.7100000000000009</v>
      </c>
      <c r="AU45" s="89">
        <f t="array" ref="AU45">VLOOKUP(B45,cgpi!$A$8:$K992,8,FALSE)</f>
        <v>8.1300000000000008</v>
      </c>
      <c r="AV45" s="89">
        <f t="array" ref="AV45">VLOOKUP(B45,cgpi!$A$8:$K992,9,FALSE)</f>
        <v>8.5</v>
      </c>
      <c r="AW45" s="89">
        <f t="array" ref="AW45">VLOOKUP(B45,cgpi!$A$8:$K992,10,FALSE)</f>
        <v>8.81</v>
      </c>
      <c r="AX45" s="89">
        <f t="array" ref="AX45">VLOOKUP(B45,cgpi!$A$8:$K992,11,FALSE)</f>
        <v>8.31</v>
      </c>
    </row>
    <row r="46" spans="1:50" ht="12.75">
      <c r="K46" s="115" t="str">
        <f ca="1">IFERROR(__xludf.DUMMYFUNCTION("IFERROR(VLOOKUP(B46,{(IMPORTRANGE(""https://docs.google.com/spreadsheets/d/1IgGENpYbL2rI7gfQAXyk9JS3FgAuuh8Wul__oPf-faY/edit#gid=139233849"",""PEV all barnches!A1:E157""))},5,FALSE),"" "")")," ")</f>
        <v xml:space="preserve"> </v>
      </c>
    </row>
    <row r="49" spans="2:24" ht="15.75" customHeight="1">
      <c r="B49" s="93" t="s">
        <v>153</v>
      </c>
      <c r="C49" s="94" t="s">
        <v>154</v>
      </c>
      <c r="D49" s="95"/>
      <c r="E49" s="154" t="s">
        <v>155</v>
      </c>
      <c r="F49" s="154"/>
      <c r="G49" s="94" t="s">
        <v>43</v>
      </c>
      <c r="H49" s="95"/>
      <c r="I49" s="155" t="s">
        <v>156</v>
      </c>
      <c r="J49" s="155"/>
      <c r="K49" s="155"/>
      <c r="L49" s="155"/>
      <c r="M49" s="155"/>
      <c r="N49" s="155"/>
      <c r="O49" s="155"/>
      <c r="P49" s="155"/>
      <c r="Q49" s="95"/>
      <c r="R49" s="155" t="s">
        <v>157</v>
      </c>
      <c r="S49" s="155"/>
      <c r="T49" s="155"/>
      <c r="U49" s="155"/>
      <c r="V49" s="155"/>
      <c r="W49" s="155"/>
      <c r="X49" s="155"/>
    </row>
    <row r="50" spans="2:24" ht="15.75" customHeight="1">
      <c r="B50" s="93" t="s">
        <v>158</v>
      </c>
      <c r="C50" s="94" t="s">
        <v>159</v>
      </c>
      <c r="D50" s="96"/>
      <c r="E50" s="154" t="s">
        <v>21</v>
      </c>
      <c r="F50" s="154"/>
      <c r="G50" s="94" t="s">
        <v>160</v>
      </c>
      <c r="H50" s="96"/>
      <c r="I50" s="156" t="s">
        <v>161</v>
      </c>
      <c r="J50" s="156"/>
      <c r="K50" s="156" t="s">
        <v>21</v>
      </c>
      <c r="L50" s="156"/>
      <c r="M50" s="156" t="s">
        <v>162</v>
      </c>
      <c r="N50" s="156"/>
      <c r="O50" s="156" t="s">
        <v>163</v>
      </c>
      <c r="P50" s="156"/>
      <c r="Q50" s="96"/>
      <c r="R50" s="156" t="s">
        <v>161</v>
      </c>
      <c r="S50" s="156"/>
      <c r="T50" s="156" t="s">
        <v>21</v>
      </c>
      <c r="U50" s="156"/>
      <c r="V50" s="156" t="s">
        <v>162</v>
      </c>
      <c r="W50" s="156"/>
      <c r="X50" s="94" t="s">
        <v>163</v>
      </c>
    </row>
    <row r="51" spans="2:24" ht="15.75" customHeight="1">
      <c r="B51" s="93" t="s">
        <v>164</v>
      </c>
      <c r="C51" s="94" t="s">
        <v>165</v>
      </c>
      <c r="D51" s="96"/>
      <c r="E51" s="154" t="s">
        <v>166</v>
      </c>
      <c r="F51" s="154"/>
      <c r="G51" s="94" t="s">
        <v>162</v>
      </c>
      <c r="H51" s="96"/>
      <c r="I51" s="156" t="s">
        <v>167</v>
      </c>
      <c r="J51" s="156"/>
      <c r="K51" s="156" t="s">
        <v>168</v>
      </c>
      <c r="L51" s="156"/>
      <c r="M51" s="156">
        <v>10</v>
      </c>
      <c r="N51" s="156"/>
      <c r="O51" s="156" t="s">
        <v>169</v>
      </c>
      <c r="P51" s="156"/>
      <c r="Q51" s="96"/>
      <c r="R51" s="156" t="s">
        <v>170</v>
      </c>
      <c r="S51" s="156"/>
      <c r="T51" s="156" t="s">
        <v>171</v>
      </c>
      <c r="U51" s="156"/>
      <c r="V51" s="156">
        <v>8</v>
      </c>
      <c r="W51" s="156"/>
      <c r="X51" s="94" t="s">
        <v>172</v>
      </c>
    </row>
    <row r="52" spans="2:24" ht="15.75" customHeight="1">
      <c r="B52" s="93">
        <v>0.505</v>
      </c>
      <c r="C52" s="94" t="s">
        <v>173</v>
      </c>
      <c r="D52" s="96"/>
      <c r="E52" s="154" t="s">
        <v>174</v>
      </c>
      <c r="F52" s="154"/>
      <c r="G52" s="94" t="s">
        <v>175</v>
      </c>
      <c r="H52" s="96"/>
      <c r="I52" s="156" t="s">
        <v>176</v>
      </c>
      <c r="J52" s="156"/>
      <c r="K52" s="156" t="s">
        <v>50</v>
      </c>
      <c r="L52" s="156"/>
      <c r="M52" s="156">
        <v>9</v>
      </c>
      <c r="N52" s="156"/>
      <c r="O52" s="156" t="s">
        <v>177</v>
      </c>
      <c r="P52" s="156"/>
      <c r="Q52" s="96"/>
      <c r="R52" s="156" t="s">
        <v>178</v>
      </c>
      <c r="S52" s="156"/>
      <c r="T52" s="156" t="s">
        <v>43</v>
      </c>
      <c r="U52" s="156"/>
      <c r="V52" s="156">
        <v>7</v>
      </c>
      <c r="W52" s="156"/>
      <c r="X52" s="94" t="s">
        <v>179</v>
      </c>
    </row>
    <row r="53" spans="2:24" ht="15.75" customHeight="1">
      <c r="B53" s="93" t="s">
        <v>180</v>
      </c>
      <c r="C53" s="94" t="s">
        <v>46</v>
      </c>
      <c r="D53" s="96"/>
      <c r="E53" s="154" t="s">
        <v>181</v>
      </c>
      <c r="F53" s="154"/>
      <c r="G53" s="94" t="s">
        <v>182</v>
      </c>
      <c r="H53" s="96"/>
      <c r="I53" s="156" t="s">
        <v>178</v>
      </c>
      <c r="J53" s="156"/>
      <c r="K53" s="156" t="s">
        <v>171</v>
      </c>
      <c r="L53" s="156"/>
      <c r="M53" s="156">
        <v>8</v>
      </c>
      <c r="N53" s="156"/>
      <c r="O53" s="156" t="s">
        <v>172</v>
      </c>
      <c r="P53" s="156"/>
      <c r="Q53" s="96"/>
      <c r="R53" s="156" t="s">
        <v>183</v>
      </c>
      <c r="S53" s="156"/>
      <c r="T53" s="156" t="s">
        <v>34</v>
      </c>
      <c r="U53" s="156"/>
      <c r="V53" s="156">
        <v>6</v>
      </c>
      <c r="W53" s="156"/>
      <c r="X53" s="94" t="s">
        <v>184</v>
      </c>
    </row>
    <row r="54" spans="2:24" ht="15.75" customHeight="1">
      <c r="B54" s="93" t="s">
        <v>185</v>
      </c>
      <c r="C54" s="94" t="s">
        <v>186</v>
      </c>
      <c r="D54" s="96"/>
      <c r="E54" s="154" t="s">
        <v>187</v>
      </c>
      <c r="F54" s="154"/>
      <c r="G54" s="94" t="s">
        <v>188</v>
      </c>
      <c r="H54" s="96"/>
      <c r="I54" s="156" t="s">
        <v>183</v>
      </c>
      <c r="J54" s="156"/>
      <c r="K54" s="156" t="s">
        <v>43</v>
      </c>
      <c r="L54" s="156"/>
      <c r="M54" s="156">
        <v>7</v>
      </c>
      <c r="N54" s="156"/>
      <c r="O54" s="156" t="s">
        <v>179</v>
      </c>
      <c r="P54" s="156"/>
      <c r="Q54" s="96"/>
      <c r="R54" s="156" t="s">
        <v>189</v>
      </c>
      <c r="S54" s="156"/>
      <c r="T54" s="156" t="s">
        <v>190</v>
      </c>
      <c r="U54" s="156"/>
      <c r="V54" s="156">
        <v>5</v>
      </c>
      <c r="W54" s="156"/>
      <c r="X54" s="94" t="s">
        <v>191</v>
      </c>
    </row>
    <row r="55" spans="2:24" ht="15.75" customHeight="1">
      <c r="B55" s="93" t="s">
        <v>192</v>
      </c>
      <c r="C55" s="94" t="s">
        <v>190</v>
      </c>
      <c r="D55" s="96"/>
      <c r="E55" s="154" t="s">
        <v>193</v>
      </c>
      <c r="F55" s="154"/>
      <c r="G55" s="94" t="s">
        <v>194</v>
      </c>
      <c r="H55" s="96"/>
      <c r="I55" s="156" t="s">
        <v>189</v>
      </c>
      <c r="J55" s="156"/>
      <c r="K55" s="156" t="s">
        <v>34</v>
      </c>
      <c r="L55" s="156"/>
      <c r="M55" s="156">
        <v>6</v>
      </c>
      <c r="N55" s="156"/>
      <c r="O55" s="156" t="s">
        <v>184</v>
      </c>
      <c r="P55" s="156"/>
      <c r="Q55" s="96"/>
      <c r="R55" s="156" t="s">
        <v>195</v>
      </c>
      <c r="S55" s="156"/>
      <c r="T55" s="156" t="s">
        <v>46</v>
      </c>
      <c r="U55" s="156"/>
      <c r="V55" s="156">
        <v>4</v>
      </c>
      <c r="W55" s="156"/>
      <c r="X55" s="94" t="s">
        <v>180</v>
      </c>
    </row>
    <row r="56" spans="2:24" ht="15.75" customHeight="1">
      <c r="B56" s="93" t="s">
        <v>196</v>
      </c>
      <c r="C56" s="94" t="s">
        <v>197</v>
      </c>
      <c r="D56" s="96"/>
      <c r="E56" s="154" t="s">
        <v>198</v>
      </c>
      <c r="F56" s="154"/>
      <c r="G56" s="94" t="s">
        <v>199</v>
      </c>
      <c r="H56" s="96"/>
      <c r="I56" s="156" t="s">
        <v>200</v>
      </c>
      <c r="J56" s="156"/>
      <c r="K56" s="156" t="s">
        <v>190</v>
      </c>
      <c r="L56" s="156"/>
      <c r="M56" s="156">
        <v>5</v>
      </c>
      <c r="N56" s="156"/>
      <c r="O56" s="156" t="s">
        <v>191</v>
      </c>
      <c r="P56" s="156"/>
      <c r="Q56" s="96"/>
      <c r="R56" s="156" t="s">
        <v>201</v>
      </c>
      <c r="S56" s="156"/>
      <c r="T56" s="157" t="s">
        <v>186</v>
      </c>
      <c r="U56" s="158"/>
      <c r="V56" s="156">
        <v>0</v>
      </c>
      <c r="W56" s="156"/>
      <c r="X56" s="94" t="s">
        <v>185</v>
      </c>
    </row>
    <row r="57" spans="2:24" ht="15.75" customHeight="1">
      <c r="B57" s="96"/>
      <c r="C57" s="96"/>
      <c r="D57" s="96"/>
      <c r="E57" s="154" t="s">
        <v>202</v>
      </c>
      <c r="F57" s="154"/>
      <c r="G57" s="94" t="s">
        <v>203</v>
      </c>
      <c r="H57" s="96"/>
      <c r="I57" s="156" t="s">
        <v>204</v>
      </c>
      <c r="J57" s="156"/>
      <c r="K57" s="156" t="s">
        <v>46</v>
      </c>
      <c r="L57" s="156"/>
      <c r="M57" s="156">
        <v>4</v>
      </c>
      <c r="N57" s="156"/>
      <c r="O57" s="156" t="s">
        <v>180</v>
      </c>
      <c r="P57" s="156"/>
      <c r="Q57" s="96"/>
      <c r="R57" s="156" t="s">
        <v>205</v>
      </c>
      <c r="S57" s="156"/>
      <c r="T57" s="156" t="s">
        <v>206</v>
      </c>
      <c r="U57" s="156"/>
      <c r="V57" s="156">
        <v>0</v>
      </c>
      <c r="W57" s="156"/>
      <c r="X57" s="94" t="s">
        <v>207</v>
      </c>
    </row>
    <row r="58" spans="2:24" ht="15.75" customHeight="1">
      <c r="B58" s="96"/>
      <c r="C58" s="96"/>
      <c r="D58" s="96"/>
      <c r="E58" s="96"/>
      <c r="F58" s="96"/>
      <c r="G58" s="96"/>
      <c r="H58" s="96"/>
      <c r="I58" s="156" t="s">
        <v>201</v>
      </c>
      <c r="J58" s="156"/>
      <c r="K58" s="156" t="s">
        <v>186</v>
      </c>
      <c r="L58" s="156"/>
      <c r="M58" s="156">
        <v>0</v>
      </c>
      <c r="N58" s="156"/>
      <c r="O58" s="156" t="s">
        <v>185</v>
      </c>
      <c r="P58" s="156"/>
      <c r="Q58" s="96"/>
      <c r="R58" s="156" t="s">
        <v>205</v>
      </c>
      <c r="S58" s="156"/>
      <c r="T58" s="156" t="s">
        <v>208</v>
      </c>
      <c r="U58" s="156"/>
      <c r="V58" s="156">
        <v>0</v>
      </c>
      <c r="W58" s="156"/>
      <c r="X58" s="94" t="s">
        <v>202</v>
      </c>
    </row>
    <row r="59" spans="2:24" ht="15.75" customHeight="1">
      <c r="B59" s="96"/>
      <c r="C59" s="96"/>
      <c r="D59" s="96"/>
      <c r="E59" s="96"/>
      <c r="F59" s="96"/>
      <c r="G59" s="96"/>
      <c r="H59" s="96"/>
      <c r="I59" s="156" t="s">
        <v>205</v>
      </c>
      <c r="J59" s="156"/>
      <c r="K59" s="156" t="s">
        <v>206</v>
      </c>
      <c r="L59" s="156"/>
      <c r="M59" s="156">
        <v>0</v>
      </c>
      <c r="N59" s="156"/>
      <c r="O59" s="156" t="s">
        <v>207</v>
      </c>
      <c r="P59" s="156"/>
      <c r="Q59" s="96"/>
      <c r="R59" s="96"/>
      <c r="S59" s="96"/>
      <c r="T59" s="96"/>
      <c r="U59" s="96"/>
      <c r="V59" s="96"/>
      <c r="W59" s="96"/>
      <c r="X59" s="96"/>
    </row>
    <row r="60" spans="2:24" ht="15.75" customHeight="1">
      <c r="B60" s="96"/>
      <c r="C60" s="96"/>
      <c r="D60" s="96"/>
      <c r="E60" s="96"/>
      <c r="F60" s="96"/>
      <c r="G60" s="96"/>
      <c r="H60" s="96"/>
      <c r="I60" s="156" t="s">
        <v>205</v>
      </c>
      <c r="J60" s="156"/>
      <c r="K60" s="156" t="s">
        <v>208</v>
      </c>
      <c r="L60" s="156"/>
      <c r="M60" s="156">
        <v>0</v>
      </c>
      <c r="N60" s="156"/>
      <c r="O60" s="156" t="s">
        <v>202</v>
      </c>
      <c r="P60" s="156"/>
      <c r="Q60" s="96"/>
      <c r="R60" s="96"/>
      <c r="S60" s="96"/>
      <c r="T60" s="96"/>
      <c r="U60" s="96"/>
      <c r="V60" s="96"/>
      <c r="W60" s="96"/>
      <c r="X60" s="96"/>
    </row>
  </sheetData>
  <mergeCells count="107">
    <mergeCell ref="I60:J60"/>
    <mergeCell ref="K60:L60"/>
    <mergeCell ref="M60:N60"/>
    <mergeCell ref="O60:P60"/>
    <mergeCell ref="R57:S57"/>
    <mergeCell ref="I58:J58"/>
    <mergeCell ref="K58:L58"/>
    <mergeCell ref="M58:N58"/>
    <mergeCell ref="O58:P58"/>
    <mergeCell ref="R58:S58"/>
    <mergeCell ref="T58:U58"/>
    <mergeCell ref="V58:W58"/>
    <mergeCell ref="I59:J59"/>
    <mergeCell ref="K59:L59"/>
    <mergeCell ref="M59:N59"/>
    <mergeCell ref="O59:P59"/>
    <mergeCell ref="E57:F57"/>
    <mergeCell ref="I57:J57"/>
    <mergeCell ref="K57:L57"/>
    <mergeCell ref="M57:N57"/>
    <mergeCell ref="O57:P57"/>
    <mergeCell ref="T57:U57"/>
    <mergeCell ref="V57:W57"/>
    <mergeCell ref="R55:S55"/>
    <mergeCell ref="T55:U55"/>
    <mergeCell ref="V55:W55"/>
    <mergeCell ref="E56:F56"/>
    <mergeCell ref="I56:J56"/>
    <mergeCell ref="K56:L56"/>
    <mergeCell ref="M56:N56"/>
    <mergeCell ref="O56:P56"/>
    <mergeCell ref="R56:S56"/>
    <mergeCell ref="T56:U56"/>
    <mergeCell ref="V56:W56"/>
    <mergeCell ref="E55:F55"/>
    <mergeCell ref="I55:J55"/>
    <mergeCell ref="K55:L55"/>
    <mergeCell ref="M55:N55"/>
    <mergeCell ref="O55:P55"/>
    <mergeCell ref="R53:S53"/>
    <mergeCell ref="T53:U53"/>
    <mergeCell ref="V53:W53"/>
    <mergeCell ref="E54:F54"/>
    <mergeCell ref="I54:J54"/>
    <mergeCell ref="K54:L54"/>
    <mergeCell ref="M54:N54"/>
    <mergeCell ref="O54:P54"/>
    <mergeCell ref="R54:S54"/>
    <mergeCell ref="T54:U54"/>
    <mergeCell ref="V54:W54"/>
    <mergeCell ref="E53:F53"/>
    <mergeCell ref="I53:J53"/>
    <mergeCell ref="K53:L53"/>
    <mergeCell ref="M53:N53"/>
    <mergeCell ref="O53:P53"/>
    <mergeCell ref="R51:S51"/>
    <mergeCell ref="T51:U51"/>
    <mergeCell ref="V51:W51"/>
    <mergeCell ref="E52:F52"/>
    <mergeCell ref="I52:J52"/>
    <mergeCell ref="K52:L52"/>
    <mergeCell ref="M52:N52"/>
    <mergeCell ref="O52:P52"/>
    <mergeCell ref="R52:S52"/>
    <mergeCell ref="T52:U52"/>
    <mergeCell ref="V52:W52"/>
    <mergeCell ref="E51:F51"/>
    <mergeCell ref="I51:J51"/>
    <mergeCell ref="K51:L51"/>
    <mergeCell ref="M51:N51"/>
    <mergeCell ref="O51:P51"/>
    <mergeCell ref="AJ5:AJ6"/>
    <mergeCell ref="E49:F49"/>
    <mergeCell ref="I49:P49"/>
    <mergeCell ref="R49:X49"/>
    <mergeCell ref="E50:F50"/>
    <mergeCell ref="I50:J50"/>
    <mergeCell ref="K50:L50"/>
    <mergeCell ref="M50:N50"/>
    <mergeCell ref="O50:P50"/>
    <mergeCell ref="R50:S50"/>
    <mergeCell ref="T50:U50"/>
    <mergeCell ref="V50:W50"/>
    <mergeCell ref="AK5:AK6"/>
    <mergeCell ref="X4:AC4"/>
    <mergeCell ref="AD4:AI4"/>
    <mergeCell ref="A1:AX1"/>
    <mergeCell ref="A2:AX2"/>
    <mergeCell ref="A3:AX3"/>
    <mergeCell ref="AT5:AT6"/>
    <mergeCell ref="AU5:AU6"/>
    <mergeCell ref="AV5:AV6"/>
    <mergeCell ref="AW5:AW6"/>
    <mergeCell ref="AX5:AX6"/>
    <mergeCell ref="AO5:AO6"/>
    <mergeCell ref="AP5:AP6"/>
    <mergeCell ref="AQ5:AQ6"/>
    <mergeCell ref="AR5:AR6"/>
    <mergeCell ref="AS5:AS6"/>
    <mergeCell ref="AL5:AL6"/>
    <mergeCell ref="AM5:AM6"/>
    <mergeCell ref="AN5:AN6"/>
    <mergeCell ref="D5:I5"/>
    <mergeCell ref="J5:P5"/>
    <mergeCell ref="Q5:W5"/>
    <mergeCell ref="X5:AC5"/>
    <mergeCell ref="AD5:AI5"/>
  </mergeCells>
  <pageMargins left="0.24" right="0.24" top="0.75" bottom="3.22" header="0.3" footer="0.3"/>
  <pageSetup paperSize="8" scale="56" orientation="landscape" r:id="rId1"/>
  <headerFooter>
    <oddFooter xml:space="preserve">&amp;L&amp;"-,Bold"     sd/-                        sd/-                         sd/-                          sd/-
Entered By           Checked By           Verified By              Principal&amp;"-,Regular"
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X57"/>
  <sheetViews>
    <sheetView tabSelected="1" topLeftCell="A49" zoomScaleNormal="100" workbookViewId="0">
      <selection activeCell="H58" sqref="H58"/>
    </sheetView>
  </sheetViews>
  <sheetFormatPr defaultColWidth="12.5703125" defaultRowHeight="15.75" customHeight="1"/>
  <cols>
    <col min="1" max="1" width="6.140625" customWidth="1"/>
    <col min="3" max="3" width="28.42578125" customWidth="1"/>
    <col min="4" max="4" width="9" customWidth="1"/>
    <col min="5" max="5" width="6.5703125" bestFit="1" customWidth="1"/>
    <col min="6" max="6" width="7.42578125" bestFit="1" customWidth="1"/>
    <col min="7" max="7" width="9" customWidth="1"/>
    <col min="8" max="8" width="8.42578125" customWidth="1"/>
    <col min="14" max="14" width="8" bestFit="1" customWidth="1"/>
    <col min="15" max="15" width="6.85546875" bestFit="1" customWidth="1"/>
    <col min="16" max="16" width="9.5703125" bestFit="1" customWidth="1"/>
    <col min="17" max="17" width="7.140625" customWidth="1"/>
    <col min="18" max="18" width="9.7109375" bestFit="1" customWidth="1"/>
    <col min="19" max="20" width="6.5703125" bestFit="1" customWidth="1"/>
    <col min="21" max="21" width="7" bestFit="1" customWidth="1"/>
    <col min="22" max="22" width="7.42578125" bestFit="1" customWidth="1"/>
    <col min="23" max="23" width="7" bestFit="1" customWidth="1"/>
    <col min="24" max="24" width="9.28515625" customWidth="1"/>
    <col min="25" max="25" width="7.85546875" bestFit="1" customWidth="1"/>
    <col min="26" max="26" width="8.28515625" bestFit="1" customWidth="1"/>
    <col min="27" max="27" width="5.42578125" bestFit="1" customWidth="1"/>
    <col min="28" max="28" width="6.7109375" bestFit="1" customWidth="1"/>
  </cols>
  <sheetData>
    <row r="1" spans="1:50" ht="33.75" customHeight="1">
      <c r="A1" s="137" t="s">
        <v>0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7"/>
      <c r="AA1" s="137"/>
      <c r="AB1" s="137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</row>
    <row r="2" spans="1:50" ht="30.75" customHeight="1">
      <c r="A2" s="138" t="s">
        <v>1</v>
      </c>
      <c r="B2" s="138"/>
      <c r="C2" s="138"/>
      <c r="D2" s="138"/>
      <c r="E2" s="138"/>
      <c r="F2" s="138"/>
      <c r="G2" s="138"/>
      <c r="H2" s="138"/>
      <c r="I2" s="138"/>
      <c r="J2" s="138"/>
      <c r="K2" s="138"/>
      <c r="L2" s="138"/>
      <c r="M2" s="138"/>
      <c r="N2" s="138"/>
      <c r="O2" s="138"/>
      <c r="P2" s="138"/>
      <c r="Q2" s="138"/>
      <c r="R2" s="138"/>
      <c r="S2" s="138"/>
      <c r="T2" s="138"/>
      <c r="U2" s="138"/>
      <c r="V2" s="138"/>
      <c r="W2" s="138"/>
      <c r="X2" s="138"/>
      <c r="Y2" s="138"/>
      <c r="Z2" s="138"/>
      <c r="AA2" s="138"/>
      <c r="AB2" s="138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  <c r="AW2" s="53"/>
      <c r="AX2" s="53"/>
    </row>
    <row r="3" spans="1:50" ht="15.75" customHeight="1">
      <c r="A3" s="139" t="s">
        <v>216</v>
      </c>
      <c r="B3" s="139"/>
      <c r="C3" s="139"/>
      <c r="D3" s="139"/>
      <c r="E3" s="139"/>
      <c r="F3" s="139"/>
      <c r="G3" s="139"/>
      <c r="H3" s="139"/>
      <c r="I3" s="139"/>
      <c r="J3" s="139"/>
      <c r="K3" s="139"/>
      <c r="L3" s="139"/>
      <c r="M3" s="139"/>
      <c r="N3" s="139"/>
      <c r="O3" s="139"/>
      <c r="P3" s="139"/>
      <c r="Q3" s="139"/>
      <c r="R3" s="139"/>
      <c r="S3" s="139"/>
      <c r="T3" s="139"/>
      <c r="U3" s="139"/>
      <c r="V3" s="139"/>
      <c r="W3" s="139"/>
      <c r="X3" s="139"/>
      <c r="Y3" s="139"/>
      <c r="Z3" s="139"/>
      <c r="AA3" s="139"/>
      <c r="AB3" s="139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</row>
    <row r="5" spans="1:50" ht="15.75" customHeight="1">
      <c r="A5" s="119"/>
      <c r="B5" s="119"/>
      <c r="C5" s="58" t="s">
        <v>145</v>
      </c>
      <c r="D5" s="140" t="s">
        <v>215</v>
      </c>
      <c r="E5" s="140"/>
      <c r="F5" s="140"/>
      <c r="G5" s="140"/>
      <c r="H5" s="140"/>
      <c r="I5" s="140" t="s">
        <v>151</v>
      </c>
      <c r="J5" s="140"/>
      <c r="K5" s="140"/>
      <c r="L5" s="140"/>
      <c r="M5" s="140"/>
      <c r="N5" s="56" t="s">
        <v>214</v>
      </c>
    </row>
    <row r="6" spans="1:50" ht="68.25" customHeight="1">
      <c r="A6" s="119"/>
      <c r="B6" s="119"/>
      <c r="C6" s="58" t="s">
        <v>144</v>
      </c>
      <c r="D6" s="147" t="s">
        <v>49</v>
      </c>
      <c r="E6" s="174"/>
      <c r="F6" s="174"/>
      <c r="G6" s="174"/>
      <c r="H6" s="174"/>
      <c r="I6" s="147" t="s">
        <v>39</v>
      </c>
      <c r="J6" s="174"/>
      <c r="K6" s="174"/>
      <c r="L6" s="174"/>
      <c r="M6" s="174"/>
      <c r="N6" s="159" t="s">
        <v>10</v>
      </c>
      <c r="O6" s="159" t="s">
        <v>11</v>
      </c>
      <c r="P6" s="171" t="s">
        <v>12</v>
      </c>
      <c r="Q6" s="159" t="s">
        <v>13</v>
      </c>
      <c r="R6" s="171" t="s">
        <v>14</v>
      </c>
      <c r="S6" s="172" t="s">
        <v>24</v>
      </c>
      <c r="T6" s="172" t="s">
        <v>25</v>
      </c>
      <c r="U6" s="172" t="s">
        <v>26</v>
      </c>
      <c r="V6" s="172" t="s">
        <v>27</v>
      </c>
      <c r="W6" s="172" t="s">
        <v>28</v>
      </c>
      <c r="X6" s="172" t="s">
        <v>29</v>
      </c>
      <c r="Y6" s="172" t="s">
        <v>30</v>
      </c>
      <c r="Z6" s="172" t="s">
        <v>31</v>
      </c>
      <c r="AA6" s="172" t="s">
        <v>32</v>
      </c>
      <c r="AB6" s="172" t="s">
        <v>33</v>
      </c>
    </row>
    <row r="7" spans="1:50" ht="44.25" customHeight="1">
      <c r="A7" s="135" t="s">
        <v>15</v>
      </c>
      <c r="B7" s="136" t="s">
        <v>16</v>
      </c>
      <c r="C7" s="136" t="s">
        <v>17</v>
      </c>
      <c r="D7" s="122" t="s">
        <v>18</v>
      </c>
      <c r="E7" s="123" t="s">
        <v>21</v>
      </c>
      <c r="F7" s="124" t="s">
        <v>11</v>
      </c>
      <c r="G7" s="122" t="s">
        <v>22</v>
      </c>
      <c r="H7" s="122" t="s">
        <v>23</v>
      </c>
      <c r="I7" s="122" t="s">
        <v>18</v>
      </c>
      <c r="J7" s="125" t="s">
        <v>21</v>
      </c>
      <c r="K7" s="124" t="s">
        <v>11</v>
      </c>
      <c r="L7" s="122" t="s">
        <v>22</v>
      </c>
      <c r="M7" s="122" t="s">
        <v>23</v>
      </c>
      <c r="N7" s="170"/>
      <c r="O7" s="160"/>
      <c r="P7" s="160"/>
      <c r="Q7" s="160"/>
      <c r="R7" s="160"/>
      <c r="S7" s="173"/>
      <c r="T7" s="173"/>
      <c r="U7" s="173"/>
      <c r="V7" s="173"/>
      <c r="W7" s="173"/>
      <c r="X7" s="173"/>
      <c r="Y7" s="173"/>
      <c r="Z7" s="173"/>
      <c r="AA7" s="173"/>
      <c r="AB7" s="173"/>
    </row>
    <row r="8" spans="1:50" ht="27.75" customHeight="1">
      <c r="A8" s="120">
        <v>1</v>
      </c>
      <c r="B8" s="121">
        <v>2019120003</v>
      </c>
      <c r="C8" s="51" t="str">
        <f t="array" ref="C8">VLOOKUP(B8,studentnames!$A$6:$B953,2,FALSE)</f>
        <v>/ ARORA PRERNA JITENDRAKUMAR VIJETA</v>
      </c>
      <c r="D8" s="84">
        <f ca="1">IFERROR(__xludf.DUMMYFUNCTION("(VLOOKUP(B7,{(IMPORTRANGE(""https://docs.google.com/spreadsheets/d/1cjt68fhNJBrRR8pXXWW-AMp68sqMSBhntXfqnUrHmJs/edit#gid=2068900151"",""EXTC-Final Marks!B11:J50""))},7,FALSE))"),88.9523809523809)</f>
        <v>88.952380952380906</v>
      </c>
      <c r="E8" s="84" t="str">
        <f ca="1">IFERROR(__xludf.DUMMYFUNCTION("(VLOOKUP(B7,{(IMPORTRANGE(""https://docs.google.com/spreadsheets/d/1cjt68fhNJBrRR8pXXWW-AMp68sqMSBhntXfqnUrHmJs/edit#gid=2068900151"",""EXTC-Final Marks!B11:J50""))},9,FALSE))"),"O")</f>
        <v>O</v>
      </c>
      <c r="F8" s="87">
        <v>15</v>
      </c>
      <c r="G8" s="82">
        <f t="shared" ref="G8:G41" ca="1" si="0">IF(E8="O",10,IF(E8="A",9,IF(E8="B",8,IF(E8="C",7,IF(E8="D",6,IF(E8="E",5,IF(E8="P",4,0)))))))</f>
        <v>10</v>
      </c>
      <c r="H8" s="82">
        <f t="shared" ref="H8:H41" ca="1" si="1">G8*F8</f>
        <v>150</v>
      </c>
      <c r="I8" s="87">
        <f ca="1">IFERROR(__xludf.DUMMYFUNCTION("(VLOOKUP(B7,{(IMPORTRANGE(""https://docs.google.com/spreadsheets/d/1bhPzFUTLMV7e35kNXQBjHBx0hnSRtnD8lSPi2nGpa7Y/edit#gid=1774387053"",""BE EXTC!B11:E91""))},4,FALSE))"),94)</f>
        <v>94</v>
      </c>
      <c r="J8" s="86" t="str">
        <f t="shared" ref="J8:J18" ca="1" si="2">IF(I8&gt;=80,"O",IF(I8&gt;=75,"A",IF(I8&gt;=70,"B",IF(I8&gt;=60,"C",IF(I8&gt;=50,"D", IF(I8&gt;=45,"E",IF(I8&gt;=40,"P","F")))))))</f>
        <v>O</v>
      </c>
      <c r="K8" s="87">
        <v>1</v>
      </c>
      <c r="L8" s="82">
        <f t="shared" ref="L8:L41" ca="1" si="3">IF(J8="O",10,IF(J8="A",9,IF(J8="B",8,IF(J8="C",7,IF(J8="D",6,IF(J8="E",5,IF(J8="P",4,0)))))))</f>
        <v>10</v>
      </c>
      <c r="M8" s="80">
        <f t="shared" ref="M8:M41" ca="1" si="4">L8*K8</f>
        <v>10</v>
      </c>
      <c r="N8" s="87">
        <v>16</v>
      </c>
      <c r="O8" s="87">
        <f t="shared" ref="O8:O41" si="5">F8+K8</f>
        <v>16</v>
      </c>
      <c r="P8" s="87">
        <f t="shared" ref="P8:P41" ca="1" si="6">H8+M8</f>
        <v>160</v>
      </c>
      <c r="Q8" s="126">
        <f t="shared" ref="Q8:Q41" ca="1" si="7">P8/O8</f>
        <v>10</v>
      </c>
      <c r="R8" s="80" t="s">
        <v>35</v>
      </c>
      <c r="S8" s="81">
        <f t="array" ref="S8">VLOOKUP(B8,cgpi!$A$8:$K953,2,FALSE)</f>
        <v>9.9499999999999993</v>
      </c>
      <c r="T8" s="89">
        <f t="array" ref="T8">VLOOKUP(B8,cgpi!$A$8:$K953,3,FALSE)</f>
        <v>10</v>
      </c>
      <c r="U8" s="89">
        <f t="array" ref="U8">VLOOKUP(B8,cgpi!$A$8:$K953,4,FALSE)</f>
        <v>9.81</v>
      </c>
      <c r="V8" s="89">
        <f t="array" ref="V8">VLOOKUP(B8,cgpi!$A$8:$K953,5,FALSE)</f>
        <v>9.32</v>
      </c>
      <c r="W8" s="89">
        <f t="array" ref="W8">VLOOKUP(B8,cgpi!$A$8:$K953,6,FALSE)</f>
        <v>9.0500000000000007</v>
      </c>
      <c r="X8" s="89">
        <f t="array" ref="X8">VLOOKUP(B8,cgpi!$A$8:$K953,7,FALSE)</f>
        <v>9.8000000000000007</v>
      </c>
      <c r="Y8" s="89">
        <f t="array" ref="Y8">VLOOKUP(B8,cgpi!$A$8:$K953,8,FALSE)</f>
        <v>9.81</v>
      </c>
      <c r="Z8" s="89">
        <f t="array" ref="Z8">VLOOKUP(B8,cgpi!$A$8:$K953,9,FALSE)</f>
        <v>10</v>
      </c>
      <c r="AA8" s="89">
        <f t="array" ref="AA8">VLOOKUP(B8,cgpi!$A$8:$K953,10,FALSE)</f>
        <v>9.7100000000000009</v>
      </c>
      <c r="AB8" s="89">
        <f t="array" ref="AB8">VLOOKUP(B8,cgpi!$A$8:$K953,11,FALSE)</f>
        <v>9.91</v>
      </c>
    </row>
    <row r="9" spans="1:50" ht="27.75" customHeight="1">
      <c r="A9" s="120">
        <v>2</v>
      </c>
      <c r="B9" s="121">
        <v>2019120004</v>
      </c>
      <c r="C9" s="51" t="str">
        <f t="array" ref="C9">VLOOKUP(B9,studentnames!$A$6:$B953,2,FALSE)</f>
        <v>BADHE NIRANJAN VIJAY SWATI</v>
      </c>
      <c r="D9" s="84">
        <f ca="1">IFERROR(__xludf.DUMMYFUNCTION("(VLOOKUP(B8,{(IMPORTRANGE(""https://docs.google.com/spreadsheets/d/1cjt68fhNJBrRR8pXXWW-AMp68sqMSBhntXfqnUrHmJs/edit#gid=2068900151"",""EXTC-Final Marks!B11:J50""))},7,FALSE))"),90.4761904761904)</f>
        <v>90.476190476190396</v>
      </c>
      <c r="E9" s="84" t="str">
        <f ca="1">IFERROR(__xludf.DUMMYFUNCTION("(VLOOKUP(B8,{(IMPORTRANGE(""https://docs.google.com/spreadsheets/d/1cjt68fhNJBrRR8pXXWW-AMp68sqMSBhntXfqnUrHmJs/edit#gid=2068900151"",""EXTC-Final Marks!B11:J50""))},9,FALSE))"),"O")</f>
        <v>O</v>
      </c>
      <c r="F9" s="87">
        <v>15</v>
      </c>
      <c r="G9" s="82">
        <f t="shared" ca="1" si="0"/>
        <v>10</v>
      </c>
      <c r="H9" s="82">
        <f t="shared" ca="1" si="1"/>
        <v>150</v>
      </c>
      <c r="I9" s="87">
        <f ca="1">IFERROR(__xludf.DUMMYFUNCTION("(VLOOKUP(B8,{(IMPORTRANGE(""https://docs.google.com/spreadsheets/d/1bhPzFUTLMV7e35kNXQBjHBx0hnSRtnD8lSPi2nGpa7Y/edit#gid=1774387053"",""BE EXTC!B11:E91""))},4,FALSE))"),87)</f>
        <v>87</v>
      </c>
      <c r="J9" s="86" t="str">
        <f t="shared" ca="1" si="2"/>
        <v>O</v>
      </c>
      <c r="K9" s="87">
        <v>1</v>
      </c>
      <c r="L9" s="82">
        <f t="shared" ca="1" si="3"/>
        <v>10</v>
      </c>
      <c r="M9" s="80">
        <f t="shared" ca="1" si="4"/>
        <v>10</v>
      </c>
      <c r="N9" s="87">
        <v>16</v>
      </c>
      <c r="O9" s="87">
        <f t="shared" si="5"/>
        <v>16</v>
      </c>
      <c r="P9" s="87">
        <f t="shared" ca="1" si="6"/>
        <v>160</v>
      </c>
      <c r="Q9" s="126">
        <f t="shared" ca="1" si="7"/>
        <v>10</v>
      </c>
      <c r="R9" s="80" t="s">
        <v>35</v>
      </c>
      <c r="S9" s="81">
        <f t="array" ref="S9">VLOOKUP(B9,cgpi!$A$8:$K953,2,FALSE)</f>
        <v>7.2</v>
      </c>
      <c r="T9" s="89">
        <f t="array" ref="T9">VLOOKUP(B9,cgpi!$A$8:$K953,3,FALSE)</f>
        <v>8.0500000000000007</v>
      </c>
      <c r="U9" s="89">
        <f t="array" ref="U9">VLOOKUP(B9,cgpi!$A$8:$K953,4,FALSE)</f>
        <v>9.81</v>
      </c>
      <c r="V9" s="89">
        <f t="array" ref="V9">VLOOKUP(B9,cgpi!$A$8:$K953,5,FALSE)</f>
        <v>8.4700000000000006</v>
      </c>
      <c r="W9" s="89">
        <f t="array" ref="W9">VLOOKUP(B9,cgpi!$A$8:$K953,6,FALSE)</f>
        <v>8.86</v>
      </c>
      <c r="X9" s="89">
        <f t="array" ref="X9">VLOOKUP(B9,cgpi!$A$8:$K953,7,FALSE)</f>
        <v>8.4</v>
      </c>
      <c r="Y9" s="89">
        <f t="array" ref="Y9">VLOOKUP(B9,cgpi!$A$8:$K953,8,FALSE)</f>
        <v>7.56</v>
      </c>
      <c r="Z9" s="89">
        <f t="array" ref="Z9">VLOOKUP(B9,cgpi!$A$8:$K953,9,FALSE)</f>
        <v>10</v>
      </c>
      <c r="AA9" s="89">
        <f t="array" ref="AA9">VLOOKUP(B9,cgpi!$A$8:$K953,10,FALSE)</f>
        <v>8.5399999999999991</v>
      </c>
      <c r="AB9" s="89">
        <f t="array" ref="AB9">VLOOKUP(B9,cgpi!$A$8:$K953,11,FALSE)</f>
        <v>8.7799999999999994</v>
      </c>
    </row>
    <row r="10" spans="1:50" ht="27.75" customHeight="1">
      <c r="A10" s="120">
        <v>3</v>
      </c>
      <c r="B10" s="121">
        <v>2019120006</v>
      </c>
      <c r="C10" s="51" t="str">
        <f t="array" ref="C10">VLOOKUP(B10,studentnames!$A$6:$B953,2,FALSE)</f>
        <v>BANE JAYESH VIKAS NEETA</v>
      </c>
      <c r="D10" s="84">
        <f ca="1">IFERROR(__xludf.DUMMYFUNCTION("(VLOOKUP(B9,{(IMPORTRANGE(""https://docs.google.com/spreadsheets/d/1cjt68fhNJBrRR8pXXWW-AMp68sqMSBhntXfqnUrHmJs/edit#gid=2068900151"",""EXTC-Final Marks!B11:J50""))},7,FALSE))"),87.7142857142857)</f>
        <v>87.714285714285694</v>
      </c>
      <c r="E10" s="84" t="str">
        <f ca="1">IFERROR(__xludf.DUMMYFUNCTION("(VLOOKUP(B9,{(IMPORTRANGE(""https://docs.google.com/spreadsheets/d/1cjt68fhNJBrRR8pXXWW-AMp68sqMSBhntXfqnUrHmJs/edit#gid=2068900151"",""EXTC-Final Marks!B11:J50""))},9,FALSE))"),"O")</f>
        <v>O</v>
      </c>
      <c r="F10" s="87">
        <v>15</v>
      </c>
      <c r="G10" s="82">
        <f t="shared" ca="1" si="0"/>
        <v>10</v>
      </c>
      <c r="H10" s="82">
        <f t="shared" ca="1" si="1"/>
        <v>150</v>
      </c>
      <c r="I10" s="87">
        <f ca="1">IFERROR(__xludf.DUMMYFUNCTION("(VLOOKUP(B9,{(IMPORTRANGE(""https://docs.google.com/spreadsheets/d/1bhPzFUTLMV7e35kNXQBjHBx0hnSRtnD8lSPi2nGpa7Y/edit#gid=1774387053"",""BE EXTC!B11:E91""))},4,FALSE))"),78)</f>
        <v>78</v>
      </c>
      <c r="J10" s="86" t="str">
        <f t="shared" ca="1" si="2"/>
        <v>A</v>
      </c>
      <c r="K10" s="87">
        <v>1</v>
      </c>
      <c r="L10" s="82">
        <f t="shared" ca="1" si="3"/>
        <v>9</v>
      </c>
      <c r="M10" s="80">
        <f t="shared" ca="1" si="4"/>
        <v>9</v>
      </c>
      <c r="N10" s="87">
        <v>16</v>
      </c>
      <c r="O10" s="87">
        <f t="shared" si="5"/>
        <v>16</v>
      </c>
      <c r="P10" s="87">
        <f t="shared" ca="1" si="6"/>
        <v>159</v>
      </c>
      <c r="Q10" s="126">
        <f t="shared" ca="1" si="7"/>
        <v>9.9375</v>
      </c>
      <c r="R10" s="80" t="s">
        <v>35</v>
      </c>
      <c r="S10" s="81">
        <f t="array" ref="S10">VLOOKUP(B10,cgpi!$A$8:$K953,2,FALSE)</f>
        <v>8.9</v>
      </c>
      <c r="T10" s="89">
        <f t="array" ref="T10">VLOOKUP(B10,cgpi!$A$8:$K953,3,FALSE)</f>
        <v>9.8000000000000007</v>
      </c>
      <c r="U10" s="89">
        <f t="array" ref="U10">VLOOKUP(B10,cgpi!$A$8:$K953,4,FALSE)</f>
        <v>9.6199999999999992</v>
      </c>
      <c r="V10" s="89">
        <f t="array" ref="V10">VLOOKUP(B10,cgpi!$A$8:$K953,5,FALSE)</f>
        <v>9.32</v>
      </c>
      <c r="W10" s="89">
        <f t="array" ref="W10">VLOOKUP(B10,cgpi!$A$8:$K953,6,FALSE)</f>
        <v>8.86</v>
      </c>
      <c r="X10" s="89">
        <f t="array" ref="X10">VLOOKUP(B10,cgpi!$A$8:$K953,7,FALSE)</f>
        <v>8.8000000000000007</v>
      </c>
      <c r="Y10" s="89">
        <f t="array" ref="Y10">VLOOKUP(B10,cgpi!$A$8:$K953,8,FALSE)</f>
        <v>8.75</v>
      </c>
      <c r="Z10" s="89">
        <f t="array" ref="Z10">VLOOKUP(B10,cgpi!$A$8:$K953,9,FALSE)</f>
        <v>9.94</v>
      </c>
      <c r="AA10" s="89">
        <f t="array" ref="AA10">VLOOKUP(B10,cgpi!$A$8:$K953,10,FALSE)</f>
        <v>9.24</v>
      </c>
      <c r="AB10" s="89">
        <f t="array" ref="AB10">VLOOKUP(B10,cgpi!$A$8:$K953,11,FALSE)</f>
        <v>9.34</v>
      </c>
    </row>
    <row r="11" spans="1:50" ht="27.75" customHeight="1">
      <c r="A11" s="120">
        <v>4</v>
      </c>
      <c r="B11" s="121">
        <v>2019120007</v>
      </c>
      <c r="C11" s="51" t="str">
        <f t="array" ref="C11">VLOOKUP(B11,studentnames!$A$6:$B953,2,FALSE)</f>
        <v>BLESSED SAM JOSHUA S JESURAJ GEETHA</v>
      </c>
      <c r="D11" s="84">
        <f ca="1">IFERROR(__xludf.DUMMYFUNCTION("(VLOOKUP(B10,{(IMPORTRANGE(""https://docs.google.com/spreadsheets/d/1cjt68fhNJBrRR8pXXWW-AMp68sqMSBhntXfqnUrHmJs/edit#gid=2068900151"",""EXTC-Final Marks!B11:J50""))},7,FALSE))"),83.1428571428571)</f>
        <v>83.142857142857096</v>
      </c>
      <c r="E11" s="84" t="str">
        <f ca="1">IFERROR(__xludf.DUMMYFUNCTION("(VLOOKUP(B10,{(IMPORTRANGE(""https://docs.google.com/spreadsheets/d/1cjt68fhNJBrRR8pXXWW-AMp68sqMSBhntXfqnUrHmJs/edit#gid=2068900151"",""EXTC-Final Marks!B11:J50""))},9,FALSE))"),"O")</f>
        <v>O</v>
      </c>
      <c r="F11" s="87">
        <v>15</v>
      </c>
      <c r="G11" s="82">
        <f t="shared" ca="1" si="0"/>
        <v>10</v>
      </c>
      <c r="H11" s="82">
        <f t="shared" ca="1" si="1"/>
        <v>150</v>
      </c>
      <c r="I11" s="87">
        <f ca="1">IFERROR(__xludf.DUMMYFUNCTION("(VLOOKUP(B10,{(IMPORTRANGE(""https://docs.google.com/spreadsheets/d/1bhPzFUTLMV7e35kNXQBjHBx0hnSRtnD8lSPi2nGpa7Y/edit#gid=1774387053"",""BE EXTC!B11:E91""))},4,FALSE))"),90)</f>
        <v>90</v>
      </c>
      <c r="J11" s="86" t="str">
        <f t="shared" ca="1" si="2"/>
        <v>O</v>
      </c>
      <c r="K11" s="87">
        <v>1</v>
      </c>
      <c r="L11" s="82">
        <f t="shared" ca="1" si="3"/>
        <v>10</v>
      </c>
      <c r="M11" s="80">
        <f t="shared" ca="1" si="4"/>
        <v>10</v>
      </c>
      <c r="N11" s="87">
        <v>16</v>
      </c>
      <c r="O11" s="87">
        <f t="shared" si="5"/>
        <v>16</v>
      </c>
      <c r="P11" s="87">
        <f t="shared" ca="1" si="6"/>
        <v>160</v>
      </c>
      <c r="Q11" s="126">
        <f t="shared" ca="1" si="7"/>
        <v>10</v>
      </c>
      <c r="R11" s="80" t="s">
        <v>35</v>
      </c>
      <c r="S11" s="81">
        <f t="array" ref="S11">VLOOKUP(B11,cgpi!$A$8:$K953,2,FALSE)</f>
        <v>7.1</v>
      </c>
      <c r="T11" s="89">
        <f t="array" ref="T11">VLOOKUP(B11,cgpi!$A$8:$K953,3,FALSE)</f>
        <v>8.0500000000000007</v>
      </c>
      <c r="U11" s="89">
        <f t="array" ref="U11">VLOOKUP(B11,cgpi!$A$8:$K953,4,FALSE)</f>
        <v>8.6199999999999992</v>
      </c>
      <c r="V11" s="89">
        <f t="array" ref="V11">VLOOKUP(B11,cgpi!$A$8:$K953,5,FALSE)</f>
        <v>7.26</v>
      </c>
      <c r="W11" s="89">
        <f t="array" ref="W11">VLOOKUP(B11,cgpi!$A$8:$K953,6,FALSE)</f>
        <v>6.19</v>
      </c>
      <c r="X11" s="89">
        <f t="array" ref="X11">VLOOKUP(B11,cgpi!$A$8:$K953,7,FALSE)</f>
        <v>5.35</v>
      </c>
      <c r="Y11" s="89">
        <f t="array" ref="Y11">VLOOKUP(B11,cgpi!$A$8:$K953,8,FALSE)</f>
        <v>6.31</v>
      </c>
      <c r="Z11" s="89">
        <f t="array" ref="Z11">VLOOKUP(B11,cgpi!$A$8:$K953,9,FALSE)</f>
        <v>10</v>
      </c>
      <c r="AA11" s="89">
        <f t="array" ref="AA11">VLOOKUP(B11,cgpi!$A$8:$K953,10,FALSE)</f>
        <v>7.32</v>
      </c>
      <c r="AB11" s="89">
        <f t="array" ref="AB11">VLOOKUP(B11,cgpi!$A$8:$K953,11,FALSE)</f>
        <v>8.16</v>
      </c>
    </row>
    <row r="12" spans="1:50" ht="27.75" customHeight="1">
      <c r="A12" s="120">
        <v>5</v>
      </c>
      <c r="B12" s="121">
        <v>2019120010</v>
      </c>
      <c r="C12" s="51" t="str">
        <f t="array" ref="C12">VLOOKUP(B12,studentnames!$A$6:$B953,2,FALSE)</f>
        <v>CHATTERJEE SREEJIT</v>
      </c>
      <c r="D12" s="84">
        <f ca="1">IFERROR(__xludf.DUMMYFUNCTION("(VLOOKUP(B11,{(IMPORTRANGE(""https://docs.google.com/spreadsheets/d/1cjt68fhNJBrRR8pXXWW-AMp68sqMSBhntXfqnUrHmJs/edit#gid=2068900151"",""EXTC-Final Marks!B11:J50""))},7,FALSE))"),87.7142857142857)</f>
        <v>87.714285714285694</v>
      </c>
      <c r="E12" s="84" t="str">
        <f ca="1">IFERROR(__xludf.DUMMYFUNCTION("(VLOOKUP(B11,{(IMPORTRANGE(""https://docs.google.com/spreadsheets/d/1cjt68fhNJBrRR8pXXWW-AMp68sqMSBhntXfqnUrHmJs/edit#gid=2068900151"",""EXTC-Final Marks!B11:J50""))},9,FALSE))"),"O")</f>
        <v>O</v>
      </c>
      <c r="F12" s="87">
        <v>15</v>
      </c>
      <c r="G12" s="82">
        <f t="shared" ca="1" si="0"/>
        <v>10</v>
      </c>
      <c r="H12" s="82">
        <f t="shared" ca="1" si="1"/>
        <v>150</v>
      </c>
      <c r="I12" s="87">
        <f ca="1">IFERROR(__xludf.DUMMYFUNCTION("(VLOOKUP(B11,{(IMPORTRANGE(""https://docs.google.com/spreadsheets/d/1bhPzFUTLMV7e35kNXQBjHBx0hnSRtnD8lSPi2nGpa7Y/edit#gid=1774387053"",""BE EXTC!B11:E91""))},4,FALSE))"),83)</f>
        <v>83</v>
      </c>
      <c r="J12" s="86" t="str">
        <f t="shared" ca="1" si="2"/>
        <v>O</v>
      </c>
      <c r="K12" s="87">
        <v>1</v>
      </c>
      <c r="L12" s="82">
        <f t="shared" ca="1" si="3"/>
        <v>10</v>
      </c>
      <c r="M12" s="80">
        <f t="shared" ca="1" si="4"/>
        <v>10</v>
      </c>
      <c r="N12" s="87">
        <v>16</v>
      </c>
      <c r="O12" s="87">
        <f t="shared" si="5"/>
        <v>16</v>
      </c>
      <c r="P12" s="87">
        <f t="shared" ca="1" si="6"/>
        <v>160</v>
      </c>
      <c r="Q12" s="126">
        <f t="shared" ca="1" si="7"/>
        <v>10</v>
      </c>
      <c r="R12" s="80" t="s">
        <v>35</v>
      </c>
      <c r="S12" s="81">
        <f t="array" ref="S12">VLOOKUP(B12,cgpi!$A$8:$K953,2,FALSE)</f>
        <v>8.25</v>
      </c>
      <c r="T12" s="89">
        <f t="array" ref="T12">VLOOKUP(B12,cgpi!$A$8:$K953,3,FALSE)</f>
        <v>8.8000000000000007</v>
      </c>
      <c r="U12" s="89">
        <f t="array" ref="U12">VLOOKUP(B12,cgpi!$A$8:$K953,4,FALSE)</f>
        <v>8.86</v>
      </c>
      <c r="V12" s="89">
        <f t="array" ref="V12">VLOOKUP(B12,cgpi!$A$8:$K953,5,FALSE)</f>
        <v>8.32</v>
      </c>
      <c r="W12" s="89">
        <f t="array" ref="W12">VLOOKUP(B12,cgpi!$A$8:$K953,6,FALSE)</f>
        <v>8.3800000000000008</v>
      </c>
      <c r="X12" s="89">
        <f t="array" ref="X12">VLOOKUP(B12,cgpi!$A$8:$K953,7,FALSE)</f>
        <v>8.0500000000000007</v>
      </c>
      <c r="Y12" s="89">
        <f t="array" ref="Y12">VLOOKUP(B12,cgpi!$A$8:$K953,8,FALSE)</f>
        <v>7.56</v>
      </c>
      <c r="Z12" s="89">
        <f t="array" ref="Z12">VLOOKUP(B12,cgpi!$A$8:$K953,9,FALSE)</f>
        <v>10</v>
      </c>
      <c r="AA12" s="89">
        <f t="array" ref="AA12">VLOOKUP(B12,cgpi!$A$8:$K953,10,FALSE)</f>
        <v>8.52</v>
      </c>
      <c r="AB12" s="89">
        <f t="array" ref="AB12">VLOOKUP(B12,cgpi!$A$8:$K953,11,FALSE)</f>
        <v>8.7799999999999994</v>
      </c>
    </row>
    <row r="13" spans="1:50" ht="27.75" customHeight="1">
      <c r="A13" s="120">
        <v>6</v>
      </c>
      <c r="B13" s="121">
        <v>2019120012</v>
      </c>
      <c r="C13" s="51" t="str">
        <f t="array" ref="C13">VLOOKUP(B13,studentnames!$A$6:$B953,2,FALSE)</f>
        <v>CHAVAN ANUJ PRAFULLA ANAGHA</v>
      </c>
      <c r="D13" s="84">
        <f ca="1">IFERROR(__xludf.DUMMYFUNCTION("(VLOOKUP(B12,{(IMPORTRANGE(""https://docs.google.com/spreadsheets/d/1cjt68fhNJBrRR8pXXWW-AMp68sqMSBhntXfqnUrHmJs/edit#gid=2068900151"",""EXTC-Final Marks!B11:J50""))},7,FALSE))"),92.9523809523809)</f>
        <v>92.952380952380906</v>
      </c>
      <c r="E13" s="84" t="str">
        <f ca="1">IFERROR(__xludf.DUMMYFUNCTION("(VLOOKUP(B12,{(IMPORTRANGE(""https://docs.google.com/spreadsheets/d/1cjt68fhNJBrRR8pXXWW-AMp68sqMSBhntXfqnUrHmJs/edit#gid=2068900151"",""EXTC-Final Marks!B11:J50""))},9,FALSE))"),"O")</f>
        <v>O</v>
      </c>
      <c r="F13" s="87">
        <v>15</v>
      </c>
      <c r="G13" s="82">
        <f t="shared" ca="1" si="0"/>
        <v>10</v>
      </c>
      <c r="H13" s="82">
        <f t="shared" ca="1" si="1"/>
        <v>150</v>
      </c>
      <c r="I13" s="87">
        <f ca="1">IFERROR(__xludf.DUMMYFUNCTION("(VLOOKUP(B12,{(IMPORTRANGE(""https://docs.google.com/spreadsheets/d/1bhPzFUTLMV7e35kNXQBjHBx0hnSRtnD8lSPi2nGpa7Y/edit#gid=1774387053"",""BE EXTC!B11:E91""))},4,FALSE))"),78)</f>
        <v>78</v>
      </c>
      <c r="J13" s="86" t="str">
        <f t="shared" ca="1" si="2"/>
        <v>A</v>
      </c>
      <c r="K13" s="87">
        <v>1</v>
      </c>
      <c r="L13" s="82">
        <f t="shared" ca="1" si="3"/>
        <v>9</v>
      </c>
      <c r="M13" s="80">
        <f t="shared" ca="1" si="4"/>
        <v>9</v>
      </c>
      <c r="N13" s="87">
        <v>16</v>
      </c>
      <c r="O13" s="87">
        <f t="shared" si="5"/>
        <v>16</v>
      </c>
      <c r="P13" s="87">
        <f t="shared" ca="1" si="6"/>
        <v>159</v>
      </c>
      <c r="Q13" s="126">
        <f t="shared" ca="1" si="7"/>
        <v>9.9375</v>
      </c>
      <c r="R13" s="80" t="s">
        <v>35</v>
      </c>
      <c r="S13" s="81">
        <f t="array" ref="S13">VLOOKUP(B13,cgpi!$A$8:$K953,2,FALSE)</f>
        <v>9</v>
      </c>
      <c r="T13" s="89">
        <f t="array" ref="T13">VLOOKUP(B13,cgpi!$A$8:$K953,3,FALSE)</f>
        <v>9.85</v>
      </c>
      <c r="U13" s="89">
        <f t="array" ref="U13">VLOOKUP(B13,cgpi!$A$8:$K953,4,FALSE)</f>
        <v>9.81</v>
      </c>
      <c r="V13" s="89">
        <f t="array" ref="V13">VLOOKUP(B13,cgpi!$A$8:$K953,5,FALSE)</f>
        <v>9.11</v>
      </c>
      <c r="W13" s="89">
        <f t="array" ref="W13">VLOOKUP(B13,cgpi!$A$8:$K953,6,FALSE)</f>
        <v>8.2899999999999991</v>
      </c>
      <c r="X13" s="89">
        <f t="array" ref="X13">VLOOKUP(B13,cgpi!$A$8:$K953,7,FALSE)</f>
        <v>9.25</v>
      </c>
      <c r="Y13" s="89">
        <f t="array" ref="Y13">VLOOKUP(B13,cgpi!$A$8:$K953,8,FALSE)</f>
        <v>8.06</v>
      </c>
      <c r="Z13" s="89">
        <f t="array" ref="Z13">VLOOKUP(B13,cgpi!$A$8:$K953,9,FALSE)</f>
        <v>9.94</v>
      </c>
      <c r="AA13" s="89">
        <f t="array" ref="AA13">VLOOKUP(B13,cgpi!$A$8:$K953,10,FALSE)</f>
        <v>9.17</v>
      </c>
      <c r="AB13" s="89">
        <f t="array" ref="AB13">VLOOKUP(B13,cgpi!$A$8:$K953,11,FALSE)</f>
        <v>9</v>
      </c>
    </row>
    <row r="14" spans="1:50" ht="27.75" customHeight="1">
      <c r="A14" s="120">
        <v>7</v>
      </c>
      <c r="B14" s="121">
        <v>2019120014</v>
      </c>
      <c r="C14" s="51" t="str">
        <f t="array" ref="C14">VLOOKUP(B14,studentnames!$A$6:$B953,2,FALSE)</f>
        <v>CHOUDHARI DHIRAJ SHASHIKANT MEGHALI</v>
      </c>
      <c r="D14" s="84">
        <f ca="1">IFERROR(__xludf.DUMMYFUNCTION("(VLOOKUP(B13,{(IMPORTRANGE(""https://docs.google.com/spreadsheets/d/1cjt68fhNJBrRR8pXXWW-AMp68sqMSBhntXfqnUrHmJs/edit#gid=2068900151"",""EXTC-Final Marks!B11:J50""))},7,FALSE))"),82.6666666666666)</f>
        <v>82.6666666666666</v>
      </c>
      <c r="E14" s="84" t="str">
        <f ca="1">IFERROR(__xludf.DUMMYFUNCTION("(VLOOKUP(B13,{(IMPORTRANGE(""https://docs.google.com/spreadsheets/d/1cjt68fhNJBrRR8pXXWW-AMp68sqMSBhntXfqnUrHmJs/edit#gid=2068900151"",""EXTC-Final Marks!B11:J50""))},9,FALSE))"),"O")</f>
        <v>O</v>
      </c>
      <c r="F14" s="87">
        <v>15</v>
      </c>
      <c r="G14" s="82">
        <f t="shared" ca="1" si="0"/>
        <v>10</v>
      </c>
      <c r="H14" s="82">
        <f t="shared" ca="1" si="1"/>
        <v>150</v>
      </c>
      <c r="I14" s="87">
        <f ca="1">IFERROR(__xludf.DUMMYFUNCTION("(VLOOKUP(B13,{(IMPORTRANGE(""https://docs.google.com/spreadsheets/d/1bhPzFUTLMV7e35kNXQBjHBx0hnSRtnD8lSPi2nGpa7Y/edit#gid=1774387053"",""BE EXTC!B11:E91""))},4,FALSE))"),89)</f>
        <v>89</v>
      </c>
      <c r="J14" s="86" t="str">
        <f t="shared" ca="1" si="2"/>
        <v>O</v>
      </c>
      <c r="K14" s="87">
        <v>1</v>
      </c>
      <c r="L14" s="82">
        <f t="shared" ca="1" si="3"/>
        <v>10</v>
      </c>
      <c r="M14" s="80">
        <f t="shared" ca="1" si="4"/>
        <v>10</v>
      </c>
      <c r="N14" s="87">
        <v>16</v>
      </c>
      <c r="O14" s="87">
        <f t="shared" si="5"/>
        <v>16</v>
      </c>
      <c r="P14" s="87">
        <f t="shared" ca="1" si="6"/>
        <v>160</v>
      </c>
      <c r="Q14" s="126">
        <f t="shared" ca="1" si="7"/>
        <v>10</v>
      </c>
      <c r="R14" s="80" t="s">
        <v>35</v>
      </c>
      <c r="S14" s="81">
        <f t="array" ref="S14">VLOOKUP(B14,cgpi!$A$8:$K953,2,FALSE)</f>
        <v>7.95</v>
      </c>
      <c r="T14" s="89">
        <f t="array" ref="T14">VLOOKUP(B14,cgpi!$A$8:$K953,3,FALSE)</f>
        <v>9</v>
      </c>
      <c r="U14" s="89">
        <f t="array" ref="U14">VLOOKUP(B14,cgpi!$A$8:$K953,4,FALSE)</f>
        <v>9.14</v>
      </c>
      <c r="V14" s="89">
        <f t="array" ref="V14">VLOOKUP(B14,cgpi!$A$8:$K953,5,FALSE)</f>
        <v>8.2100000000000009</v>
      </c>
      <c r="W14" s="89">
        <f t="array" ref="W14">VLOOKUP(B14,cgpi!$A$8:$K953,6,FALSE)</f>
        <v>7.9</v>
      </c>
      <c r="X14" s="89">
        <f t="array" ref="X14">VLOOKUP(B14,cgpi!$A$8:$K953,7,FALSE)</f>
        <v>7.75</v>
      </c>
      <c r="Y14" s="89">
        <f t="array" ref="Y14">VLOOKUP(B14,cgpi!$A$8:$K953,8,FALSE)</f>
        <v>8.25</v>
      </c>
      <c r="Z14" s="89">
        <f t="array" ref="Z14">VLOOKUP(B14,cgpi!$A$8:$K953,9,FALSE)</f>
        <v>10</v>
      </c>
      <c r="AA14" s="89">
        <f t="array" ref="AA14">VLOOKUP(B14,cgpi!$A$8:$K953,10,FALSE)</f>
        <v>8.5</v>
      </c>
      <c r="AB14" s="89">
        <f t="array" ref="AB14">VLOOKUP(B14,cgpi!$A$8:$K953,11,FALSE)</f>
        <v>9.1300000000000008</v>
      </c>
    </row>
    <row r="15" spans="1:50" ht="27.75" customHeight="1">
      <c r="A15" s="120">
        <v>8</v>
      </c>
      <c r="B15" s="121">
        <v>2019120016</v>
      </c>
      <c r="C15" s="51" t="str">
        <f t="array" ref="C15">VLOOKUP(B15,studentnames!$A$6:$B953,2,FALSE)</f>
        <v>DALI ARYAN MAYUR SAVITRI</v>
      </c>
      <c r="D15" s="84">
        <f ca="1">IFERROR(__xludf.DUMMYFUNCTION("(VLOOKUP(B14,{(IMPORTRANGE(""https://docs.google.com/spreadsheets/d/1cjt68fhNJBrRR8pXXWW-AMp68sqMSBhntXfqnUrHmJs/edit#gid=2068900151"",""EXTC-Final Marks!B11:J50""))},7,FALSE))"),81.2380952399999)</f>
        <v>81.238095239999893</v>
      </c>
      <c r="E15" s="84" t="str">
        <f ca="1">IFERROR(__xludf.DUMMYFUNCTION("(VLOOKUP(B14,{(IMPORTRANGE(""https://docs.google.com/spreadsheets/d/1cjt68fhNJBrRR8pXXWW-AMp68sqMSBhntXfqnUrHmJs/edit#gid=2068900151"",""EXTC-Final Marks!B11:J50""))},9,FALSE))"),"O")</f>
        <v>O</v>
      </c>
      <c r="F15" s="87">
        <v>15</v>
      </c>
      <c r="G15" s="82">
        <f t="shared" ca="1" si="0"/>
        <v>10</v>
      </c>
      <c r="H15" s="82">
        <f t="shared" ca="1" si="1"/>
        <v>150</v>
      </c>
      <c r="I15" s="87">
        <f ca="1">IFERROR(__xludf.DUMMYFUNCTION("(VLOOKUP(B14,{(IMPORTRANGE(""https://docs.google.com/spreadsheets/d/1bhPzFUTLMV7e35kNXQBjHBx0hnSRtnD8lSPi2nGpa7Y/edit#gid=1774387053"",""BE EXTC!B11:E91""))},4,FALSE))"),87)</f>
        <v>87</v>
      </c>
      <c r="J15" s="86" t="str">
        <f t="shared" ca="1" si="2"/>
        <v>O</v>
      </c>
      <c r="K15" s="87">
        <v>1</v>
      </c>
      <c r="L15" s="82">
        <f t="shared" ca="1" si="3"/>
        <v>10</v>
      </c>
      <c r="M15" s="80">
        <f t="shared" ca="1" si="4"/>
        <v>10</v>
      </c>
      <c r="N15" s="87">
        <v>16</v>
      </c>
      <c r="O15" s="87">
        <f t="shared" si="5"/>
        <v>16</v>
      </c>
      <c r="P15" s="87">
        <f t="shared" ca="1" si="6"/>
        <v>160</v>
      </c>
      <c r="Q15" s="126">
        <f t="shared" ca="1" si="7"/>
        <v>10</v>
      </c>
      <c r="R15" s="80" t="s">
        <v>35</v>
      </c>
      <c r="S15" s="81">
        <f t="array" ref="S15">VLOOKUP(B15,cgpi!$A$8:$K953,2,FALSE)</f>
        <v>7.9</v>
      </c>
      <c r="T15" s="89">
        <f t="array" ref="T15">VLOOKUP(B15,cgpi!$A$8:$K953,3,FALSE)</f>
        <v>8.4</v>
      </c>
      <c r="U15" s="89">
        <f t="array" ref="U15">VLOOKUP(B15,cgpi!$A$8:$K953,4,FALSE)</f>
        <v>9.43</v>
      </c>
      <c r="V15" s="89">
        <f t="array" ref="V15">VLOOKUP(B15,cgpi!$A$8:$K953,5,FALSE)</f>
        <v>8.68</v>
      </c>
      <c r="W15" s="89">
        <f t="array" ref="W15">VLOOKUP(B15,cgpi!$A$8:$K953,6,FALSE)</f>
        <v>8.67</v>
      </c>
      <c r="X15" s="89">
        <f t="array" ref="X15">VLOOKUP(B15,cgpi!$A$8:$K953,7,FALSE)</f>
        <v>8.5</v>
      </c>
      <c r="Y15" s="89">
        <f t="array" ref="Y15">VLOOKUP(B15,cgpi!$A$8:$K953,8,FALSE)</f>
        <v>9.19</v>
      </c>
      <c r="Z15" s="89">
        <f t="array" ref="Z15">VLOOKUP(B15,cgpi!$A$8:$K953,9,FALSE)</f>
        <v>10</v>
      </c>
      <c r="AA15" s="89">
        <f t="array" ref="AA15">VLOOKUP(B15,cgpi!$A$8:$K953,10,FALSE)</f>
        <v>8.81</v>
      </c>
      <c r="AB15" s="89">
        <f t="array" ref="AB15">VLOOKUP(B15,cgpi!$A$8:$K953,11,FALSE)</f>
        <v>9.59</v>
      </c>
    </row>
    <row r="16" spans="1:50" ht="27.75" customHeight="1">
      <c r="A16" s="120">
        <v>9</v>
      </c>
      <c r="B16" s="121">
        <v>2019120019</v>
      </c>
      <c r="C16" s="51" t="str">
        <f t="array" ref="C16">VLOOKUP(B16,studentnames!$A$6:$B953,2,FALSE)</f>
        <v>DESAI ROHIT MANSINGRAO MANGAL</v>
      </c>
      <c r="D16" s="84">
        <f ca="1">IFERROR(__xludf.DUMMYFUNCTION("(VLOOKUP(B15,{(IMPORTRANGE(""https://docs.google.com/spreadsheets/d/1cjt68fhNJBrRR8pXXWW-AMp68sqMSBhntXfqnUrHmJs/edit#gid=2068900151"",""EXTC-Final Marks!B11:J50""))},7,FALSE))"),75.4285714285714)</f>
        <v>75.428571428571402</v>
      </c>
      <c r="E16" s="84" t="str">
        <f ca="1">IFERROR(__xludf.DUMMYFUNCTION("(VLOOKUP(B15,{(IMPORTRANGE(""https://docs.google.com/spreadsheets/d/1cjt68fhNJBrRR8pXXWW-AMp68sqMSBhntXfqnUrHmJs/edit#gid=2068900151"",""EXTC-Final Marks!B11:J50""))},9,FALSE))"),"A")</f>
        <v>A</v>
      </c>
      <c r="F16" s="87">
        <v>15</v>
      </c>
      <c r="G16" s="82">
        <f t="shared" ca="1" si="0"/>
        <v>9</v>
      </c>
      <c r="H16" s="82">
        <f t="shared" ca="1" si="1"/>
        <v>135</v>
      </c>
      <c r="I16" s="87">
        <f ca="1">IFERROR(__xludf.DUMMYFUNCTION("(VLOOKUP(B15,{(IMPORTRANGE(""https://docs.google.com/spreadsheets/d/1bhPzFUTLMV7e35kNXQBjHBx0hnSRtnD8lSPi2nGpa7Y/edit#gid=1774387053"",""BE EXTC!B11:E91""))},4,FALSE))"),85)</f>
        <v>85</v>
      </c>
      <c r="J16" s="86" t="str">
        <f t="shared" ca="1" si="2"/>
        <v>O</v>
      </c>
      <c r="K16" s="87">
        <v>1</v>
      </c>
      <c r="L16" s="82">
        <f t="shared" ca="1" si="3"/>
        <v>10</v>
      </c>
      <c r="M16" s="80">
        <f t="shared" ca="1" si="4"/>
        <v>10</v>
      </c>
      <c r="N16" s="87">
        <v>16</v>
      </c>
      <c r="O16" s="87">
        <f t="shared" si="5"/>
        <v>16</v>
      </c>
      <c r="P16" s="87">
        <f t="shared" ca="1" si="6"/>
        <v>145</v>
      </c>
      <c r="Q16" s="126">
        <f t="shared" ca="1" si="7"/>
        <v>9.0625</v>
      </c>
      <c r="R16" s="80" t="s">
        <v>35</v>
      </c>
      <c r="S16" s="81">
        <f t="array" ref="S16">VLOOKUP(B16,cgpi!$A$8:$K953,2,FALSE)</f>
        <v>8.4</v>
      </c>
      <c r="T16" s="89">
        <f t="array" ref="T16">VLOOKUP(B16,cgpi!$A$8:$K953,3,FALSE)</f>
        <v>8.4</v>
      </c>
      <c r="U16" s="89">
        <f t="array" ref="U16">VLOOKUP(B16,cgpi!$A$8:$K953,4,FALSE)</f>
        <v>9.6199999999999992</v>
      </c>
      <c r="V16" s="89">
        <f t="array" ref="V16">VLOOKUP(B16,cgpi!$A$8:$K953,5,FALSE)</f>
        <v>8.7899999999999991</v>
      </c>
      <c r="W16" s="89">
        <f t="array" ref="W16">VLOOKUP(B16,cgpi!$A$8:$K953,6,FALSE)</f>
        <v>9.24</v>
      </c>
      <c r="X16" s="89">
        <f t="array" ref="X16">VLOOKUP(B16,cgpi!$A$8:$K953,7,FALSE)</f>
        <v>8.85</v>
      </c>
      <c r="Y16" s="89">
        <f t="array" ref="Y16">VLOOKUP(B16,cgpi!$A$8:$K953,8,FALSE)</f>
        <v>9</v>
      </c>
      <c r="Z16" s="89">
        <f t="array" ref="Z16">VLOOKUP(B16,cgpi!$A$8:$K953,9,FALSE)</f>
        <v>9.06</v>
      </c>
      <c r="AA16" s="89">
        <f t="array" ref="AA16">VLOOKUP(B16,cgpi!$A$8:$K953,10,FALSE)</f>
        <v>8.92</v>
      </c>
      <c r="AB16" s="89">
        <f t="array" ref="AB16">VLOOKUP(B16,cgpi!$A$8:$K953,11,FALSE)</f>
        <v>9.0299999999999994</v>
      </c>
    </row>
    <row r="17" spans="1:28" ht="27.75" customHeight="1">
      <c r="A17" s="120">
        <v>10</v>
      </c>
      <c r="B17" s="121">
        <v>2019120027</v>
      </c>
      <c r="C17" s="51" t="str">
        <f t="array" ref="C17">VLOOKUP(B17,studentnames!$A$6:$B953,2,FALSE)</f>
        <v>/ GUPTA GARIMA DEVESH</v>
      </c>
      <c r="D17" s="84">
        <f ca="1">IFERROR(__xludf.DUMMYFUNCTION("(VLOOKUP(B16,{(IMPORTRANGE(""https://docs.google.com/spreadsheets/d/1cjt68fhNJBrRR8pXXWW-AMp68sqMSBhntXfqnUrHmJs/edit#gid=2068900151"",""EXTC-Final Marks!B11:J50""))},7,FALSE))"),85.1428571428571)</f>
        <v>85.142857142857096</v>
      </c>
      <c r="E17" s="84" t="str">
        <f ca="1">IFERROR(__xludf.DUMMYFUNCTION("(VLOOKUP(B16,{(IMPORTRANGE(""https://docs.google.com/spreadsheets/d/1cjt68fhNJBrRR8pXXWW-AMp68sqMSBhntXfqnUrHmJs/edit#gid=2068900151"",""EXTC-Final Marks!B11:J50""))},9,FALSE))"),"O")</f>
        <v>O</v>
      </c>
      <c r="F17" s="87">
        <v>15</v>
      </c>
      <c r="G17" s="82">
        <f t="shared" ca="1" si="0"/>
        <v>10</v>
      </c>
      <c r="H17" s="82">
        <f t="shared" ca="1" si="1"/>
        <v>150</v>
      </c>
      <c r="I17" s="87">
        <f ca="1">IFERROR(__xludf.DUMMYFUNCTION("(VLOOKUP(B16,{(IMPORTRANGE(""https://docs.google.com/spreadsheets/d/1bhPzFUTLMV7e35kNXQBjHBx0hnSRtnD8lSPi2nGpa7Y/edit#gid=1774387053"",""BE EXTC!B11:E91""))},4,FALSE))"),93)</f>
        <v>93</v>
      </c>
      <c r="J17" s="86" t="str">
        <f t="shared" ca="1" si="2"/>
        <v>O</v>
      </c>
      <c r="K17" s="87">
        <v>1</v>
      </c>
      <c r="L17" s="82">
        <f t="shared" ca="1" si="3"/>
        <v>10</v>
      </c>
      <c r="M17" s="80">
        <f t="shared" ca="1" si="4"/>
        <v>10</v>
      </c>
      <c r="N17" s="87">
        <v>16</v>
      </c>
      <c r="O17" s="87">
        <f t="shared" si="5"/>
        <v>16</v>
      </c>
      <c r="P17" s="87">
        <f t="shared" ca="1" si="6"/>
        <v>160</v>
      </c>
      <c r="Q17" s="126">
        <f t="shared" ca="1" si="7"/>
        <v>10</v>
      </c>
      <c r="R17" s="80" t="s">
        <v>35</v>
      </c>
      <c r="S17" s="81">
        <f t="array" ref="S17">VLOOKUP(B17,cgpi!$A$8:$K953,2,FALSE)</f>
        <v>9.35</v>
      </c>
      <c r="T17" s="89">
        <f t="array" ref="T17">VLOOKUP(B17,cgpi!$A$8:$K953,3,FALSE)</f>
        <v>9.5500000000000007</v>
      </c>
      <c r="U17" s="89">
        <f t="array" ref="U17">VLOOKUP(B17,cgpi!$A$8:$K953,4,FALSE)</f>
        <v>10</v>
      </c>
      <c r="V17" s="89">
        <f t="array" ref="V17">VLOOKUP(B17,cgpi!$A$8:$K953,5,FALSE)</f>
        <v>9.84</v>
      </c>
      <c r="W17" s="89">
        <f t="array" ref="W17">VLOOKUP(B17,cgpi!$A$8:$K953,6,FALSE)</f>
        <v>9.52</v>
      </c>
      <c r="X17" s="89">
        <f t="array" ref="X17">VLOOKUP(B17,cgpi!$A$8:$K953,7,FALSE)</f>
        <v>10</v>
      </c>
      <c r="Y17" s="89">
        <f t="array" ref="Y17">VLOOKUP(B17,cgpi!$A$8:$K953,8,FALSE)</f>
        <v>9.81</v>
      </c>
      <c r="Z17" s="89">
        <f t="array" ref="Z17">VLOOKUP(B17,cgpi!$A$8:$K953,9,FALSE)</f>
        <v>10</v>
      </c>
      <c r="AA17" s="89">
        <f t="array" ref="AA17">VLOOKUP(B17,cgpi!$A$8:$K953,10,FALSE)</f>
        <v>9.75</v>
      </c>
      <c r="AB17" s="89">
        <f t="array" ref="AB17">VLOOKUP(B17,cgpi!$A$8:$K953,11,FALSE)</f>
        <v>9.91</v>
      </c>
    </row>
    <row r="18" spans="1:28" ht="27.75" customHeight="1">
      <c r="A18" s="120">
        <v>11</v>
      </c>
      <c r="B18" s="121">
        <v>2019120029</v>
      </c>
      <c r="C18" s="51" t="str">
        <f t="array" ref="C18">VLOOKUP(B18,studentnames!$A$6:$B953,2,FALSE)</f>
        <v>/ ISLUR SMRITI VENKAT VARSHA</v>
      </c>
      <c r="D18" s="84">
        <f ca="1">IFERROR(__xludf.DUMMYFUNCTION("(VLOOKUP(B17,{(IMPORTRANGE(""https://docs.google.com/spreadsheets/d/1cjt68fhNJBrRR8pXXWW-AMp68sqMSBhntXfqnUrHmJs/edit#gid=2068900151"",""EXTC-Final Marks!B11:J50""))},7,FALSE))"),76.4761904761904)</f>
        <v>76.476190476190396</v>
      </c>
      <c r="E18" s="84" t="str">
        <f ca="1">IFERROR(__xludf.DUMMYFUNCTION("(VLOOKUP(B17,{(IMPORTRANGE(""https://docs.google.com/spreadsheets/d/1cjt68fhNJBrRR8pXXWW-AMp68sqMSBhntXfqnUrHmJs/edit#gid=2068900151"",""EXTC-Final Marks!B11:J50""))},9,FALSE))"),"A")</f>
        <v>A</v>
      </c>
      <c r="F18" s="87">
        <v>15</v>
      </c>
      <c r="G18" s="82">
        <f t="shared" ca="1" si="0"/>
        <v>9</v>
      </c>
      <c r="H18" s="82">
        <f t="shared" ca="1" si="1"/>
        <v>135</v>
      </c>
      <c r="I18" s="87">
        <f ca="1">IFERROR(__xludf.DUMMYFUNCTION("(VLOOKUP(B17,{(IMPORTRANGE(""https://docs.google.com/spreadsheets/d/1bhPzFUTLMV7e35kNXQBjHBx0hnSRtnD8lSPi2nGpa7Y/edit#gid=1774387053"",""BE EXTC!B11:E91""))},4,FALSE))"),96)</f>
        <v>96</v>
      </c>
      <c r="J18" s="86" t="str">
        <f t="shared" ca="1" si="2"/>
        <v>O</v>
      </c>
      <c r="K18" s="87">
        <v>1</v>
      </c>
      <c r="L18" s="82">
        <f t="shared" ca="1" si="3"/>
        <v>10</v>
      </c>
      <c r="M18" s="80">
        <f t="shared" ca="1" si="4"/>
        <v>10</v>
      </c>
      <c r="N18" s="87">
        <v>16</v>
      </c>
      <c r="O18" s="87">
        <f t="shared" si="5"/>
        <v>16</v>
      </c>
      <c r="P18" s="87">
        <f t="shared" ca="1" si="6"/>
        <v>145</v>
      </c>
      <c r="Q18" s="126">
        <f t="shared" ca="1" si="7"/>
        <v>9.0625</v>
      </c>
      <c r="R18" s="80" t="s">
        <v>35</v>
      </c>
      <c r="S18" s="81">
        <f t="array" ref="S18">VLOOKUP(B18,cgpi!$A$8:$K953,2,FALSE)</f>
        <v>7.25</v>
      </c>
      <c r="T18" s="89">
        <f t="array" ref="T18">VLOOKUP(B18,cgpi!$A$8:$K953,3,FALSE)</f>
        <v>8.5</v>
      </c>
      <c r="U18" s="89">
        <f t="array" ref="U18">VLOOKUP(B18,cgpi!$A$8:$K953,4,FALSE)</f>
        <v>8.86</v>
      </c>
      <c r="V18" s="89">
        <f t="array" ref="V18">VLOOKUP(B18,cgpi!$A$8:$K953,5,FALSE)</f>
        <v>8.0500000000000007</v>
      </c>
      <c r="W18" s="89">
        <f t="array" ref="W18">VLOOKUP(B18,cgpi!$A$8:$K953,6,FALSE)</f>
        <v>7.43</v>
      </c>
      <c r="X18" s="89">
        <f t="array" ref="X18">VLOOKUP(B18,cgpi!$A$8:$K953,7,FALSE)</f>
        <v>7.8</v>
      </c>
      <c r="Y18" s="89">
        <f t="array" ref="Y18">VLOOKUP(B18,cgpi!$A$8:$K953,8,FALSE)</f>
        <v>9.06</v>
      </c>
      <c r="Z18" s="89">
        <f t="array" ref="Z18">VLOOKUP(B18,cgpi!$A$8:$K953,9,FALSE)</f>
        <v>9.06</v>
      </c>
      <c r="AA18" s="89">
        <f t="array" ref="AA18">VLOOKUP(B18,cgpi!$A$8:$K953,10,FALSE)</f>
        <v>8.2100000000000009</v>
      </c>
      <c r="AB18" s="89">
        <f t="array" ref="AB18">VLOOKUP(B18,cgpi!$A$8:$K953,11,FALSE)</f>
        <v>9.06</v>
      </c>
    </row>
    <row r="19" spans="1:28" ht="27.75" customHeight="1">
      <c r="A19" s="120">
        <v>12</v>
      </c>
      <c r="B19" s="121">
        <v>2019120030</v>
      </c>
      <c r="C19" s="51" t="str">
        <f t="array" ref="C19">VLOOKUP(B19,studentnames!$A$6:$B953,2,FALSE)</f>
        <v>/ JOSHI SANSKRUTI SATISH SUJATA</v>
      </c>
      <c r="D19" s="84">
        <f ca="1">IFERROR(__xludf.DUMMYFUNCTION("(VLOOKUP(B18,{(IMPORTRANGE(""https://docs.google.com/spreadsheets/d/1cjt68fhNJBrRR8pXXWW-AMp68sqMSBhntXfqnUrHmJs/edit#gid=2068900151"",""EXTC-Final Marks!B11:J50""))},7,FALSE))"),84)</f>
        <v>84</v>
      </c>
      <c r="E19" s="84" t="str">
        <f ca="1">IFERROR(__xludf.DUMMYFUNCTION("(VLOOKUP(B18,{(IMPORTRANGE(""https://docs.google.com/spreadsheets/d/1cjt68fhNJBrRR8pXXWW-AMp68sqMSBhntXfqnUrHmJs/edit#gid=2068900151"",""EXTC-Final Marks!B11:J50""))},9,FALSE))"),"O")</f>
        <v>O</v>
      </c>
      <c r="F19" s="87">
        <v>15</v>
      </c>
      <c r="G19" s="82">
        <f t="shared" ca="1" si="0"/>
        <v>10</v>
      </c>
      <c r="H19" s="82">
        <f t="shared" ca="1" si="1"/>
        <v>150</v>
      </c>
      <c r="I19" s="127">
        <v>89</v>
      </c>
      <c r="J19" s="128" t="s">
        <v>50</v>
      </c>
      <c r="K19" s="127">
        <v>1</v>
      </c>
      <c r="L19" s="129">
        <f t="shared" si="3"/>
        <v>9</v>
      </c>
      <c r="M19" s="130">
        <f t="shared" si="4"/>
        <v>9</v>
      </c>
      <c r="N19" s="87">
        <v>16</v>
      </c>
      <c r="O19" s="87">
        <f t="shared" si="5"/>
        <v>16</v>
      </c>
      <c r="P19" s="87">
        <f t="shared" ca="1" si="6"/>
        <v>159</v>
      </c>
      <c r="Q19" s="126">
        <f t="shared" ca="1" si="7"/>
        <v>9.9375</v>
      </c>
      <c r="R19" s="80" t="s">
        <v>35</v>
      </c>
      <c r="S19" s="81">
        <f t="array" ref="S19">VLOOKUP(B19,cgpi!$A$8:$K953,2,FALSE)</f>
        <v>9.0500000000000007</v>
      </c>
      <c r="T19" s="89">
        <f t="array" ref="T19">VLOOKUP(B19,cgpi!$A$8:$K953,3,FALSE)</f>
        <v>9.6999999999999993</v>
      </c>
      <c r="U19" s="89">
        <f t="array" ref="U19">VLOOKUP(B19,cgpi!$A$8:$K953,4,FALSE)</f>
        <v>9.6199999999999992</v>
      </c>
      <c r="V19" s="89">
        <f t="array" ref="V19">VLOOKUP(B19,cgpi!$A$8:$K953,5,FALSE)</f>
        <v>8.9499999999999993</v>
      </c>
      <c r="W19" s="89">
        <f t="array" ref="W19">VLOOKUP(B19,cgpi!$A$8:$K953,6,FALSE)</f>
        <v>9.43</v>
      </c>
      <c r="X19" s="89">
        <f t="array" ref="X19">VLOOKUP(B19,cgpi!$A$8:$K953,7,FALSE)</f>
        <v>9.6</v>
      </c>
      <c r="Y19" s="89">
        <f t="array" ref="Y19">VLOOKUP(B19,cgpi!$A$8:$K953,8,FALSE)</f>
        <v>8.94</v>
      </c>
      <c r="Z19" s="89">
        <f t="array" ref="Z19">VLOOKUP(B19,cgpi!$A$8:$K953,9,FALSE)</f>
        <v>9.94</v>
      </c>
      <c r="AA19" s="89">
        <f t="array" ref="AA19">VLOOKUP(B19,cgpi!$A$8:$K953,10,FALSE)</f>
        <v>9.41</v>
      </c>
      <c r="AB19" s="89">
        <f t="array" ref="AB19">VLOOKUP(B19,cgpi!$A$8:$K953,11,FALSE)</f>
        <v>9.44</v>
      </c>
    </row>
    <row r="20" spans="1:28" ht="27.75" customHeight="1">
      <c r="A20" s="120">
        <v>13</v>
      </c>
      <c r="B20" s="121">
        <v>2019120031</v>
      </c>
      <c r="C20" s="51" t="str">
        <f t="array" ref="C20">VLOOKUP(B20,studentnames!$A$6:$B953,2,FALSE)</f>
        <v>KADAM YOGESH DASHRATH GANGASAGAR</v>
      </c>
      <c r="D20" s="84">
        <f ca="1">IFERROR(__xludf.DUMMYFUNCTION("(VLOOKUP(B19,{(IMPORTRANGE(""https://docs.google.com/spreadsheets/d/1cjt68fhNJBrRR8pXXWW-AMp68sqMSBhntXfqnUrHmJs/edit#gid=2068900151"",""EXTC-Final Marks!B11:J50""))},7,FALSE))"),80.1904761904761)</f>
        <v>80.190476190476105</v>
      </c>
      <c r="E20" s="84" t="str">
        <f ca="1">IFERROR(__xludf.DUMMYFUNCTION("(VLOOKUP(B19,{(IMPORTRANGE(""https://docs.google.com/spreadsheets/d/1cjt68fhNJBrRR8pXXWW-AMp68sqMSBhntXfqnUrHmJs/edit#gid=2068900151"",""EXTC-Final Marks!B11:J50""))},9,FALSE))"),"O")</f>
        <v>O</v>
      </c>
      <c r="F20" s="87">
        <v>15</v>
      </c>
      <c r="G20" s="82">
        <f t="shared" ca="1" si="0"/>
        <v>10</v>
      </c>
      <c r="H20" s="82">
        <f t="shared" ca="1" si="1"/>
        <v>150</v>
      </c>
      <c r="I20" s="87">
        <f ca="1">IFERROR(__xludf.DUMMYFUNCTION("(VLOOKUP(B19,{(IMPORTRANGE(""https://docs.google.com/spreadsheets/d/1bhPzFUTLMV7e35kNXQBjHBx0hnSRtnD8lSPi2nGpa7Y/edit#gid=1774387053"",""BE EXTC!B11:E91""))},4,FALSE))"),85)</f>
        <v>85</v>
      </c>
      <c r="J20" s="86" t="str">
        <f t="shared" ref="J20:J41" ca="1" si="8">IF(I20&gt;=80,"O",IF(I20&gt;=75,"A",IF(I20&gt;=70,"B",IF(I20&gt;=60,"C",IF(I20&gt;=50,"D", IF(I20&gt;=45,"E",IF(I20&gt;=40,"P","F")))))))</f>
        <v>O</v>
      </c>
      <c r="K20" s="87">
        <v>1</v>
      </c>
      <c r="L20" s="82">
        <f t="shared" ca="1" si="3"/>
        <v>10</v>
      </c>
      <c r="M20" s="80">
        <f t="shared" ca="1" si="4"/>
        <v>10</v>
      </c>
      <c r="N20" s="87">
        <v>16</v>
      </c>
      <c r="O20" s="87">
        <f t="shared" si="5"/>
        <v>16</v>
      </c>
      <c r="P20" s="87">
        <f t="shared" ca="1" si="6"/>
        <v>160</v>
      </c>
      <c r="Q20" s="126">
        <f t="shared" ca="1" si="7"/>
        <v>10</v>
      </c>
      <c r="R20" s="80" t="s">
        <v>35</v>
      </c>
      <c r="S20" s="81">
        <f t="array" ref="S20">VLOOKUP(B20,cgpi!$A$8:$K953,2,FALSE)</f>
        <v>7.6</v>
      </c>
      <c r="T20" s="89">
        <f t="array" ref="T20">VLOOKUP(B20,cgpi!$A$8:$K953,3,FALSE)</f>
        <v>7.9</v>
      </c>
      <c r="U20" s="89">
        <f t="array" ref="U20">VLOOKUP(B20,cgpi!$A$8:$K953,4,FALSE)</f>
        <v>9.43</v>
      </c>
      <c r="V20" s="89">
        <f t="array" ref="V20">VLOOKUP(B20,cgpi!$A$8:$K953,5,FALSE)</f>
        <v>8.58</v>
      </c>
      <c r="W20" s="89">
        <f t="array" ref="W20">VLOOKUP(B20,cgpi!$A$8:$K953,6,FALSE)</f>
        <v>8.3800000000000008</v>
      </c>
      <c r="X20" s="89">
        <f t="array" ref="X20">VLOOKUP(B20,cgpi!$A$8:$K953,7,FALSE)</f>
        <v>8.5</v>
      </c>
      <c r="Y20" s="89">
        <f t="array" ref="Y20">VLOOKUP(B20,cgpi!$A$8:$K953,8,FALSE)</f>
        <v>9.06</v>
      </c>
      <c r="Z20" s="89">
        <f t="array" ref="Z20">VLOOKUP(B20,cgpi!$A$8:$K953,9,FALSE)</f>
        <v>10</v>
      </c>
      <c r="AA20" s="89">
        <f t="array" ref="AA20">VLOOKUP(B20,cgpi!$A$8:$K953,10,FALSE)</f>
        <v>8.64</v>
      </c>
      <c r="AB20" s="89">
        <f t="array" ref="AB20">VLOOKUP(B20,cgpi!$A$8:$K953,11,FALSE)</f>
        <v>9.5299999999999994</v>
      </c>
    </row>
    <row r="21" spans="1:28" ht="27.75" customHeight="1">
      <c r="A21" s="120">
        <v>14</v>
      </c>
      <c r="B21" s="121">
        <v>2019120035</v>
      </c>
      <c r="C21" s="51" t="str">
        <f t="array" ref="C21">VLOOKUP(B21,studentnames!$A$6:$B953,2,FALSE)</f>
        <v>LOHAR VISHAL SHANKERLAL LEELA</v>
      </c>
      <c r="D21" s="84">
        <f ca="1">IFERROR(__xludf.DUMMYFUNCTION("(VLOOKUP(B20,{(IMPORTRANGE(""https://docs.google.com/spreadsheets/d/1cjt68fhNJBrRR8pXXWW-AMp68sqMSBhntXfqnUrHmJs/edit#gid=2068900151"",""EXTC-Final Marks!B11:J50""))},7,FALSE))"),75.4285714285714)</f>
        <v>75.428571428571402</v>
      </c>
      <c r="E21" s="84" t="str">
        <f ca="1">IFERROR(__xludf.DUMMYFUNCTION("(VLOOKUP(B20,{(IMPORTRANGE(""https://docs.google.com/spreadsheets/d/1cjt68fhNJBrRR8pXXWW-AMp68sqMSBhntXfqnUrHmJs/edit#gid=2068900151"",""EXTC-Final Marks!B11:J50""))},9,FALSE))"),"A")</f>
        <v>A</v>
      </c>
      <c r="F21" s="87">
        <v>15</v>
      </c>
      <c r="G21" s="82">
        <f t="shared" ca="1" si="0"/>
        <v>9</v>
      </c>
      <c r="H21" s="82">
        <f t="shared" ca="1" si="1"/>
        <v>135</v>
      </c>
      <c r="I21" s="87">
        <f ca="1">IFERROR(__xludf.DUMMYFUNCTION("(VLOOKUP(B20,{(IMPORTRANGE(""https://docs.google.com/spreadsheets/d/1bhPzFUTLMV7e35kNXQBjHBx0hnSRtnD8lSPi2nGpa7Y/edit#gid=1774387053"",""BE EXTC!B11:E91""))},4,FALSE))"),84)</f>
        <v>84</v>
      </c>
      <c r="J21" s="86" t="str">
        <f t="shared" ca="1" si="8"/>
        <v>O</v>
      </c>
      <c r="K21" s="87">
        <v>1</v>
      </c>
      <c r="L21" s="82">
        <f t="shared" ca="1" si="3"/>
        <v>10</v>
      </c>
      <c r="M21" s="80">
        <f t="shared" ca="1" si="4"/>
        <v>10</v>
      </c>
      <c r="N21" s="87">
        <v>16</v>
      </c>
      <c r="O21" s="87">
        <f t="shared" si="5"/>
        <v>16</v>
      </c>
      <c r="P21" s="87">
        <f t="shared" ca="1" si="6"/>
        <v>145</v>
      </c>
      <c r="Q21" s="126">
        <f t="shared" ca="1" si="7"/>
        <v>9.0625</v>
      </c>
      <c r="R21" s="80" t="s">
        <v>35</v>
      </c>
      <c r="S21" s="81">
        <f t="array" ref="S21">VLOOKUP(B21,cgpi!$A$8:$K953,2,FALSE)</f>
        <v>7.45</v>
      </c>
      <c r="T21" s="89">
        <f t="array" ref="T21">VLOOKUP(B21,cgpi!$A$8:$K953,3,FALSE)</f>
        <v>7.7</v>
      </c>
      <c r="U21" s="89">
        <f t="array" ref="U21">VLOOKUP(B21,cgpi!$A$8:$K953,4,FALSE)</f>
        <v>8.86</v>
      </c>
      <c r="V21" s="89">
        <f t="array" ref="V21">VLOOKUP(B21,cgpi!$A$8:$K953,5,FALSE)</f>
        <v>7.68</v>
      </c>
      <c r="W21" s="89">
        <f t="array" ref="W21">VLOOKUP(B21,cgpi!$A$8:$K953,6,FALSE)</f>
        <v>8.57</v>
      </c>
      <c r="X21" s="89">
        <f t="array" ref="X21">VLOOKUP(B21,cgpi!$A$8:$K953,7,FALSE)</f>
        <v>7.4</v>
      </c>
      <c r="Y21" s="89">
        <f t="array" ref="Y21">VLOOKUP(B21,cgpi!$A$8:$K953,8,FALSE)</f>
        <v>7.56</v>
      </c>
      <c r="Z21" s="89">
        <f t="array" ref="Z21">VLOOKUP(B21,cgpi!$A$8:$K953,9,FALSE)</f>
        <v>9.06</v>
      </c>
      <c r="AA21" s="89">
        <f t="array" ref="AA21">VLOOKUP(B21,cgpi!$A$8:$K953,10,FALSE)</f>
        <v>8.0299999999999994</v>
      </c>
      <c r="AB21" s="89">
        <f t="array" ref="AB21">VLOOKUP(B21,cgpi!$A$8:$K953,11,FALSE)</f>
        <v>8.31</v>
      </c>
    </row>
    <row r="22" spans="1:28" ht="27.75" customHeight="1">
      <c r="A22" s="120">
        <v>15</v>
      </c>
      <c r="B22" s="121">
        <v>2019120048</v>
      </c>
      <c r="C22" s="51" t="str">
        <f t="array" ref="C22">VLOOKUP(B22,studentnames!$A$6:$B953,2,FALSE)</f>
        <v>/ PETHKAR GAURI SACHIN VANDANA</v>
      </c>
      <c r="D22" s="84">
        <f ca="1">IFERROR(__xludf.DUMMYFUNCTION("(VLOOKUP(B21,{(IMPORTRANGE(""https://docs.google.com/spreadsheets/d/1cjt68fhNJBrRR8pXXWW-AMp68sqMSBhntXfqnUrHmJs/edit#gid=2068900151"",""EXTC-Final Marks!B11:J50""))},7,FALSE))"),78.6666666666666)</f>
        <v>78.6666666666666</v>
      </c>
      <c r="E22" s="84" t="str">
        <f ca="1">IFERROR(__xludf.DUMMYFUNCTION("(VLOOKUP(B21,{(IMPORTRANGE(""https://docs.google.com/spreadsheets/d/1cjt68fhNJBrRR8pXXWW-AMp68sqMSBhntXfqnUrHmJs/edit#gid=2068900151"",""EXTC-Final Marks!B11:J50""))},9,FALSE))"),"A")</f>
        <v>A</v>
      </c>
      <c r="F22" s="87">
        <v>15</v>
      </c>
      <c r="G22" s="82">
        <f t="shared" ca="1" si="0"/>
        <v>9</v>
      </c>
      <c r="H22" s="82">
        <f t="shared" ca="1" si="1"/>
        <v>135</v>
      </c>
      <c r="I22" s="87">
        <f ca="1">IFERROR(__xludf.DUMMYFUNCTION("(VLOOKUP(B21,{(IMPORTRANGE(""https://docs.google.com/spreadsheets/d/1bhPzFUTLMV7e35kNXQBjHBx0hnSRtnD8lSPi2nGpa7Y/edit#gid=1774387053"",""BE EXTC!B11:E91""))},4,FALSE))"),90)</f>
        <v>90</v>
      </c>
      <c r="J22" s="86" t="str">
        <f t="shared" ca="1" si="8"/>
        <v>O</v>
      </c>
      <c r="K22" s="87">
        <v>1</v>
      </c>
      <c r="L22" s="82">
        <f t="shared" ca="1" si="3"/>
        <v>10</v>
      </c>
      <c r="M22" s="80">
        <f t="shared" ca="1" si="4"/>
        <v>10</v>
      </c>
      <c r="N22" s="87">
        <v>16</v>
      </c>
      <c r="O22" s="87">
        <f t="shared" si="5"/>
        <v>16</v>
      </c>
      <c r="P22" s="87">
        <f t="shared" ca="1" si="6"/>
        <v>145</v>
      </c>
      <c r="Q22" s="126">
        <f t="shared" ca="1" si="7"/>
        <v>9.0625</v>
      </c>
      <c r="R22" s="80" t="s">
        <v>35</v>
      </c>
      <c r="S22" s="81">
        <f t="array" ref="S22">VLOOKUP(B22,cgpi!$A$8:$K953,2,FALSE)</f>
        <v>8.35</v>
      </c>
      <c r="T22" s="89">
        <f t="array" ref="T22">VLOOKUP(B22,cgpi!$A$8:$K953,3,FALSE)</f>
        <v>8.8000000000000007</v>
      </c>
      <c r="U22" s="89">
        <f t="array" ref="U22">VLOOKUP(B22,cgpi!$A$8:$K953,4,FALSE)</f>
        <v>9.81</v>
      </c>
      <c r="V22" s="89">
        <f t="array" ref="V22">VLOOKUP(B22,cgpi!$A$8:$K953,5,FALSE)</f>
        <v>9.2100000000000009</v>
      </c>
      <c r="W22" s="89">
        <f t="array" ref="W22">VLOOKUP(B22,cgpi!$A$8:$K953,6,FALSE)</f>
        <v>9.43</v>
      </c>
      <c r="X22" s="89">
        <f t="array" ref="X22">VLOOKUP(B22,cgpi!$A$8:$K953,7,FALSE)</f>
        <v>8.9</v>
      </c>
      <c r="Y22" s="89">
        <f t="array" ref="Y22">VLOOKUP(B22,cgpi!$A$8:$K953,8,FALSE)</f>
        <v>8.75</v>
      </c>
      <c r="Z22" s="89">
        <f t="array" ref="Z22">VLOOKUP(B22,cgpi!$A$8:$K953,9,FALSE)</f>
        <v>9.06</v>
      </c>
      <c r="AA22" s="89">
        <f t="array" ref="AA22">VLOOKUP(B22,cgpi!$A$8:$K953,10,FALSE)</f>
        <v>9.0500000000000007</v>
      </c>
      <c r="AB22" s="89">
        <f t="array" ref="AB22">VLOOKUP(B22,cgpi!$A$8:$K953,11,FALSE)</f>
        <v>8.91</v>
      </c>
    </row>
    <row r="23" spans="1:28" ht="27.75" customHeight="1">
      <c r="A23" s="120">
        <v>16</v>
      </c>
      <c r="B23" s="121">
        <v>2019120049</v>
      </c>
      <c r="C23" s="51" t="str">
        <f t="array" ref="C23">VLOOKUP(B23,studentnames!$A$6:$B953,2,FALSE)</f>
        <v>PUROHIT YUVRAJ MITHALAL PARVATI</v>
      </c>
      <c r="D23" s="84">
        <f ca="1">IFERROR(__xludf.DUMMYFUNCTION("(VLOOKUP(B22,{(IMPORTRANGE(""https://docs.google.com/spreadsheets/d/1cjt68fhNJBrRR8pXXWW-AMp68sqMSBhntXfqnUrHmJs/edit#gid=2068900151"",""EXTC-Final Marks!B11:J50""))},7,FALSE))"),77.1428571428571)</f>
        <v>77.142857142857096</v>
      </c>
      <c r="E23" s="84" t="str">
        <f ca="1">IFERROR(__xludf.DUMMYFUNCTION("(VLOOKUP(B22,{(IMPORTRANGE(""https://docs.google.com/spreadsheets/d/1cjt68fhNJBrRR8pXXWW-AMp68sqMSBhntXfqnUrHmJs/edit#gid=2068900151"",""EXTC-Final Marks!B11:J50""))},9,FALSE))"),"A")</f>
        <v>A</v>
      </c>
      <c r="F23" s="87">
        <v>15</v>
      </c>
      <c r="G23" s="82">
        <f t="shared" ca="1" si="0"/>
        <v>9</v>
      </c>
      <c r="H23" s="82">
        <f t="shared" ca="1" si="1"/>
        <v>135</v>
      </c>
      <c r="I23" s="87">
        <f ca="1">IFERROR(__xludf.DUMMYFUNCTION("(VLOOKUP(B22,{(IMPORTRANGE(""https://docs.google.com/spreadsheets/d/1bhPzFUTLMV7e35kNXQBjHBx0hnSRtnD8lSPi2nGpa7Y/edit#gid=1774387053"",""BE EXTC!B11:E91""))},4,FALSE))"),83)</f>
        <v>83</v>
      </c>
      <c r="J23" s="86" t="str">
        <f t="shared" ca="1" si="8"/>
        <v>O</v>
      </c>
      <c r="K23" s="87">
        <v>1</v>
      </c>
      <c r="L23" s="82">
        <f t="shared" ca="1" si="3"/>
        <v>10</v>
      </c>
      <c r="M23" s="80">
        <f t="shared" ca="1" si="4"/>
        <v>10</v>
      </c>
      <c r="N23" s="87">
        <v>16</v>
      </c>
      <c r="O23" s="87">
        <f t="shared" si="5"/>
        <v>16</v>
      </c>
      <c r="P23" s="87">
        <f t="shared" ca="1" si="6"/>
        <v>145</v>
      </c>
      <c r="Q23" s="126">
        <f t="shared" ca="1" si="7"/>
        <v>9.0625</v>
      </c>
      <c r="R23" s="80" t="s">
        <v>35</v>
      </c>
      <c r="S23" s="81">
        <f t="array" ref="S23">VLOOKUP(B23,cgpi!$A$8:$K953,2,FALSE)</f>
        <v>6.7</v>
      </c>
      <c r="T23" s="89">
        <f t="array" ref="T23">VLOOKUP(B23,cgpi!$A$8:$K953,3,FALSE)</f>
        <v>7.55</v>
      </c>
      <c r="U23" s="89">
        <f t="array" ref="U23">VLOOKUP(B23,cgpi!$A$8:$K953,4,FALSE)</f>
        <v>8.57</v>
      </c>
      <c r="V23" s="89">
        <f t="array" ref="V23">VLOOKUP(B23,cgpi!$A$8:$K953,5,FALSE)</f>
        <v>7.95</v>
      </c>
      <c r="W23" s="89">
        <f t="array" ref="W23">VLOOKUP(B23,cgpi!$A$8:$K953,6,FALSE)</f>
        <v>9.24</v>
      </c>
      <c r="X23" s="89">
        <f t="array" ref="X23">VLOOKUP(B23,cgpi!$A$8:$K953,7,FALSE)</f>
        <v>7.55</v>
      </c>
      <c r="Y23" s="89">
        <f t="array" ref="Y23">VLOOKUP(B23,cgpi!$A$8:$K953,8,FALSE)</f>
        <v>7.75</v>
      </c>
      <c r="Z23" s="89">
        <f t="array" ref="Z23">VLOOKUP(B23,cgpi!$A$8:$K953,9,FALSE)</f>
        <v>9.06</v>
      </c>
      <c r="AA23" s="89">
        <f t="array" ref="AA23">VLOOKUP(B23,cgpi!$A$8:$K953,10,FALSE)</f>
        <v>8.0399999999999991</v>
      </c>
      <c r="AB23" s="89">
        <f t="array" ref="AB23">VLOOKUP(B23,cgpi!$A$8:$K953,11,FALSE)</f>
        <v>8.41</v>
      </c>
    </row>
    <row r="24" spans="1:28" ht="27.75" customHeight="1">
      <c r="A24" s="120">
        <v>17</v>
      </c>
      <c r="B24" s="121">
        <v>2019120050</v>
      </c>
      <c r="C24" s="51" t="str">
        <f t="array" ref="C24">VLOOKUP(B24,studentnames!$A$6:$B953,2,FALSE)</f>
        <v>/ RAGHUWANSHI ISHIKA RAJESH SAPNA</v>
      </c>
      <c r="D24" s="84">
        <f ca="1">IFERROR(__xludf.DUMMYFUNCTION("(VLOOKUP(B23,{(IMPORTRANGE(""https://docs.google.com/spreadsheets/d/1cjt68fhNJBrRR8pXXWW-AMp68sqMSBhntXfqnUrHmJs/edit#gid=2068900151"",""EXTC-Final Marks!B11:J50""))},7,FALSE))"),86.1904761904761)</f>
        <v>86.190476190476105</v>
      </c>
      <c r="E24" s="84" t="str">
        <f ca="1">IFERROR(__xludf.DUMMYFUNCTION("(VLOOKUP(B23,{(IMPORTRANGE(""https://docs.google.com/spreadsheets/d/1cjt68fhNJBrRR8pXXWW-AMp68sqMSBhntXfqnUrHmJs/edit#gid=2068900151"",""EXTC-Final Marks!B11:J50""))},9,FALSE))"),"O")</f>
        <v>O</v>
      </c>
      <c r="F24" s="87">
        <v>15</v>
      </c>
      <c r="G24" s="82">
        <f t="shared" ca="1" si="0"/>
        <v>10</v>
      </c>
      <c r="H24" s="82">
        <f t="shared" ca="1" si="1"/>
        <v>150</v>
      </c>
      <c r="I24" s="87">
        <f ca="1">IFERROR(__xludf.DUMMYFUNCTION("(VLOOKUP(B23,{(IMPORTRANGE(""https://docs.google.com/spreadsheets/d/1bhPzFUTLMV7e35kNXQBjHBx0hnSRtnD8lSPi2nGpa7Y/edit#gid=1774387053"",""BE EXTC!B11:E91""))},4,FALSE))"),93)</f>
        <v>93</v>
      </c>
      <c r="J24" s="86" t="str">
        <f t="shared" ca="1" si="8"/>
        <v>O</v>
      </c>
      <c r="K24" s="87">
        <v>1</v>
      </c>
      <c r="L24" s="82">
        <f t="shared" ca="1" si="3"/>
        <v>10</v>
      </c>
      <c r="M24" s="80">
        <f t="shared" ca="1" si="4"/>
        <v>10</v>
      </c>
      <c r="N24" s="87">
        <v>16</v>
      </c>
      <c r="O24" s="87">
        <f t="shared" si="5"/>
        <v>16</v>
      </c>
      <c r="P24" s="87">
        <f t="shared" ca="1" si="6"/>
        <v>160</v>
      </c>
      <c r="Q24" s="126">
        <f t="shared" ca="1" si="7"/>
        <v>10</v>
      </c>
      <c r="R24" s="80" t="s">
        <v>35</v>
      </c>
      <c r="S24" s="81">
        <f t="array" ref="S24">VLOOKUP(B24,cgpi!$A$8:$K953,2,FALSE)</f>
        <v>10</v>
      </c>
      <c r="T24" s="89">
        <f t="array" ref="T24">VLOOKUP(B24,cgpi!$A$8:$K953,3,FALSE)</f>
        <v>10</v>
      </c>
      <c r="U24" s="89">
        <f t="array" ref="U24">VLOOKUP(B24,cgpi!$A$8:$K953,4,FALSE)</f>
        <v>10</v>
      </c>
      <c r="V24" s="89">
        <f t="array" ref="V24">VLOOKUP(B24,cgpi!$A$8:$K953,5,FALSE)</f>
        <v>9.4700000000000006</v>
      </c>
      <c r="W24" s="89">
        <f t="array" ref="W24">VLOOKUP(B24,cgpi!$A$8:$K953,6,FALSE)</f>
        <v>9.24</v>
      </c>
      <c r="X24" s="89">
        <f t="array" ref="X24">VLOOKUP(B24,cgpi!$A$8:$K953,7,FALSE)</f>
        <v>9.5</v>
      </c>
      <c r="Y24" s="89">
        <f t="array" ref="Y24">VLOOKUP(B24,cgpi!$A$8:$K953,8,FALSE)</f>
        <v>9.25</v>
      </c>
      <c r="Z24" s="89">
        <f t="array" ref="Z24">VLOOKUP(B24,cgpi!$A$8:$K953,9,FALSE)</f>
        <v>10</v>
      </c>
      <c r="AA24" s="89">
        <f t="array" ref="AA24">VLOOKUP(B24,cgpi!$A$8:$K953,10,FALSE)</f>
        <v>9.69</v>
      </c>
      <c r="AB24" s="89">
        <f t="array" ref="AB24">VLOOKUP(B24,cgpi!$A$8:$K953,11,FALSE)</f>
        <v>9.6300000000000008</v>
      </c>
    </row>
    <row r="25" spans="1:28" ht="27.75" customHeight="1">
      <c r="A25" s="120">
        <v>18</v>
      </c>
      <c r="B25" s="121">
        <v>2019120051</v>
      </c>
      <c r="C25" s="51" t="str">
        <f t="array" ref="C25">VLOOKUP(B25,studentnames!$A$6:$B953,2,FALSE)</f>
        <v>/ RAIPURE ISHIKA RAJKUMAR SUNITA</v>
      </c>
      <c r="D25" s="84">
        <f ca="1">IFERROR(__xludf.DUMMYFUNCTION("(VLOOKUP(B24,{(IMPORTRANGE(""https://docs.google.com/spreadsheets/d/1cjt68fhNJBrRR8pXXWW-AMp68sqMSBhntXfqnUrHmJs/edit#gid=2068900151"",""EXTC-Final Marks!B11:J50""))},7,FALSE))"),83.3333333333333)</f>
        <v>83.3333333333333</v>
      </c>
      <c r="E25" s="84" t="str">
        <f ca="1">IFERROR(__xludf.DUMMYFUNCTION("(VLOOKUP(B24,{(IMPORTRANGE(""https://docs.google.com/spreadsheets/d/1cjt68fhNJBrRR8pXXWW-AMp68sqMSBhntXfqnUrHmJs/edit#gid=2068900151"",""EXTC-Final Marks!B11:J50""))},9,FALSE))"),"O")</f>
        <v>O</v>
      </c>
      <c r="F25" s="87">
        <v>15</v>
      </c>
      <c r="G25" s="82">
        <f t="shared" ca="1" si="0"/>
        <v>10</v>
      </c>
      <c r="H25" s="82">
        <f t="shared" ca="1" si="1"/>
        <v>150</v>
      </c>
      <c r="I25" s="87">
        <f ca="1">IFERROR(__xludf.DUMMYFUNCTION("(VLOOKUP(B24,{(IMPORTRANGE(""https://docs.google.com/spreadsheets/d/1bhPzFUTLMV7e35kNXQBjHBx0hnSRtnD8lSPi2nGpa7Y/edit#gid=1774387053"",""BE EXTC!B11:E91""))},4,FALSE))"),88)</f>
        <v>88</v>
      </c>
      <c r="J25" s="86" t="str">
        <f t="shared" ca="1" si="8"/>
        <v>O</v>
      </c>
      <c r="K25" s="87">
        <v>1</v>
      </c>
      <c r="L25" s="82">
        <f t="shared" ca="1" si="3"/>
        <v>10</v>
      </c>
      <c r="M25" s="80">
        <f t="shared" ca="1" si="4"/>
        <v>10</v>
      </c>
      <c r="N25" s="87">
        <v>16</v>
      </c>
      <c r="O25" s="87">
        <f t="shared" si="5"/>
        <v>16</v>
      </c>
      <c r="P25" s="87">
        <f t="shared" ca="1" si="6"/>
        <v>160</v>
      </c>
      <c r="Q25" s="126">
        <f t="shared" ca="1" si="7"/>
        <v>10</v>
      </c>
      <c r="R25" s="80" t="s">
        <v>35</v>
      </c>
      <c r="S25" s="81">
        <f t="array" ref="S25">VLOOKUP(B25,cgpi!$A$8:$K953,2,FALSE)</f>
        <v>6.85</v>
      </c>
      <c r="T25" s="89">
        <f t="array" ref="T25">VLOOKUP(B25,cgpi!$A$8:$K953,3,FALSE)</f>
        <v>8.1999999999999993</v>
      </c>
      <c r="U25" s="89">
        <f t="array" ref="U25">VLOOKUP(B25,cgpi!$A$8:$K953,4,FALSE)</f>
        <v>8.9499999999999993</v>
      </c>
      <c r="V25" s="89">
        <f t="array" ref="V25">VLOOKUP(B25,cgpi!$A$8:$K953,5,FALSE)</f>
        <v>8.42</v>
      </c>
      <c r="W25" s="89">
        <f t="array" ref="W25">VLOOKUP(B25,cgpi!$A$8:$K953,6,FALSE)</f>
        <v>8.2899999999999991</v>
      </c>
      <c r="X25" s="89">
        <f t="array" ref="X25">VLOOKUP(B25,cgpi!$A$8:$K953,7,FALSE)</f>
        <v>7.5</v>
      </c>
      <c r="Y25" s="89">
        <f t="array" ref="Y25">VLOOKUP(B25,cgpi!$A$8:$K953,8,FALSE)</f>
        <v>8.81</v>
      </c>
      <c r="Z25" s="89">
        <f t="array" ref="Z25">VLOOKUP(B25,cgpi!$A$8:$K953,9,FALSE)</f>
        <v>10</v>
      </c>
      <c r="AA25" s="89">
        <f t="array" ref="AA25">VLOOKUP(B25,cgpi!$A$8:$K953,10,FALSE)</f>
        <v>8.33</v>
      </c>
      <c r="AB25" s="89">
        <f t="array" ref="AB25">VLOOKUP(B25,cgpi!$A$8:$K953,11,FALSE)</f>
        <v>9.41</v>
      </c>
    </row>
    <row r="26" spans="1:28" ht="27.75" customHeight="1">
      <c r="A26" s="120">
        <v>19</v>
      </c>
      <c r="B26" s="121">
        <v>2019120052</v>
      </c>
      <c r="C26" s="51" t="str">
        <f t="array" ref="C26">VLOOKUP(B26,studentnames!$A$6:$B953,2,FALSE)</f>
        <v>REVANTH VENKATA SOMASUNDARAMURTHY JYOTHULA SURYAPRABHA</v>
      </c>
      <c r="D26" s="84">
        <f ca="1">IFERROR(__xludf.DUMMYFUNCTION("(VLOOKUP(B25,{(IMPORTRANGE(""https://docs.google.com/spreadsheets/d/1cjt68fhNJBrRR8pXXWW-AMp68sqMSBhntXfqnUrHmJs/edit#gid=2068900151"",""EXTC-Final Marks!B11:J50""))},7,FALSE))"),90.1904761904761)</f>
        <v>90.190476190476105</v>
      </c>
      <c r="E26" s="84" t="str">
        <f ca="1">IFERROR(__xludf.DUMMYFUNCTION("(VLOOKUP(B25,{(IMPORTRANGE(""https://docs.google.com/spreadsheets/d/1cjt68fhNJBrRR8pXXWW-AMp68sqMSBhntXfqnUrHmJs/edit#gid=2068900151"",""EXTC-Final Marks!B11:J50""))},9,FALSE))"),"O")</f>
        <v>O</v>
      </c>
      <c r="F26" s="87">
        <v>15</v>
      </c>
      <c r="G26" s="82">
        <f t="shared" ca="1" si="0"/>
        <v>10</v>
      </c>
      <c r="H26" s="82">
        <f t="shared" ca="1" si="1"/>
        <v>150</v>
      </c>
      <c r="I26" s="87">
        <f ca="1">IFERROR(__xludf.DUMMYFUNCTION("(VLOOKUP(B25,{(IMPORTRANGE(""https://docs.google.com/spreadsheets/d/1bhPzFUTLMV7e35kNXQBjHBx0hnSRtnD8lSPi2nGpa7Y/edit#gid=1774387053"",""BE EXTC!B11:E91""))},4,FALSE))"),92)</f>
        <v>92</v>
      </c>
      <c r="J26" s="86" t="str">
        <f t="shared" ca="1" si="8"/>
        <v>O</v>
      </c>
      <c r="K26" s="87">
        <v>1</v>
      </c>
      <c r="L26" s="82">
        <f t="shared" ca="1" si="3"/>
        <v>10</v>
      </c>
      <c r="M26" s="80">
        <f t="shared" ca="1" si="4"/>
        <v>10</v>
      </c>
      <c r="N26" s="87">
        <v>16</v>
      </c>
      <c r="O26" s="87">
        <f t="shared" si="5"/>
        <v>16</v>
      </c>
      <c r="P26" s="87">
        <f t="shared" ca="1" si="6"/>
        <v>160</v>
      </c>
      <c r="Q26" s="126">
        <f t="shared" ca="1" si="7"/>
        <v>10</v>
      </c>
      <c r="R26" s="80" t="s">
        <v>35</v>
      </c>
      <c r="S26" s="81">
        <f t="array" ref="S26">VLOOKUP(B26,cgpi!$A$8:$K953,2,FALSE)</f>
        <v>8.4</v>
      </c>
      <c r="T26" s="89">
        <f t="array" ref="T26">VLOOKUP(B26,cgpi!$A$8:$K953,3,FALSE)</f>
        <v>9.0500000000000007</v>
      </c>
      <c r="U26" s="89">
        <f t="array" ref="U26">VLOOKUP(B26,cgpi!$A$8:$K953,4,FALSE)</f>
        <v>9</v>
      </c>
      <c r="V26" s="89">
        <f t="array" ref="V26">VLOOKUP(B26,cgpi!$A$8:$K953,5,FALSE)</f>
        <v>8.3699999999999992</v>
      </c>
      <c r="W26" s="89">
        <f t="array" ref="W26">VLOOKUP(B26,cgpi!$A$8:$K953,6,FALSE)</f>
        <v>8.48</v>
      </c>
      <c r="X26" s="89">
        <f t="array" ref="X26">VLOOKUP(B26,cgpi!$A$8:$K953,7,FALSE)</f>
        <v>6.75</v>
      </c>
      <c r="Y26" s="89">
        <f t="array" ref="Y26">VLOOKUP(B26,cgpi!$A$8:$K953,8,FALSE)</f>
        <v>7.56</v>
      </c>
      <c r="Z26" s="89">
        <f t="array" ref="Z26">VLOOKUP(B26,cgpi!$A$8:$K953,9,FALSE)</f>
        <v>10</v>
      </c>
      <c r="AA26" s="89">
        <f t="array" ref="AA26">VLOOKUP(B26,cgpi!$A$8:$K953,10,FALSE)</f>
        <v>8.44</v>
      </c>
      <c r="AB26" s="89">
        <f t="array" ref="AB26">VLOOKUP(B26,cgpi!$A$8:$K953,11,FALSE)</f>
        <v>8.7799999999999994</v>
      </c>
    </row>
    <row r="27" spans="1:28" ht="27.75" customHeight="1">
      <c r="A27" s="120">
        <v>20</v>
      </c>
      <c r="B27" s="121">
        <v>2019120055</v>
      </c>
      <c r="C27" s="51" t="str">
        <f t="array" ref="C27">VLOOKUP(B27,studentnames!$A$6:$B953,2,FALSE)</f>
        <v>/ SAVARKAR SNEHA DEVANAND KAMAL</v>
      </c>
      <c r="D27" s="84">
        <f ca="1">IFERROR(__xludf.DUMMYFUNCTION("(VLOOKUP(B26,{(IMPORTRANGE(""https://docs.google.com/spreadsheets/d/1cjt68fhNJBrRR8pXXWW-AMp68sqMSBhntXfqnUrHmJs/edit#gid=2068900151"",""EXTC-Final Marks!B11:J50""))},7,FALSE))"),73.7142857142857)</f>
        <v>73.714285714285694</v>
      </c>
      <c r="E27" s="84" t="str">
        <f ca="1">IFERROR(__xludf.DUMMYFUNCTION("(VLOOKUP(B26,{(IMPORTRANGE(""https://docs.google.com/spreadsheets/d/1cjt68fhNJBrRR8pXXWW-AMp68sqMSBhntXfqnUrHmJs/edit#gid=2068900151"",""EXTC-Final Marks!B11:J50""))},9,FALSE))"),"B")</f>
        <v>B</v>
      </c>
      <c r="F27" s="87">
        <v>15</v>
      </c>
      <c r="G27" s="82">
        <f t="shared" ca="1" si="0"/>
        <v>8</v>
      </c>
      <c r="H27" s="82">
        <f t="shared" ca="1" si="1"/>
        <v>120</v>
      </c>
      <c r="I27" s="87">
        <f ca="1">IFERROR(__xludf.DUMMYFUNCTION("(VLOOKUP(B26,{(IMPORTRANGE(""https://docs.google.com/spreadsheets/d/1bhPzFUTLMV7e35kNXQBjHBx0hnSRtnD8lSPi2nGpa7Y/edit#gid=1774387053"",""BE EXTC!B11:E91""))},4,FALSE))"),85)</f>
        <v>85</v>
      </c>
      <c r="J27" s="86" t="str">
        <f t="shared" ca="1" si="8"/>
        <v>O</v>
      </c>
      <c r="K27" s="87">
        <v>1</v>
      </c>
      <c r="L27" s="82">
        <f t="shared" ca="1" si="3"/>
        <v>10</v>
      </c>
      <c r="M27" s="80">
        <f t="shared" ca="1" si="4"/>
        <v>10</v>
      </c>
      <c r="N27" s="87">
        <v>16</v>
      </c>
      <c r="O27" s="87">
        <f t="shared" si="5"/>
        <v>16</v>
      </c>
      <c r="P27" s="87">
        <f t="shared" ca="1" si="6"/>
        <v>130</v>
      </c>
      <c r="Q27" s="126">
        <f t="shared" ca="1" si="7"/>
        <v>8.125</v>
      </c>
      <c r="R27" s="80" t="s">
        <v>35</v>
      </c>
      <c r="S27" s="81">
        <f t="array" ref="S27">VLOOKUP(B27,cgpi!$A$8:$K953,2,FALSE)</f>
        <v>7.6</v>
      </c>
      <c r="T27" s="89">
        <f t="array" ref="T27">VLOOKUP(B27,cgpi!$A$8:$K953,3,FALSE)</f>
        <v>8.35</v>
      </c>
      <c r="U27" s="89">
        <f t="array" ref="U27">VLOOKUP(B27,cgpi!$A$8:$K953,4,FALSE)</f>
        <v>9.6199999999999992</v>
      </c>
      <c r="V27" s="89">
        <f t="array" ref="V27">VLOOKUP(B27,cgpi!$A$8:$K953,5,FALSE)</f>
        <v>8.74</v>
      </c>
      <c r="W27" s="89">
        <f t="array" ref="W27">VLOOKUP(B27,cgpi!$A$8:$K953,6,FALSE)</f>
        <v>8.67</v>
      </c>
      <c r="X27" s="89">
        <f t="array" ref="X27">VLOOKUP(B27,cgpi!$A$8:$K953,7,FALSE)</f>
        <v>7.75</v>
      </c>
      <c r="Y27" s="89">
        <f t="array" ref="Y27">VLOOKUP(B27,cgpi!$A$8:$K953,8,FALSE)</f>
        <v>8.5</v>
      </c>
      <c r="Z27" s="89">
        <f t="array" ref="Z27">VLOOKUP(B27,cgpi!$A$8:$K953,9,FALSE)</f>
        <v>8.1300000000000008</v>
      </c>
      <c r="AA27" s="89">
        <f t="array" ref="AA27">VLOOKUP(B27,cgpi!$A$8:$K953,10,FALSE)</f>
        <v>8.43</v>
      </c>
      <c r="AB27" s="89">
        <f t="array" ref="AB27">VLOOKUP(B27,cgpi!$A$8:$K953,11,FALSE)</f>
        <v>8.31</v>
      </c>
    </row>
    <row r="28" spans="1:28" ht="27.75" customHeight="1">
      <c r="A28" s="120">
        <v>21</v>
      </c>
      <c r="B28" s="121">
        <v>2019120059</v>
      </c>
      <c r="C28" s="51" t="str">
        <f t="array" ref="C28">VLOOKUP(B28,studentnames!$A$6:$B953,2,FALSE)</f>
        <v>SINGH HARGOBIND MOHINDER</v>
      </c>
      <c r="D28" s="84">
        <f ca="1">IFERROR(__xludf.DUMMYFUNCTION("(VLOOKUP(B27,{(IMPORTRANGE(""https://docs.google.com/spreadsheets/d/1cjt68fhNJBrRR8pXXWW-AMp68sqMSBhntXfqnUrHmJs/edit#gid=2068900151"",""EXTC-Final Marks!B11:J50""))},7,FALSE))"),88.0952380952381)</f>
        <v>88.095238095238102</v>
      </c>
      <c r="E28" s="84" t="str">
        <f ca="1">IFERROR(__xludf.DUMMYFUNCTION("(VLOOKUP(B27,{(IMPORTRANGE(""https://docs.google.com/spreadsheets/d/1cjt68fhNJBrRR8pXXWW-AMp68sqMSBhntXfqnUrHmJs/edit#gid=2068900151"",""EXTC-Final Marks!B11:J50""))},9,FALSE))"),"O")</f>
        <v>O</v>
      </c>
      <c r="F28" s="87">
        <v>15</v>
      </c>
      <c r="G28" s="82">
        <f t="shared" ca="1" si="0"/>
        <v>10</v>
      </c>
      <c r="H28" s="82">
        <f t="shared" ca="1" si="1"/>
        <v>150</v>
      </c>
      <c r="I28" s="87">
        <f ca="1">IFERROR(__xludf.DUMMYFUNCTION("(VLOOKUP(B27,{(IMPORTRANGE(""https://docs.google.com/spreadsheets/d/1bhPzFUTLMV7e35kNXQBjHBx0hnSRtnD8lSPi2nGpa7Y/edit#gid=1774387053"",""BE EXTC!B11:E91""))},4,FALSE))"),94)</f>
        <v>94</v>
      </c>
      <c r="J28" s="86" t="str">
        <f t="shared" ca="1" si="8"/>
        <v>O</v>
      </c>
      <c r="K28" s="87">
        <v>1</v>
      </c>
      <c r="L28" s="82">
        <f t="shared" ca="1" si="3"/>
        <v>10</v>
      </c>
      <c r="M28" s="80">
        <f t="shared" ca="1" si="4"/>
        <v>10</v>
      </c>
      <c r="N28" s="87">
        <v>16</v>
      </c>
      <c r="O28" s="87">
        <f t="shared" si="5"/>
        <v>16</v>
      </c>
      <c r="P28" s="87">
        <f t="shared" ca="1" si="6"/>
        <v>160</v>
      </c>
      <c r="Q28" s="126">
        <f t="shared" ca="1" si="7"/>
        <v>10</v>
      </c>
      <c r="R28" s="80" t="s">
        <v>35</v>
      </c>
      <c r="S28" s="81">
        <f t="array" ref="S28">VLOOKUP(B28,cgpi!$A$8:$K953,2,FALSE)</f>
        <v>9.15</v>
      </c>
      <c r="T28" s="89">
        <f t="array" ref="T28">VLOOKUP(B28,cgpi!$A$8:$K953,3,FALSE)</f>
        <v>9.3000000000000007</v>
      </c>
      <c r="U28" s="89">
        <f t="array" ref="U28">VLOOKUP(B28,cgpi!$A$8:$K953,4,FALSE)</f>
        <v>9.6199999999999992</v>
      </c>
      <c r="V28" s="89">
        <f t="array" ref="V28">VLOOKUP(B28,cgpi!$A$8:$K953,5,FALSE)</f>
        <v>9.42</v>
      </c>
      <c r="W28" s="89">
        <f t="array" ref="W28">VLOOKUP(B28,cgpi!$A$8:$K953,6,FALSE)</f>
        <v>9.43</v>
      </c>
      <c r="X28" s="89">
        <f t="array" ref="X28">VLOOKUP(B28,cgpi!$A$8:$K953,7,FALSE)</f>
        <v>9.25</v>
      </c>
      <c r="Y28" s="89">
        <f t="array" ref="Y28">VLOOKUP(B28,cgpi!$A$8:$K953,8,FALSE)</f>
        <v>9.81</v>
      </c>
      <c r="Z28" s="89">
        <f t="array" ref="Z28">VLOOKUP(B28,cgpi!$A$8:$K953,9,FALSE)</f>
        <v>10</v>
      </c>
      <c r="AA28" s="89">
        <f t="array" ref="AA28">VLOOKUP(B28,cgpi!$A$8:$K953,10,FALSE)</f>
        <v>9.48</v>
      </c>
      <c r="AB28" s="89">
        <f t="array" ref="AB28">VLOOKUP(B28,cgpi!$A$8:$K953,11,FALSE)</f>
        <v>9.91</v>
      </c>
    </row>
    <row r="29" spans="1:28" ht="27.75" customHeight="1">
      <c r="A29" s="120">
        <v>22</v>
      </c>
      <c r="B29" s="121">
        <v>2019120065</v>
      </c>
      <c r="C29" s="51" t="str">
        <f t="array" ref="C29">VLOOKUP(B29,studentnames!$A$6:$B953,2,FALSE)</f>
        <v>THOSAR KESHAV JAY RADHA</v>
      </c>
      <c r="D29" s="84">
        <f ca="1">IFERROR(__xludf.DUMMYFUNCTION("(VLOOKUP(B28,{(IMPORTRANGE(""https://docs.google.com/spreadsheets/d/1cjt68fhNJBrRR8pXXWW-AMp68sqMSBhntXfqnUrHmJs/edit#gid=2068900151"",""EXTC-Final Marks!B11:J50""))},7,FALSE))"),90.9523809523809)</f>
        <v>90.952380952380906</v>
      </c>
      <c r="E29" s="84" t="str">
        <f ca="1">IFERROR(__xludf.DUMMYFUNCTION("(VLOOKUP(B28,{(IMPORTRANGE(""https://docs.google.com/spreadsheets/d/1cjt68fhNJBrRR8pXXWW-AMp68sqMSBhntXfqnUrHmJs/edit#gid=2068900151"",""EXTC-Final Marks!B11:J50""))},9,FALSE))"),"O")</f>
        <v>O</v>
      </c>
      <c r="F29" s="87">
        <v>15</v>
      </c>
      <c r="G29" s="82">
        <f t="shared" ca="1" si="0"/>
        <v>10</v>
      </c>
      <c r="H29" s="82">
        <f t="shared" ca="1" si="1"/>
        <v>150</v>
      </c>
      <c r="I29" s="87">
        <f ca="1">IFERROR(__xludf.DUMMYFUNCTION("(VLOOKUP(B28,{(IMPORTRANGE(""https://docs.google.com/spreadsheets/d/1bhPzFUTLMV7e35kNXQBjHBx0hnSRtnD8lSPi2nGpa7Y/edit#gid=1774387053"",""BE EXTC!B11:E91""))},4,FALSE))"),94)</f>
        <v>94</v>
      </c>
      <c r="J29" s="86" t="str">
        <f t="shared" ca="1" si="8"/>
        <v>O</v>
      </c>
      <c r="K29" s="87">
        <v>1</v>
      </c>
      <c r="L29" s="82">
        <f t="shared" ca="1" si="3"/>
        <v>10</v>
      </c>
      <c r="M29" s="80">
        <f t="shared" ca="1" si="4"/>
        <v>10</v>
      </c>
      <c r="N29" s="87">
        <v>16</v>
      </c>
      <c r="O29" s="87">
        <f t="shared" si="5"/>
        <v>16</v>
      </c>
      <c r="P29" s="87">
        <f t="shared" ca="1" si="6"/>
        <v>160</v>
      </c>
      <c r="Q29" s="126">
        <f t="shared" ca="1" si="7"/>
        <v>10</v>
      </c>
      <c r="R29" s="80" t="s">
        <v>35</v>
      </c>
      <c r="S29" s="81">
        <f t="array" ref="S29">VLOOKUP(B29,cgpi!$A$8:$K953,2,FALSE)</f>
        <v>8.85</v>
      </c>
      <c r="T29" s="89">
        <f t="array" ref="T29">VLOOKUP(B29,cgpi!$A$8:$K953,3,FALSE)</f>
        <v>9.4499999999999993</v>
      </c>
      <c r="U29" s="89">
        <f t="array" ref="U29">VLOOKUP(B29,cgpi!$A$8:$K953,4,FALSE)</f>
        <v>9.43</v>
      </c>
      <c r="V29" s="89">
        <f t="array" ref="V29">VLOOKUP(B29,cgpi!$A$8:$K953,5,FALSE)</f>
        <v>9.2100000000000009</v>
      </c>
      <c r="W29" s="89">
        <f t="array" ref="W29">VLOOKUP(B29,cgpi!$A$8:$K953,6,FALSE)</f>
        <v>7.71</v>
      </c>
      <c r="X29" s="89">
        <f t="array" ref="X29">VLOOKUP(B29,cgpi!$A$8:$K953,7,FALSE)</f>
        <v>8.3000000000000007</v>
      </c>
      <c r="Y29" s="89">
        <f t="array" ref="Y29">VLOOKUP(B29,cgpi!$A$8:$K953,8,FALSE)</f>
        <v>9.44</v>
      </c>
      <c r="Z29" s="89">
        <f t="array" ref="Z29">VLOOKUP(B29,cgpi!$A$8:$K953,9,FALSE)</f>
        <v>10</v>
      </c>
      <c r="AA29" s="89">
        <f t="array" ref="AA29">VLOOKUP(B29,cgpi!$A$8:$K953,10,FALSE)</f>
        <v>9.01</v>
      </c>
      <c r="AB29" s="89">
        <f t="array" ref="AB29">VLOOKUP(B29,cgpi!$A$8:$K953,11,FALSE)</f>
        <v>9.7200000000000006</v>
      </c>
    </row>
    <row r="30" spans="1:28" ht="27.75" customHeight="1">
      <c r="A30" s="120">
        <v>23</v>
      </c>
      <c r="B30" s="121">
        <v>2019120066</v>
      </c>
      <c r="C30" s="51" t="str">
        <f t="array" ref="C30">VLOOKUP(B30,studentnames!$A$6:$B953,2,FALSE)</f>
        <v>TIWARI PRANAY DHARMENDRA</v>
      </c>
      <c r="D30" s="84">
        <f ca="1">IFERROR(__xludf.DUMMYFUNCTION("(VLOOKUP(B29,{(IMPORTRANGE(""https://docs.google.com/spreadsheets/d/1cjt68fhNJBrRR8pXXWW-AMp68sqMSBhntXfqnUrHmJs/edit#gid=2068900151"",""EXTC-Final Marks!B11:J50""))},7,FALSE))"),80.7619047619047)</f>
        <v>80.761904761904702</v>
      </c>
      <c r="E30" s="84" t="str">
        <f ca="1">IFERROR(__xludf.DUMMYFUNCTION("(VLOOKUP(B29,{(IMPORTRANGE(""https://docs.google.com/spreadsheets/d/1cjt68fhNJBrRR8pXXWW-AMp68sqMSBhntXfqnUrHmJs/edit#gid=2068900151"",""EXTC-Final Marks!B11:J50""))},9,FALSE))"),"O")</f>
        <v>O</v>
      </c>
      <c r="F30" s="87">
        <v>15</v>
      </c>
      <c r="G30" s="82">
        <f t="shared" ca="1" si="0"/>
        <v>10</v>
      </c>
      <c r="H30" s="82">
        <f t="shared" ca="1" si="1"/>
        <v>150</v>
      </c>
      <c r="I30" s="87">
        <f ca="1">IFERROR(__xludf.DUMMYFUNCTION("(VLOOKUP(B29,{(IMPORTRANGE(""https://docs.google.com/spreadsheets/d/1bhPzFUTLMV7e35kNXQBjHBx0hnSRtnD8lSPi2nGpa7Y/edit#gid=1774387053"",""BE EXTC!B11:E91""))},4,FALSE))"),83)</f>
        <v>83</v>
      </c>
      <c r="J30" s="86" t="str">
        <f t="shared" ca="1" si="8"/>
        <v>O</v>
      </c>
      <c r="K30" s="87">
        <v>1</v>
      </c>
      <c r="L30" s="82">
        <f t="shared" ca="1" si="3"/>
        <v>10</v>
      </c>
      <c r="M30" s="80">
        <f t="shared" ca="1" si="4"/>
        <v>10</v>
      </c>
      <c r="N30" s="87">
        <v>16</v>
      </c>
      <c r="O30" s="87">
        <f t="shared" si="5"/>
        <v>16</v>
      </c>
      <c r="P30" s="87">
        <f t="shared" ca="1" si="6"/>
        <v>160</v>
      </c>
      <c r="Q30" s="126">
        <f t="shared" ca="1" si="7"/>
        <v>10</v>
      </c>
      <c r="R30" s="80" t="s">
        <v>35</v>
      </c>
      <c r="S30" s="81">
        <f t="array" ref="S30">VLOOKUP(B30,cgpi!$A$8:$K953,2,FALSE)</f>
        <v>6.15</v>
      </c>
      <c r="T30" s="89">
        <f t="array" ref="T30">VLOOKUP(B30,cgpi!$A$8:$K953,3,FALSE)</f>
        <v>7.6</v>
      </c>
      <c r="U30" s="89">
        <f t="array" ref="U30">VLOOKUP(B30,cgpi!$A$8:$K953,4,FALSE)</f>
        <v>9.14</v>
      </c>
      <c r="V30" s="89">
        <f t="array" ref="V30">VLOOKUP(B30,cgpi!$A$8:$K953,5,FALSE)</f>
        <v>7.89</v>
      </c>
      <c r="W30" s="89">
        <f t="array" ref="W30">VLOOKUP(B30,cgpi!$A$8:$K953,6,FALSE)</f>
        <v>7.81</v>
      </c>
      <c r="X30" s="89">
        <f t="array" ref="X30">VLOOKUP(B30,cgpi!$A$8:$K953,7,FALSE)</f>
        <v>6.35</v>
      </c>
      <c r="Y30" s="89">
        <f t="array" ref="Y30">VLOOKUP(B30,cgpi!$A$8:$K953,8,FALSE)</f>
        <v>6.44</v>
      </c>
      <c r="Z30" s="89">
        <f t="array" ref="Z30">VLOOKUP(B30,cgpi!$A$8:$K953,9,FALSE)</f>
        <v>10</v>
      </c>
      <c r="AA30" s="89">
        <f t="array" ref="AA30">VLOOKUP(B30,cgpi!$A$8:$K953,10,FALSE)</f>
        <v>7.65</v>
      </c>
      <c r="AB30" s="89">
        <f t="array" ref="AB30">VLOOKUP(B30,cgpi!$A$8:$K953,11,FALSE)</f>
        <v>8.2200000000000006</v>
      </c>
    </row>
    <row r="31" spans="1:28" ht="27.75" customHeight="1">
      <c r="A31" s="120">
        <v>24</v>
      </c>
      <c r="B31" s="121">
        <v>2020201064</v>
      </c>
      <c r="C31" s="51" t="str">
        <f t="array" ref="C31">VLOOKUP(B31,studentnames!$A$6:$B953,2,FALSE)</f>
        <v>GODAMBE MANDAR RAJENDRA JAYSHREE</v>
      </c>
      <c r="D31" s="84">
        <f ca="1">IFERROR(__xludf.DUMMYFUNCTION("(VLOOKUP(B30,{(IMPORTRANGE(""https://docs.google.com/spreadsheets/d/1cjt68fhNJBrRR8pXXWW-AMp68sqMSBhntXfqnUrHmJs/edit#gid=2068900151"",""EXTC-Final Marks!B11:J50""))},7,FALSE))"),85.1428571428571)</f>
        <v>85.142857142857096</v>
      </c>
      <c r="E31" s="84" t="str">
        <f ca="1">IFERROR(__xludf.DUMMYFUNCTION("(VLOOKUP(B30,{(IMPORTRANGE(""https://docs.google.com/spreadsheets/d/1cjt68fhNJBrRR8pXXWW-AMp68sqMSBhntXfqnUrHmJs/edit#gid=2068900151"",""EXTC-Final Marks!B11:J50""))},9,FALSE))"),"O")</f>
        <v>O</v>
      </c>
      <c r="F31" s="87">
        <v>15</v>
      </c>
      <c r="G31" s="82">
        <f t="shared" ca="1" si="0"/>
        <v>10</v>
      </c>
      <c r="H31" s="82">
        <f t="shared" ca="1" si="1"/>
        <v>150</v>
      </c>
      <c r="I31" s="87">
        <f ca="1">IFERROR(__xludf.DUMMYFUNCTION("(VLOOKUP(B30,{(IMPORTRANGE(""https://docs.google.com/spreadsheets/d/1bhPzFUTLMV7e35kNXQBjHBx0hnSRtnD8lSPi2nGpa7Y/edit#gid=1774387053"",""BE EXTC!B11:E91""))},4,FALSE))"),88)</f>
        <v>88</v>
      </c>
      <c r="J31" s="86" t="str">
        <f t="shared" ca="1" si="8"/>
        <v>O</v>
      </c>
      <c r="K31" s="87">
        <v>1</v>
      </c>
      <c r="L31" s="82">
        <f t="shared" ca="1" si="3"/>
        <v>10</v>
      </c>
      <c r="M31" s="80">
        <f t="shared" ca="1" si="4"/>
        <v>10</v>
      </c>
      <c r="N31" s="87">
        <v>16</v>
      </c>
      <c r="O31" s="87">
        <f t="shared" si="5"/>
        <v>16</v>
      </c>
      <c r="P31" s="87">
        <f t="shared" ca="1" si="6"/>
        <v>160</v>
      </c>
      <c r="Q31" s="126">
        <f t="shared" ca="1" si="7"/>
        <v>10</v>
      </c>
      <c r="R31" s="80" t="s">
        <v>35</v>
      </c>
      <c r="S31" s="81" t="s">
        <v>152</v>
      </c>
      <c r="T31" s="89" t="s">
        <v>152</v>
      </c>
      <c r="U31" s="89">
        <f t="array" ref="U31">VLOOKUP(B31,cgpi!$A$8:$K953,4,FALSE)</f>
        <v>9.81</v>
      </c>
      <c r="V31" s="89">
        <f t="array" ref="V31">VLOOKUP(B31,cgpi!$A$8:$K953,5,FALSE)</f>
        <v>9.24</v>
      </c>
      <c r="W31" s="89">
        <f t="array" ref="W31">VLOOKUP(B31,cgpi!$A$8:$K953,6,FALSE)</f>
        <v>8.86</v>
      </c>
      <c r="X31" s="89">
        <f t="array" ref="X31">VLOOKUP(B31,cgpi!$A$8:$K953,7,FALSE)</f>
        <v>7.6</v>
      </c>
      <c r="Y31" s="89">
        <f t="array" ref="Y31">VLOOKUP(B31,cgpi!$A$8:$K953,8,FALSE)</f>
        <v>8.44</v>
      </c>
      <c r="Z31" s="89">
        <f t="array" ref="Z31">VLOOKUP(B31,cgpi!$A$8:$K953,9,FALSE)</f>
        <v>10</v>
      </c>
      <c r="AA31" s="89">
        <f t="array" ref="AA31">VLOOKUP(B31,cgpi!$A$8:$K953,10,FALSE)</f>
        <v>8.99</v>
      </c>
      <c r="AB31" s="89">
        <f t="array" ref="AB31">VLOOKUP(B31,cgpi!$A$8:$K953,11,FALSE)</f>
        <v>9.2200000000000006</v>
      </c>
    </row>
    <row r="32" spans="1:28" ht="27.75" customHeight="1">
      <c r="A32" s="120">
        <v>25</v>
      </c>
      <c r="B32" s="121">
        <v>2020201067</v>
      </c>
      <c r="C32" s="51" t="str">
        <f t="array" ref="C32">VLOOKUP(B32,studentnames!$A$6:$B953,2,FALSE)</f>
        <v>/ KALE PURVA VISHWAS VISHAKHA</v>
      </c>
      <c r="D32" s="84">
        <f ca="1">IFERROR(__xludf.DUMMYFUNCTION("(VLOOKUP(B31,{(IMPORTRANGE(""https://docs.google.com/spreadsheets/d/1cjt68fhNJBrRR8pXXWW-AMp68sqMSBhntXfqnUrHmJs/edit#gid=2068900151"",""EXTC-Final Marks!B11:J50""))},7,FALSE))"),84.8571428571428)</f>
        <v>84.857142857142804</v>
      </c>
      <c r="E32" s="84" t="str">
        <f ca="1">IFERROR(__xludf.DUMMYFUNCTION("(VLOOKUP(B31,{(IMPORTRANGE(""https://docs.google.com/spreadsheets/d/1cjt68fhNJBrRR8pXXWW-AMp68sqMSBhntXfqnUrHmJs/edit#gid=2068900151"",""EXTC-Final Marks!B11:J50""))},9,FALSE))"),"O")</f>
        <v>O</v>
      </c>
      <c r="F32" s="87">
        <v>15</v>
      </c>
      <c r="G32" s="82">
        <f t="shared" ca="1" si="0"/>
        <v>10</v>
      </c>
      <c r="H32" s="82">
        <f t="shared" ca="1" si="1"/>
        <v>150</v>
      </c>
      <c r="I32" s="87">
        <f ca="1">IFERROR(__xludf.DUMMYFUNCTION("(VLOOKUP(B31,{(IMPORTRANGE(""https://docs.google.com/spreadsheets/d/1bhPzFUTLMV7e35kNXQBjHBx0hnSRtnD8lSPi2nGpa7Y/edit#gid=1774387053"",""BE EXTC!B11:E91""))},4,FALSE))"),94)</f>
        <v>94</v>
      </c>
      <c r="J32" s="86" t="str">
        <f t="shared" ca="1" si="8"/>
        <v>O</v>
      </c>
      <c r="K32" s="87">
        <v>1</v>
      </c>
      <c r="L32" s="82">
        <f t="shared" ca="1" si="3"/>
        <v>10</v>
      </c>
      <c r="M32" s="80">
        <f t="shared" ca="1" si="4"/>
        <v>10</v>
      </c>
      <c r="N32" s="87">
        <v>16</v>
      </c>
      <c r="O32" s="87">
        <f t="shared" si="5"/>
        <v>16</v>
      </c>
      <c r="P32" s="87">
        <f t="shared" ca="1" si="6"/>
        <v>160</v>
      </c>
      <c r="Q32" s="126">
        <f t="shared" ca="1" si="7"/>
        <v>10</v>
      </c>
      <c r="R32" s="80" t="s">
        <v>35</v>
      </c>
      <c r="S32" s="81" t="s">
        <v>152</v>
      </c>
      <c r="T32" s="89" t="s">
        <v>152</v>
      </c>
      <c r="U32" s="89">
        <f t="array" ref="U32">VLOOKUP(B32,cgpi!$A$8:$K953,4,FALSE)</f>
        <v>9.6199999999999992</v>
      </c>
      <c r="V32" s="89">
        <f t="array" ref="V32">VLOOKUP(B32,cgpi!$A$8:$K953,5,FALSE)</f>
        <v>8.9600000000000009</v>
      </c>
      <c r="W32" s="89">
        <f t="array" ref="W32">VLOOKUP(B32,cgpi!$A$8:$K953,6,FALSE)</f>
        <v>8.9499999999999993</v>
      </c>
      <c r="X32" s="89">
        <f t="array" ref="X32">VLOOKUP(B32,cgpi!$A$8:$K953,7,FALSE)</f>
        <v>8.4</v>
      </c>
      <c r="Y32" s="89">
        <f t="array" ref="Y32">VLOOKUP(B32,cgpi!$A$8:$K953,8,FALSE)</f>
        <v>9.44</v>
      </c>
      <c r="Z32" s="89">
        <f t="array" ref="Z32">VLOOKUP(B32,cgpi!$A$8:$K953,9,FALSE)</f>
        <v>10</v>
      </c>
      <c r="AA32" s="89">
        <f t="array" ref="AA32">VLOOKUP(B32,cgpi!$A$8:$K953,10,FALSE)</f>
        <v>9.18</v>
      </c>
      <c r="AB32" s="89">
        <f t="array" ref="AB32">VLOOKUP(B32,cgpi!$A$8:$K953,11,FALSE)</f>
        <v>9.7200000000000006</v>
      </c>
    </row>
    <row r="33" spans="1:28" ht="27.75" customHeight="1">
      <c r="A33" s="120">
        <v>26</v>
      </c>
      <c r="B33" s="121">
        <v>2020201068</v>
      </c>
      <c r="C33" s="51" t="str">
        <f t="array" ref="C33">VLOOKUP(B33,studentnames!$A$6:$B953,2,FALSE)</f>
        <v>MHATRE KAUSTUBH JANARDAN JYOTI</v>
      </c>
      <c r="D33" s="84">
        <f ca="1">IFERROR(__xludf.DUMMYFUNCTION("(VLOOKUP(B32,{(IMPORTRANGE(""https://docs.google.com/spreadsheets/d/1cjt68fhNJBrRR8pXXWW-AMp68sqMSBhntXfqnUrHmJs/edit#gid=2068900151"",""EXTC-Final Marks!B11:J50""))},7,FALSE))"),79.1428571428571)</f>
        <v>79.142857142857096</v>
      </c>
      <c r="E33" s="84" t="str">
        <f ca="1">IFERROR(__xludf.DUMMYFUNCTION("(VLOOKUP(B32,{(IMPORTRANGE(""https://docs.google.com/spreadsheets/d/1cjt68fhNJBrRR8pXXWW-AMp68sqMSBhntXfqnUrHmJs/edit#gid=2068900151"",""EXTC-Final Marks!B11:J50""))},9,FALSE))"),"A")</f>
        <v>A</v>
      </c>
      <c r="F33" s="87">
        <v>15</v>
      </c>
      <c r="G33" s="82">
        <f t="shared" ca="1" si="0"/>
        <v>9</v>
      </c>
      <c r="H33" s="82">
        <f t="shared" ca="1" si="1"/>
        <v>135</v>
      </c>
      <c r="I33" s="87">
        <f ca="1">IFERROR(__xludf.DUMMYFUNCTION("(VLOOKUP(B32,{(IMPORTRANGE(""https://docs.google.com/spreadsheets/d/1bhPzFUTLMV7e35kNXQBjHBx0hnSRtnD8lSPi2nGpa7Y/edit#gid=1774387053"",""BE EXTC!B11:E91""))},4,FALSE))"),94)</f>
        <v>94</v>
      </c>
      <c r="J33" s="86" t="str">
        <f t="shared" ca="1" si="8"/>
        <v>O</v>
      </c>
      <c r="K33" s="87">
        <v>1</v>
      </c>
      <c r="L33" s="82">
        <f t="shared" ca="1" si="3"/>
        <v>10</v>
      </c>
      <c r="M33" s="80">
        <f t="shared" ca="1" si="4"/>
        <v>10</v>
      </c>
      <c r="N33" s="87">
        <v>16</v>
      </c>
      <c r="O33" s="87">
        <f t="shared" si="5"/>
        <v>16</v>
      </c>
      <c r="P33" s="87">
        <f t="shared" ca="1" si="6"/>
        <v>145</v>
      </c>
      <c r="Q33" s="126">
        <f t="shared" ca="1" si="7"/>
        <v>9.0625</v>
      </c>
      <c r="R33" s="80" t="s">
        <v>35</v>
      </c>
      <c r="S33" s="81" t="s">
        <v>152</v>
      </c>
      <c r="T33" s="89" t="s">
        <v>152</v>
      </c>
      <c r="U33" s="89">
        <f t="array" ref="U33">VLOOKUP(B33,cgpi!$A$8:$K953,4,FALSE)</f>
        <v>9.6199999999999992</v>
      </c>
      <c r="V33" s="89">
        <f t="array" ref="V33">VLOOKUP(B33,cgpi!$A$8:$K953,5,FALSE)</f>
        <v>8.92</v>
      </c>
      <c r="W33" s="89">
        <f t="array" ref="W33">VLOOKUP(B33,cgpi!$A$8:$K953,6,FALSE)</f>
        <v>8.86</v>
      </c>
      <c r="X33" s="89">
        <f t="array" ref="X33">VLOOKUP(B33,cgpi!$A$8:$K953,7,FALSE)</f>
        <v>7.85</v>
      </c>
      <c r="Y33" s="89">
        <f t="array" ref="Y33">VLOOKUP(B33,cgpi!$A$8:$K953,8,FALSE)</f>
        <v>8.5</v>
      </c>
      <c r="Z33" s="89">
        <f t="array" ref="Z33">VLOOKUP(B33,cgpi!$A$8:$K953,9,FALSE)</f>
        <v>9.06</v>
      </c>
      <c r="AA33" s="89">
        <f t="array" ref="AA33">VLOOKUP(B33,cgpi!$A$8:$K953,10,FALSE)</f>
        <v>8.82</v>
      </c>
      <c r="AB33" s="89">
        <f t="array" ref="AB33">VLOOKUP(B33,cgpi!$A$8:$K953,11,FALSE)</f>
        <v>8.7799999999999994</v>
      </c>
    </row>
    <row r="34" spans="1:28" ht="27.75" customHeight="1">
      <c r="A34" s="120">
        <v>27</v>
      </c>
      <c r="B34" s="121">
        <v>2020201069</v>
      </c>
      <c r="C34" s="51" t="str">
        <f t="array" ref="C34">VLOOKUP(B34,studentnames!$A$6:$B953,2,FALSE)</f>
        <v>/ MISHRA SHRADDHA SANTOSH SARITA</v>
      </c>
      <c r="D34" s="84">
        <f ca="1">IFERROR(__xludf.DUMMYFUNCTION("(VLOOKUP(B33,{(IMPORTRANGE(""https://docs.google.com/spreadsheets/d/1cjt68fhNJBrRR8pXXWW-AMp68sqMSBhntXfqnUrHmJs/edit#gid=2068900151"",""EXTC-Final Marks!B11:J50""))},7,FALSE))"),75.5238095238095)</f>
        <v>75.523809523809504</v>
      </c>
      <c r="E34" s="84" t="str">
        <f ca="1">IFERROR(__xludf.DUMMYFUNCTION("(VLOOKUP(B33,{(IMPORTRANGE(""https://docs.google.com/spreadsheets/d/1cjt68fhNJBrRR8pXXWW-AMp68sqMSBhntXfqnUrHmJs/edit#gid=2068900151"",""EXTC-Final Marks!B11:J50""))},9,FALSE))"),"A")</f>
        <v>A</v>
      </c>
      <c r="F34" s="87">
        <v>15</v>
      </c>
      <c r="G34" s="82">
        <f t="shared" ca="1" si="0"/>
        <v>9</v>
      </c>
      <c r="H34" s="82">
        <f t="shared" ca="1" si="1"/>
        <v>135</v>
      </c>
      <c r="I34" s="87">
        <f ca="1">IFERROR(__xludf.DUMMYFUNCTION("(VLOOKUP(B33,{(IMPORTRANGE(""https://docs.google.com/spreadsheets/d/1bhPzFUTLMV7e35kNXQBjHBx0hnSRtnD8lSPi2nGpa7Y/edit#gid=1774387053"",""BE EXTC!B11:E91""))},4,FALSE))"),80)</f>
        <v>80</v>
      </c>
      <c r="J34" s="86" t="str">
        <f t="shared" ca="1" si="8"/>
        <v>O</v>
      </c>
      <c r="K34" s="87">
        <v>1</v>
      </c>
      <c r="L34" s="82">
        <f t="shared" ca="1" si="3"/>
        <v>10</v>
      </c>
      <c r="M34" s="80">
        <f t="shared" ca="1" si="4"/>
        <v>10</v>
      </c>
      <c r="N34" s="87">
        <v>16</v>
      </c>
      <c r="O34" s="87">
        <f t="shared" si="5"/>
        <v>16</v>
      </c>
      <c r="P34" s="87">
        <f t="shared" ca="1" si="6"/>
        <v>145</v>
      </c>
      <c r="Q34" s="126">
        <f t="shared" ca="1" si="7"/>
        <v>9.0625</v>
      </c>
      <c r="R34" s="80" t="s">
        <v>35</v>
      </c>
      <c r="S34" s="81" t="s">
        <v>152</v>
      </c>
      <c r="T34" s="89" t="s">
        <v>152</v>
      </c>
      <c r="U34" s="89">
        <f t="array" ref="U34">VLOOKUP(B34,cgpi!$A$8:$K953,4,FALSE)</f>
        <v>7.81</v>
      </c>
      <c r="V34" s="89">
        <f t="array" ref="V34">VLOOKUP(B34,cgpi!$A$8:$K953,5,FALSE)</f>
        <v>7.2</v>
      </c>
      <c r="W34" s="89">
        <f t="array" ref="W34">VLOOKUP(B34,cgpi!$A$8:$K953,6,FALSE)</f>
        <v>7.43</v>
      </c>
      <c r="X34" s="89">
        <f t="array" ref="X34">VLOOKUP(B34,cgpi!$A$8:$K953,7,FALSE)</f>
        <v>7.75</v>
      </c>
      <c r="Y34" s="89">
        <f t="array" ref="Y34">VLOOKUP(B34,cgpi!$A$8:$K953,8,FALSE)</f>
        <v>7.56</v>
      </c>
      <c r="Z34" s="89">
        <f t="array" ref="Z34">VLOOKUP(B34,cgpi!$A$8:$K953,9,FALSE)</f>
        <v>9.06</v>
      </c>
      <c r="AA34" s="89">
        <f t="array" ref="AA34">VLOOKUP(B34,cgpi!$A$8:$K953,10,FALSE)</f>
        <v>7.74</v>
      </c>
      <c r="AB34" s="89">
        <f t="array" ref="AB34">VLOOKUP(B34,cgpi!$A$8:$K953,11,FALSE)</f>
        <v>8.31</v>
      </c>
    </row>
    <row r="35" spans="1:28" ht="27.75" customHeight="1">
      <c r="A35" s="120">
        <v>28</v>
      </c>
      <c r="B35" s="121">
        <v>2020201073</v>
      </c>
      <c r="C35" s="51" t="str">
        <f t="array" ref="C35">VLOOKUP(B35,studentnames!$A$6:$B953,2,FALSE)</f>
        <v>/ SHINDE SARVESHA RAJENDRA DEEPA</v>
      </c>
      <c r="D35" s="84">
        <f ca="1">IFERROR(__xludf.DUMMYFUNCTION("(VLOOKUP(B34,{(IMPORTRANGE(""https://docs.google.com/spreadsheets/d/1cjt68fhNJBrRR8pXXWW-AMp68sqMSBhntXfqnUrHmJs/edit#gid=2068900151"",""EXTC-Final Marks!B11:J50""))},7,FALSE))"),81.047619047619)</f>
        <v>81.047619047618994</v>
      </c>
      <c r="E35" s="84" t="str">
        <f ca="1">IFERROR(__xludf.DUMMYFUNCTION("(VLOOKUP(B34,{(IMPORTRANGE(""https://docs.google.com/spreadsheets/d/1cjt68fhNJBrRR8pXXWW-AMp68sqMSBhntXfqnUrHmJs/edit#gid=2068900151"",""EXTC-Final Marks!B11:J50""))},9,FALSE))"),"O")</f>
        <v>O</v>
      </c>
      <c r="F35" s="87">
        <v>15</v>
      </c>
      <c r="G35" s="82">
        <f t="shared" ca="1" si="0"/>
        <v>10</v>
      </c>
      <c r="H35" s="82">
        <f t="shared" ca="1" si="1"/>
        <v>150</v>
      </c>
      <c r="I35" s="87">
        <f ca="1">IFERROR(__xludf.DUMMYFUNCTION("(VLOOKUP(B34,{(IMPORTRANGE(""https://docs.google.com/spreadsheets/d/1bhPzFUTLMV7e35kNXQBjHBx0hnSRtnD8lSPi2nGpa7Y/edit#gid=1774387053"",""BE EXTC!B11:E91""))},4,FALSE))"),93)</f>
        <v>93</v>
      </c>
      <c r="J35" s="86" t="str">
        <f t="shared" ca="1" si="8"/>
        <v>O</v>
      </c>
      <c r="K35" s="87">
        <v>1</v>
      </c>
      <c r="L35" s="82">
        <f t="shared" ca="1" si="3"/>
        <v>10</v>
      </c>
      <c r="M35" s="80">
        <f t="shared" ca="1" si="4"/>
        <v>10</v>
      </c>
      <c r="N35" s="87">
        <v>16</v>
      </c>
      <c r="O35" s="87">
        <f t="shared" si="5"/>
        <v>16</v>
      </c>
      <c r="P35" s="87">
        <f t="shared" ca="1" si="6"/>
        <v>160</v>
      </c>
      <c r="Q35" s="126">
        <f t="shared" ca="1" si="7"/>
        <v>10</v>
      </c>
      <c r="R35" s="80" t="s">
        <v>35</v>
      </c>
      <c r="S35" s="81" t="s">
        <v>152</v>
      </c>
      <c r="T35" s="89" t="s">
        <v>152</v>
      </c>
      <c r="U35" s="89">
        <f t="array" ref="U35">VLOOKUP(B35,cgpi!$A$8:$K953,4,FALSE)</f>
        <v>9.6199999999999992</v>
      </c>
      <c r="V35" s="89">
        <f t="array" ref="V35">VLOOKUP(B35,cgpi!$A$8:$K953,5,FALSE)</f>
        <v>9.7200000000000006</v>
      </c>
      <c r="W35" s="89">
        <f t="array" ref="W35">VLOOKUP(B35,cgpi!$A$8:$K953,6,FALSE)</f>
        <v>8.86</v>
      </c>
      <c r="X35" s="89">
        <f t="array" ref="X35">VLOOKUP(B35,cgpi!$A$8:$K953,7,FALSE)</f>
        <v>8.1</v>
      </c>
      <c r="Y35" s="89">
        <f t="array" ref="Y35">VLOOKUP(B35,cgpi!$A$8:$K953,8,FALSE)</f>
        <v>8.8800000000000008</v>
      </c>
      <c r="Z35" s="89">
        <f t="array" ref="Z35">VLOOKUP(B35,cgpi!$A$8:$K953,9,FALSE)</f>
        <v>10</v>
      </c>
      <c r="AA35" s="89">
        <f t="array" ref="AA35">VLOOKUP(B35,cgpi!$A$8:$K953,10,FALSE)</f>
        <v>9.1999999999999993</v>
      </c>
      <c r="AB35" s="89">
        <f t="array" ref="AB35">VLOOKUP(B35,cgpi!$A$8:$K953,11,FALSE)</f>
        <v>9.44</v>
      </c>
    </row>
    <row r="36" spans="1:28" ht="27.75" customHeight="1">
      <c r="A36" s="120">
        <v>29</v>
      </c>
      <c r="B36" s="121">
        <v>2020201074</v>
      </c>
      <c r="C36" s="51" t="str">
        <f t="array" ref="C36">VLOOKUP(B36,studentnames!$A$6:$B953,2,FALSE)</f>
        <v>/ THORAT RUTUJA RAMESH KALPANA</v>
      </c>
      <c r="D36" s="84">
        <f ca="1">IFERROR(__xludf.DUMMYFUNCTION("(VLOOKUP(B35,{(IMPORTRANGE(""https://docs.google.com/spreadsheets/d/1cjt68fhNJBrRR8pXXWW-AMp68sqMSBhntXfqnUrHmJs/edit#gid=2068900151"",""EXTC-Final Marks!B11:J50""))},7,FALSE))"),82.1904761904761)</f>
        <v>82.190476190476105</v>
      </c>
      <c r="E36" s="84" t="str">
        <f ca="1">IFERROR(__xludf.DUMMYFUNCTION("(VLOOKUP(B35,{(IMPORTRANGE(""https://docs.google.com/spreadsheets/d/1cjt68fhNJBrRR8pXXWW-AMp68sqMSBhntXfqnUrHmJs/edit#gid=2068900151"",""EXTC-Final Marks!B11:J50""))},9,FALSE))"),"O")</f>
        <v>O</v>
      </c>
      <c r="F36" s="87">
        <v>15</v>
      </c>
      <c r="G36" s="82">
        <f t="shared" ca="1" si="0"/>
        <v>10</v>
      </c>
      <c r="H36" s="82">
        <f t="shared" ca="1" si="1"/>
        <v>150</v>
      </c>
      <c r="I36" s="87">
        <f ca="1">IFERROR(__xludf.DUMMYFUNCTION("(VLOOKUP(B35,{(IMPORTRANGE(""https://docs.google.com/spreadsheets/d/1bhPzFUTLMV7e35kNXQBjHBx0hnSRtnD8lSPi2nGpa7Y/edit#gid=1774387053"",""BE EXTC!B11:E91""))},4,FALSE))"),88)</f>
        <v>88</v>
      </c>
      <c r="J36" s="86" t="str">
        <f t="shared" ca="1" si="8"/>
        <v>O</v>
      </c>
      <c r="K36" s="87">
        <v>1</v>
      </c>
      <c r="L36" s="82">
        <f t="shared" ca="1" si="3"/>
        <v>10</v>
      </c>
      <c r="M36" s="80">
        <f t="shared" ca="1" si="4"/>
        <v>10</v>
      </c>
      <c r="N36" s="87">
        <v>16</v>
      </c>
      <c r="O36" s="87">
        <f t="shared" si="5"/>
        <v>16</v>
      </c>
      <c r="P36" s="87">
        <f t="shared" ca="1" si="6"/>
        <v>160</v>
      </c>
      <c r="Q36" s="126">
        <f t="shared" ca="1" si="7"/>
        <v>10</v>
      </c>
      <c r="R36" s="80" t="s">
        <v>35</v>
      </c>
      <c r="S36" s="81" t="s">
        <v>152</v>
      </c>
      <c r="T36" s="89" t="s">
        <v>152</v>
      </c>
      <c r="U36" s="89">
        <f t="array" ref="U36">VLOOKUP(B36,cgpi!$A$8:$K953,4,FALSE)</f>
        <v>9.6199999999999992</v>
      </c>
      <c r="V36" s="89">
        <f t="array" ref="V36">VLOOKUP(B36,cgpi!$A$8:$K953,5,FALSE)</f>
        <v>8.7200000000000006</v>
      </c>
      <c r="W36" s="89">
        <f t="array" ref="W36">VLOOKUP(B36,cgpi!$A$8:$K953,6,FALSE)</f>
        <v>8.3800000000000008</v>
      </c>
      <c r="X36" s="89">
        <f t="array" ref="X36">VLOOKUP(B36,cgpi!$A$8:$K953,7,FALSE)</f>
        <v>7.25</v>
      </c>
      <c r="Y36" s="89">
        <f t="array" ref="Y36">VLOOKUP(B36,cgpi!$A$8:$K953,8,FALSE)</f>
        <v>8.31</v>
      </c>
      <c r="Z36" s="89">
        <f t="array" ref="Z36">VLOOKUP(B36,cgpi!$A$8:$K953,9,FALSE)</f>
        <v>10</v>
      </c>
      <c r="AA36" s="89">
        <f t="array" ref="AA36">VLOOKUP(B36,cgpi!$A$8:$K953,10,FALSE)</f>
        <v>8.69</v>
      </c>
      <c r="AB36" s="89">
        <f t="array" ref="AB36">VLOOKUP(B36,cgpi!$A$8:$K953,11,FALSE)</f>
        <v>9.16</v>
      </c>
    </row>
    <row r="37" spans="1:28" ht="27.75" customHeight="1">
      <c r="A37" s="120">
        <v>30</v>
      </c>
      <c r="B37" s="121">
        <v>2018120014</v>
      </c>
      <c r="C37" s="51" t="str">
        <f t="array" ref="C37">VLOOKUP(B37,studentnames!$A$6:$B953,2,FALSE)</f>
        <v>CONTRACTOR VARUN MANOJ DARSHANA</v>
      </c>
      <c r="D37" s="84">
        <f ca="1">IFERROR(__xludf.DUMMYFUNCTION("(VLOOKUP(B36,{(IMPORTRANGE(""https://docs.google.com/spreadsheets/d/1cjt68fhNJBrRR8pXXWW-AMp68sqMSBhntXfqnUrHmJs/edit#gid=2068900151"",""EXTC-Final Marks!B11:J50""))},7,FALSE))"),81.9047619047619)</f>
        <v>81.904761904761898</v>
      </c>
      <c r="E37" s="84" t="str">
        <f ca="1">IFERROR(__xludf.DUMMYFUNCTION("(VLOOKUP(B36,{(IMPORTRANGE(""https://docs.google.com/spreadsheets/d/1cjt68fhNJBrRR8pXXWW-AMp68sqMSBhntXfqnUrHmJs/edit#gid=2068900151"",""EXTC-Final Marks!B11:J50""))},9,FALSE))"),"O")</f>
        <v>O</v>
      </c>
      <c r="F37" s="87">
        <v>15</v>
      </c>
      <c r="G37" s="82">
        <f t="shared" ca="1" si="0"/>
        <v>10</v>
      </c>
      <c r="H37" s="82">
        <f t="shared" ca="1" si="1"/>
        <v>150</v>
      </c>
      <c r="I37" s="87">
        <f ca="1">IFERROR(__xludf.DUMMYFUNCTION("(VLOOKUP(B36,{(IMPORTRANGE(""https://docs.google.com/spreadsheets/d/1bhPzFUTLMV7e35kNXQBjHBx0hnSRtnD8lSPi2nGpa7Y/edit#gid=1774387053"",""BE EXTC!B11:E91""))},4,FALSE))"),95)</f>
        <v>95</v>
      </c>
      <c r="J37" s="86" t="str">
        <f t="shared" ca="1" si="8"/>
        <v>O</v>
      </c>
      <c r="K37" s="87">
        <v>1</v>
      </c>
      <c r="L37" s="82">
        <f t="shared" ca="1" si="3"/>
        <v>10</v>
      </c>
      <c r="M37" s="80">
        <f t="shared" ca="1" si="4"/>
        <v>10</v>
      </c>
      <c r="N37" s="87">
        <v>16</v>
      </c>
      <c r="O37" s="87">
        <f t="shared" si="5"/>
        <v>16</v>
      </c>
      <c r="P37" s="87">
        <f t="shared" ca="1" si="6"/>
        <v>160</v>
      </c>
      <c r="Q37" s="126">
        <f t="shared" ca="1" si="7"/>
        <v>10</v>
      </c>
      <c r="R37" s="80" t="s">
        <v>35</v>
      </c>
      <c r="S37" s="81">
        <f t="array" ref="S37">VLOOKUP(B37,cgpi!$A$8:$K953,2,FALSE)</f>
        <v>5.35</v>
      </c>
      <c r="T37" s="89">
        <f t="array" ref="T37">VLOOKUP(B37,cgpi!$A$8:$K953,3,FALSE)</f>
        <v>5.09</v>
      </c>
      <c r="U37" s="89">
        <f t="array" ref="U37">VLOOKUP(B37,cgpi!$A$8:$K953,4,FALSE)</f>
        <v>8.86</v>
      </c>
      <c r="V37" s="89">
        <f t="array" ref="V37">VLOOKUP(B37,cgpi!$A$8:$K953,5,FALSE)</f>
        <v>6.58</v>
      </c>
      <c r="W37" s="89">
        <f t="array" ref="W37">VLOOKUP(B37,cgpi!$A$8:$K953,6,FALSE)</f>
        <v>6.48</v>
      </c>
      <c r="X37" s="89">
        <f t="array" ref="X37">VLOOKUP(B37,cgpi!$A$8:$K953,7,FALSE)</f>
        <v>5.45</v>
      </c>
      <c r="Y37" s="89">
        <f t="array" ref="Y37">VLOOKUP(B37,cgpi!$A$8:$K953,8,FALSE)</f>
        <v>6.25</v>
      </c>
      <c r="Z37" s="89">
        <f t="array" ref="Z37">VLOOKUP(B37,cgpi!$A$8:$K953,9,FALSE)</f>
        <v>10</v>
      </c>
      <c r="AA37" s="89">
        <f t="array" ref="AA37">VLOOKUP(B37,cgpi!$A$8:$K953,10,FALSE)</f>
        <v>6.64</v>
      </c>
      <c r="AB37" s="89">
        <f t="array" ref="AB37">VLOOKUP(B37,cgpi!$A$8:$K953,11,FALSE)</f>
        <v>8.1300000000000008</v>
      </c>
    </row>
    <row r="38" spans="1:28" ht="27.75" customHeight="1">
      <c r="A38" s="120">
        <v>31</v>
      </c>
      <c r="B38" s="121">
        <v>2018120016</v>
      </c>
      <c r="C38" s="51" t="str">
        <f t="array" ref="C38">VLOOKUP(B38,studentnames!$A$6:$B953,2,FALSE)</f>
        <v>DATTA SOHEL</v>
      </c>
      <c r="D38" s="84">
        <f ca="1">IFERROR(__xludf.DUMMYFUNCTION("(VLOOKUP(B37,{(IMPORTRANGE(""https://docs.google.com/spreadsheets/d/1cjt68fhNJBrRR8pXXWW-AMp68sqMSBhntXfqnUrHmJs/edit#gid=2068900151"",""EXTC-Final Marks!B11:J50""))},7,FALSE))"),80.2857142857142)</f>
        <v>80.285714285714207</v>
      </c>
      <c r="E38" s="84" t="str">
        <f ca="1">IFERROR(__xludf.DUMMYFUNCTION("(VLOOKUP(B37,{(IMPORTRANGE(""https://docs.google.com/spreadsheets/d/1cjt68fhNJBrRR8pXXWW-AMp68sqMSBhntXfqnUrHmJs/edit#gid=2068900151"",""EXTC-Final Marks!B11:J50""))},9,FALSE))"),"O")</f>
        <v>O</v>
      </c>
      <c r="F38" s="87">
        <v>15</v>
      </c>
      <c r="G38" s="82">
        <f t="shared" ca="1" si="0"/>
        <v>10</v>
      </c>
      <c r="H38" s="82">
        <f t="shared" ca="1" si="1"/>
        <v>150</v>
      </c>
      <c r="I38" s="87">
        <f ca="1">IFERROR(__xludf.DUMMYFUNCTION("(VLOOKUP(B37,{(IMPORTRANGE(""https://docs.google.com/spreadsheets/d/1bhPzFUTLMV7e35kNXQBjHBx0hnSRtnD8lSPi2nGpa7Y/edit#gid=1774387053"",""BE EXTC!B11:E91""))},4,FALSE))"),70)</f>
        <v>70</v>
      </c>
      <c r="J38" s="86" t="str">
        <f t="shared" ca="1" si="8"/>
        <v>B</v>
      </c>
      <c r="K38" s="87">
        <v>1</v>
      </c>
      <c r="L38" s="82">
        <f t="shared" ca="1" si="3"/>
        <v>8</v>
      </c>
      <c r="M38" s="80">
        <f t="shared" ca="1" si="4"/>
        <v>8</v>
      </c>
      <c r="N38" s="87">
        <v>16</v>
      </c>
      <c r="O38" s="87">
        <f t="shared" si="5"/>
        <v>16</v>
      </c>
      <c r="P38" s="87">
        <f t="shared" ca="1" si="6"/>
        <v>158</v>
      </c>
      <c r="Q38" s="126">
        <f t="shared" ca="1" si="7"/>
        <v>9.875</v>
      </c>
      <c r="R38" s="80" t="s">
        <v>35</v>
      </c>
      <c r="S38" s="81">
        <f t="array" ref="S38">VLOOKUP(B38,cgpi!$A$8:$K953,2,FALSE)</f>
        <v>4.6500000000000004</v>
      </c>
      <c r="T38" s="89">
        <f t="array" ref="T38">VLOOKUP(B38,cgpi!$A$8:$K953,3,FALSE)</f>
        <v>5.3</v>
      </c>
      <c r="U38" s="89">
        <f t="array" ref="U38">VLOOKUP(B38,cgpi!$A$8:$K953,4,FALSE)</f>
        <v>7.62</v>
      </c>
      <c r="V38" s="89">
        <f t="array" ref="V38">VLOOKUP(B38,cgpi!$A$8:$K953,5,FALSE)</f>
        <v>6.42</v>
      </c>
      <c r="W38" s="89">
        <f t="array" ref="W38">VLOOKUP(B38,cgpi!$A$8:$K953,6,FALSE)</f>
        <v>6.38</v>
      </c>
      <c r="X38" s="89">
        <f t="array" ref="X38">VLOOKUP(B38,cgpi!$A$8:$K953,7,FALSE)</f>
        <v>5.15</v>
      </c>
      <c r="Y38" s="89">
        <f t="array" ref="Y38">VLOOKUP(B38,cgpi!$A$8:$K953,8,FALSE)</f>
        <v>6</v>
      </c>
      <c r="Z38" s="89">
        <f t="array" ref="Z38">VLOOKUP(B38,cgpi!$A$8:$K953,9,FALSE)</f>
        <v>9.8800000000000008</v>
      </c>
      <c r="AA38" s="89">
        <f t="array" ref="AA38">VLOOKUP(B38,cgpi!$A$8:$K953,10,FALSE)</f>
        <v>6.3</v>
      </c>
      <c r="AB38" s="89">
        <f t="array" ref="AB38">VLOOKUP(B38,cgpi!$A$8:$K953,11,FALSE)</f>
        <v>7.94</v>
      </c>
    </row>
    <row r="39" spans="1:28" ht="27.75" customHeight="1">
      <c r="A39" s="120">
        <v>32</v>
      </c>
      <c r="B39" s="121">
        <v>2018120018</v>
      </c>
      <c r="C39" s="51" t="str">
        <f t="array" ref="C39">VLOOKUP(B39,studentnames!$A$6:$B953,2,FALSE)</f>
        <v>DHODI NIRAJ SURESH SUNITA</v>
      </c>
      <c r="D39" s="84">
        <f ca="1">IFERROR(__xludf.DUMMYFUNCTION("(VLOOKUP(B38,{(IMPORTRANGE(""https://docs.google.com/spreadsheets/d/1cjt68fhNJBrRR8pXXWW-AMp68sqMSBhntXfqnUrHmJs/edit#gid=2068900151"",""EXTC-Final Marks!B11:J50""))},7,FALSE))"),86.9523809523809)</f>
        <v>86.952380952380906</v>
      </c>
      <c r="E39" s="84" t="str">
        <f ca="1">IFERROR(__xludf.DUMMYFUNCTION("(VLOOKUP(B38,{(IMPORTRANGE(""https://docs.google.com/spreadsheets/d/1cjt68fhNJBrRR8pXXWW-AMp68sqMSBhntXfqnUrHmJs/edit#gid=2068900151"",""EXTC-Final Marks!B11:J50""))},9,FALSE))"),"O")</f>
        <v>O</v>
      </c>
      <c r="F39" s="87">
        <v>15</v>
      </c>
      <c r="G39" s="82">
        <f t="shared" ca="1" si="0"/>
        <v>10</v>
      </c>
      <c r="H39" s="82">
        <f t="shared" ca="1" si="1"/>
        <v>150</v>
      </c>
      <c r="I39" s="87">
        <f ca="1">IFERROR(__xludf.DUMMYFUNCTION("(VLOOKUP(B38,{(IMPORTRANGE(""https://docs.google.com/spreadsheets/d/1bhPzFUTLMV7e35kNXQBjHBx0hnSRtnD8lSPi2nGpa7Y/edit#gid=1774387053"",""BE EXTC!B11:E91""))},4,FALSE))"),80)</f>
        <v>80</v>
      </c>
      <c r="J39" s="86" t="str">
        <f t="shared" ca="1" si="8"/>
        <v>O</v>
      </c>
      <c r="K39" s="87">
        <v>1</v>
      </c>
      <c r="L39" s="82">
        <f t="shared" ca="1" si="3"/>
        <v>10</v>
      </c>
      <c r="M39" s="80">
        <f t="shared" ca="1" si="4"/>
        <v>10</v>
      </c>
      <c r="N39" s="87">
        <v>16</v>
      </c>
      <c r="O39" s="87">
        <f t="shared" si="5"/>
        <v>16</v>
      </c>
      <c r="P39" s="87">
        <f t="shared" ca="1" si="6"/>
        <v>160</v>
      </c>
      <c r="Q39" s="126">
        <f t="shared" ca="1" si="7"/>
        <v>10</v>
      </c>
      <c r="R39" s="80" t="s">
        <v>35</v>
      </c>
      <c r="S39" s="81">
        <f t="array" ref="S39">VLOOKUP(B39,cgpi!$A$8:$K953,2,FALSE)</f>
        <v>5.26</v>
      </c>
      <c r="T39" s="89">
        <f t="array" ref="T39">VLOOKUP(B39,cgpi!$A$8:$K953,3,FALSE)</f>
        <v>5.35</v>
      </c>
      <c r="U39" s="89">
        <f t="array" ref="U39">VLOOKUP(B39,cgpi!$A$8:$K953,4,FALSE)</f>
        <v>7.95</v>
      </c>
      <c r="V39" s="89">
        <f t="array" ref="V39">VLOOKUP(B39,cgpi!$A$8:$K953,5,FALSE)</f>
        <v>7.53</v>
      </c>
      <c r="W39" s="89">
        <f t="array" ref="W39">VLOOKUP(B39,cgpi!$A$8:$K953,6,FALSE)</f>
        <v>7.52</v>
      </c>
      <c r="X39" s="89">
        <f t="array" ref="X39">VLOOKUP(B39,cgpi!$A$8:$K953,7,FALSE)</f>
        <v>7.85</v>
      </c>
      <c r="Y39" s="89">
        <f t="array" ref="Y39">VLOOKUP(B39,cgpi!$A$8:$K953,8,FALSE)</f>
        <v>8.1300000000000008</v>
      </c>
      <c r="Z39" s="89">
        <f t="array" ref="Z39">VLOOKUP(B39,cgpi!$A$8:$K953,9,FALSE)</f>
        <v>10</v>
      </c>
      <c r="AA39" s="89">
        <f t="array" ref="AA39">VLOOKUP(B39,cgpi!$A$8:$K953,10,FALSE)</f>
        <v>7.29</v>
      </c>
      <c r="AB39" s="89">
        <f t="array" ref="AB39">VLOOKUP(B39,cgpi!$A$8:$K953,11,FALSE)</f>
        <v>9.06</v>
      </c>
    </row>
    <row r="40" spans="1:28" ht="27.75" customHeight="1">
      <c r="A40" s="120">
        <v>33</v>
      </c>
      <c r="B40" s="121">
        <v>2018120047</v>
      </c>
      <c r="C40" s="51" t="str">
        <f t="array" ref="C40">VLOOKUP(B40,studentnames!$A$6:$B953,2,FALSE)</f>
        <v>PATEL SHIVAM DHANSUKH RITA</v>
      </c>
      <c r="D40" s="84">
        <f ca="1">IFERROR(__xludf.DUMMYFUNCTION("(VLOOKUP(B39,{(IMPORTRANGE(""https://docs.google.com/spreadsheets/d/1cjt68fhNJBrRR8pXXWW-AMp68sqMSBhntXfqnUrHmJs/edit#gid=2068900151"",""EXTC-Final Marks!B11:J50""))},7,FALSE))"),82.1904761904761)</f>
        <v>82.190476190476105</v>
      </c>
      <c r="E40" s="84" t="str">
        <f ca="1">IFERROR(__xludf.DUMMYFUNCTION("(VLOOKUP(B39,{(IMPORTRANGE(""https://docs.google.com/spreadsheets/d/1cjt68fhNJBrRR8pXXWW-AMp68sqMSBhntXfqnUrHmJs/edit#gid=2068900151"",""EXTC-Final Marks!B11:J50""))},9,FALSE))"),"O")</f>
        <v>O</v>
      </c>
      <c r="F40" s="87">
        <v>15</v>
      </c>
      <c r="G40" s="82">
        <f t="shared" ca="1" si="0"/>
        <v>10</v>
      </c>
      <c r="H40" s="82">
        <f t="shared" ca="1" si="1"/>
        <v>150</v>
      </c>
      <c r="I40" s="87">
        <f ca="1">IFERROR(__xludf.DUMMYFUNCTION("(VLOOKUP(B39,{(IMPORTRANGE(""https://docs.google.com/spreadsheets/d/1bhPzFUTLMV7e35kNXQBjHBx0hnSRtnD8lSPi2nGpa7Y/edit#gid=1774387053"",""BE EXTC!B11:E91""))},4,FALSE))"),88)</f>
        <v>88</v>
      </c>
      <c r="J40" s="86" t="str">
        <f t="shared" ca="1" si="8"/>
        <v>O</v>
      </c>
      <c r="K40" s="87">
        <v>1</v>
      </c>
      <c r="L40" s="82">
        <f t="shared" ca="1" si="3"/>
        <v>10</v>
      </c>
      <c r="M40" s="80">
        <f t="shared" ca="1" si="4"/>
        <v>10</v>
      </c>
      <c r="N40" s="87">
        <v>16</v>
      </c>
      <c r="O40" s="87">
        <f t="shared" si="5"/>
        <v>16</v>
      </c>
      <c r="P40" s="87">
        <f t="shared" ca="1" si="6"/>
        <v>160</v>
      </c>
      <c r="Q40" s="126">
        <f t="shared" ca="1" si="7"/>
        <v>10</v>
      </c>
      <c r="R40" s="80" t="s">
        <v>35</v>
      </c>
      <c r="S40" s="81">
        <f t="array" ref="S40">VLOOKUP(B40,cgpi!$A$8:$K953,2,FALSE)</f>
        <v>5.17</v>
      </c>
      <c r="T40" s="89">
        <f t="array" ref="T40">VLOOKUP(B40,cgpi!$A$8:$K953,3,FALSE)</f>
        <v>5.61</v>
      </c>
      <c r="U40" s="89">
        <f t="array" ref="U40">VLOOKUP(B40,cgpi!$A$8:$K953,4,FALSE)</f>
        <v>8.0500000000000007</v>
      </c>
      <c r="V40" s="89">
        <f t="array" ref="V40">VLOOKUP(B40,cgpi!$A$8:$K953,5,FALSE)</f>
        <v>7.21</v>
      </c>
      <c r="W40" s="89">
        <f t="array" ref="W40">VLOOKUP(B40,cgpi!$A$8:$K953,6,FALSE)</f>
        <v>7.14</v>
      </c>
      <c r="X40" s="131">
        <f t="array" ref="X40">VLOOKUP(B40,cgpi!$A$8:$K953,7,FALSE)</f>
        <v>7.2</v>
      </c>
      <c r="Y40" s="89">
        <f t="array" ref="Y40">VLOOKUP(B40,cgpi!$A$8:$K953,8,FALSE)</f>
        <v>7.56</v>
      </c>
      <c r="Z40" s="89">
        <f t="array" ref="Z40">VLOOKUP(B40,cgpi!$A$8:$K953,9,FALSE)</f>
        <v>10</v>
      </c>
      <c r="AA40" s="89">
        <f t="array" ref="AA40">VLOOKUP(B40,cgpi!$A$8:$K953,10,FALSE)</f>
        <v>7.1</v>
      </c>
      <c r="AB40" s="89">
        <f t="array" ref="AB40">VLOOKUP(B40,cgpi!$A$8:$K953,11,FALSE)</f>
        <v>8.7799999999999994</v>
      </c>
    </row>
    <row r="41" spans="1:28" ht="27.75" customHeight="1">
      <c r="A41" s="120">
        <v>34</v>
      </c>
      <c r="B41" s="121">
        <v>2018120062</v>
      </c>
      <c r="C41" s="51" t="str">
        <f t="array" ref="C41">VLOOKUP(B41,studentnames!$A$6:$B953,2,FALSE)</f>
        <v>/ WADIKAR YUGANDHARA DATTATRAY SUNITA</v>
      </c>
      <c r="D41" s="84">
        <f ca="1">IFERROR(__xludf.DUMMYFUNCTION("(VLOOKUP(B40,{(IMPORTRANGE(""https://docs.google.com/spreadsheets/d/1cjt68fhNJBrRR8pXXWW-AMp68sqMSBhntXfqnUrHmJs/edit#gid=2068900151"",""EXTC-Final Marks!B11:J50""))},7,FALSE))"),81.8095238095238)</f>
        <v>81.809523809523796</v>
      </c>
      <c r="E41" s="84" t="str">
        <f ca="1">IFERROR(__xludf.DUMMYFUNCTION("(VLOOKUP(B40,{(IMPORTRANGE(""https://docs.google.com/spreadsheets/d/1cjt68fhNJBrRR8pXXWW-AMp68sqMSBhntXfqnUrHmJs/edit#gid=2068900151"",""EXTC-Final Marks!B11:J50""))},9,FALSE))"),"O")</f>
        <v>O</v>
      </c>
      <c r="F41" s="87">
        <v>15</v>
      </c>
      <c r="G41" s="82">
        <f t="shared" ca="1" si="0"/>
        <v>10</v>
      </c>
      <c r="H41" s="82">
        <f t="shared" ca="1" si="1"/>
        <v>150</v>
      </c>
      <c r="I41" s="87">
        <f ca="1">IFERROR(__xludf.DUMMYFUNCTION("(VLOOKUP(B40,{(IMPORTRANGE(""https://docs.google.com/spreadsheets/d/1bhPzFUTLMV7e35kNXQBjHBx0hnSRtnD8lSPi2nGpa7Y/edit#gid=1774387053"",""BE EXTC!B11:E91""))},4,FALSE))"),76)</f>
        <v>76</v>
      </c>
      <c r="J41" s="86" t="str">
        <f t="shared" ca="1" si="8"/>
        <v>A</v>
      </c>
      <c r="K41" s="87">
        <v>1</v>
      </c>
      <c r="L41" s="82">
        <f t="shared" ca="1" si="3"/>
        <v>9</v>
      </c>
      <c r="M41" s="80">
        <f t="shared" ca="1" si="4"/>
        <v>9</v>
      </c>
      <c r="N41" s="87">
        <v>16</v>
      </c>
      <c r="O41" s="87">
        <f t="shared" si="5"/>
        <v>16</v>
      </c>
      <c r="P41" s="87">
        <f t="shared" ca="1" si="6"/>
        <v>159</v>
      </c>
      <c r="Q41" s="126">
        <f t="shared" ca="1" si="7"/>
        <v>9.9375</v>
      </c>
      <c r="R41" s="80" t="s">
        <v>35</v>
      </c>
      <c r="S41" s="81">
        <f t="array" ref="S41">VLOOKUP(B41,cgpi!$A$8:$K953,2,FALSE)</f>
        <v>5.52</v>
      </c>
      <c r="T41" s="89">
        <f t="array" ref="T41">VLOOKUP(B41,cgpi!$A$8:$K953,3,FALSE)</f>
        <v>5</v>
      </c>
      <c r="U41" s="89">
        <f t="array" ref="U41">VLOOKUP(B41,cgpi!$A$8:$K953,4,FALSE)</f>
        <v>8.0500000000000007</v>
      </c>
      <c r="V41" s="89">
        <f t="array" ref="V41">VLOOKUP(B41,cgpi!$A$8:$K953,5,FALSE)</f>
        <v>8</v>
      </c>
      <c r="W41" s="133">
        <f t="array" ref="W41">VLOOKUP(B41,cgpi!$A$8:$K953,6,FALSE)</f>
        <v>7.81</v>
      </c>
      <c r="X41" s="134">
        <f t="array" ref="X41">VLOOKUP(B41,cgpi!$A$8:$K953,7,FALSE)</f>
        <v>7.95</v>
      </c>
      <c r="Y41" s="89">
        <f t="array" ref="Y41">VLOOKUP(B41,cgpi!$A$8:$K953,8,FALSE)</f>
        <v>8.5</v>
      </c>
      <c r="Z41" s="89">
        <f t="array" ref="Z41">VLOOKUP(B41,cgpi!$A$8:$K953,9,FALSE)</f>
        <v>9.94</v>
      </c>
      <c r="AA41" s="89">
        <f t="array" ref="AA41">VLOOKUP(B41,cgpi!$A$8:$K953,10,FALSE)</f>
        <v>7.43</v>
      </c>
      <c r="AB41" s="89">
        <f t="array" ref="AB41">VLOOKUP(B41,cgpi!$A$8:$K953,11,FALSE)</f>
        <v>9.2200000000000006</v>
      </c>
    </row>
    <row r="42" spans="1:28" ht="12.75">
      <c r="X42" s="132"/>
    </row>
    <row r="46" spans="1:28" ht="15.75" customHeight="1">
      <c r="B46" s="93" t="s">
        <v>153</v>
      </c>
      <c r="C46" s="94" t="s">
        <v>154</v>
      </c>
      <c r="D46" s="95"/>
      <c r="E46" s="154" t="s">
        <v>155</v>
      </c>
      <c r="F46" s="154"/>
      <c r="G46" s="94" t="s">
        <v>43</v>
      </c>
      <c r="H46" s="95"/>
      <c r="I46" s="155" t="s">
        <v>156</v>
      </c>
      <c r="J46" s="155"/>
      <c r="K46" s="155"/>
      <c r="L46" s="155"/>
      <c r="M46" s="155"/>
      <c r="N46" s="155"/>
      <c r="O46" s="155"/>
      <c r="P46" s="155"/>
      <c r="Q46" s="95"/>
      <c r="R46" s="155" t="s">
        <v>157</v>
      </c>
      <c r="S46" s="155"/>
      <c r="T46" s="155"/>
      <c r="U46" s="155"/>
      <c r="V46" s="155"/>
      <c r="W46" s="155"/>
      <c r="X46" s="155"/>
    </row>
    <row r="47" spans="1:28" ht="15.75" customHeight="1">
      <c r="B47" s="93" t="s">
        <v>158</v>
      </c>
      <c r="C47" s="94" t="s">
        <v>159</v>
      </c>
      <c r="D47" s="96"/>
      <c r="E47" s="154" t="s">
        <v>21</v>
      </c>
      <c r="F47" s="154"/>
      <c r="G47" s="94" t="s">
        <v>160</v>
      </c>
      <c r="H47" s="96"/>
      <c r="I47" s="156" t="s">
        <v>161</v>
      </c>
      <c r="J47" s="156"/>
      <c r="K47" s="156" t="s">
        <v>21</v>
      </c>
      <c r="L47" s="156"/>
      <c r="M47" s="156" t="s">
        <v>162</v>
      </c>
      <c r="N47" s="156"/>
      <c r="O47" s="156" t="s">
        <v>163</v>
      </c>
      <c r="P47" s="156"/>
      <c r="Q47" s="96"/>
      <c r="R47" s="156" t="s">
        <v>161</v>
      </c>
      <c r="S47" s="156"/>
      <c r="T47" s="156" t="s">
        <v>21</v>
      </c>
      <c r="U47" s="156"/>
      <c r="V47" s="156" t="s">
        <v>162</v>
      </c>
      <c r="W47" s="156"/>
      <c r="X47" s="94" t="s">
        <v>163</v>
      </c>
    </row>
    <row r="48" spans="1:28" ht="15.75" customHeight="1">
      <c r="B48" s="93" t="s">
        <v>164</v>
      </c>
      <c r="C48" s="94" t="s">
        <v>165</v>
      </c>
      <c r="D48" s="96"/>
      <c r="E48" s="154" t="s">
        <v>166</v>
      </c>
      <c r="F48" s="154"/>
      <c r="G48" s="94" t="s">
        <v>162</v>
      </c>
      <c r="H48" s="96"/>
      <c r="I48" s="156" t="s">
        <v>167</v>
      </c>
      <c r="J48" s="156"/>
      <c r="K48" s="156" t="s">
        <v>168</v>
      </c>
      <c r="L48" s="156"/>
      <c r="M48" s="156">
        <v>10</v>
      </c>
      <c r="N48" s="156"/>
      <c r="O48" s="156" t="s">
        <v>169</v>
      </c>
      <c r="P48" s="156"/>
      <c r="Q48" s="96"/>
      <c r="R48" s="156" t="s">
        <v>170</v>
      </c>
      <c r="S48" s="156"/>
      <c r="T48" s="156" t="s">
        <v>171</v>
      </c>
      <c r="U48" s="156"/>
      <c r="V48" s="156">
        <v>8</v>
      </c>
      <c r="W48" s="156"/>
      <c r="X48" s="94" t="s">
        <v>172</v>
      </c>
    </row>
    <row r="49" spans="2:24" ht="15.75" customHeight="1">
      <c r="B49" s="93">
        <v>0.505</v>
      </c>
      <c r="C49" s="94" t="s">
        <v>173</v>
      </c>
      <c r="D49" s="96"/>
      <c r="E49" s="154" t="s">
        <v>174</v>
      </c>
      <c r="F49" s="154"/>
      <c r="G49" s="94" t="s">
        <v>175</v>
      </c>
      <c r="H49" s="96"/>
      <c r="I49" s="156" t="s">
        <v>176</v>
      </c>
      <c r="J49" s="156"/>
      <c r="K49" s="156" t="s">
        <v>50</v>
      </c>
      <c r="L49" s="156"/>
      <c r="M49" s="156">
        <v>9</v>
      </c>
      <c r="N49" s="156"/>
      <c r="O49" s="156" t="s">
        <v>177</v>
      </c>
      <c r="P49" s="156"/>
      <c r="Q49" s="96"/>
      <c r="R49" s="156" t="s">
        <v>178</v>
      </c>
      <c r="S49" s="156"/>
      <c r="T49" s="156" t="s">
        <v>43</v>
      </c>
      <c r="U49" s="156"/>
      <c r="V49" s="156">
        <v>7</v>
      </c>
      <c r="W49" s="156"/>
      <c r="X49" s="94" t="s">
        <v>179</v>
      </c>
    </row>
    <row r="50" spans="2:24" ht="15.75" customHeight="1">
      <c r="B50" s="93" t="s">
        <v>180</v>
      </c>
      <c r="C50" s="94" t="s">
        <v>46</v>
      </c>
      <c r="D50" s="96"/>
      <c r="E50" s="154" t="s">
        <v>181</v>
      </c>
      <c r="F50" s="154"/>
      <c r="G50" s="94" t="s">
        <v>182</v>
      </c>
      <c r="H50" s="96"/>
      <c r="I50" s="156" t="s">
        <v>178</v>
      </c>
      <c r="J50" s="156"/>
      <c r="K50" s="156" t="s">
        <v>171</v>
      </c>
      <c r="L50" s="156"/>
      <c r="M50" s="156">
        <v>8</v>
      </c>
      <c r="N50" s="156"/>
      <c r="O50" s="156" t="s">
        <v>172</v>
      </c>
      <c r="P50" s="156"/>
      <c r="Q50" s="96"/>
      <c r="R50" s="156" t="s">
        <v>183</v>
      </c>
      <c r="S50" s="156"/>
      <c r="T50" s="156" t="s">
        <v>34</v>
      </c>
      <c r="U50" s="156"/>
      <c r="V50" s="156">
        <v>6</v>
      </c>
      <c r="W50" s="156"/>
      <c r="X50" s="94" t="s">
        <v>184</v>
      </c>
    </row>
    <row r="51" spans="2:24" ht="15.75" customHeight="1">
      <c r="B51" s="93" t="s">
        <v>185</v>
      </c>
      <c r="C51" s="94" t="s">
        <v>186</v>
      </c>
      <c r="D51" s="96"/>
      <c r="E51" s="154" t="s">
        <v>187</v>
      </c>
      <c r="F51" s="154"/>
      <c r="G51" s="94" t="s">
        <v>188</v>
      </c>
      <c r="H51" s="96"/>
      <c r="I51" s="156" t="s">
        <v>183</v>
      </c>
      <c r="J51" s="156"/>
      <c r="K51" s="156" t="s">
        <v>43</v>
      </c>
      <c r="L51" s="156"/>
      <c r="M51" s="156">
        <v>7</v>
      </c>
      <c r="N51" s="156"/>
      <c r="O51" s="156" t="s">
        <v>179</v>
      </c>
      <c r="P51" s="156"/>
      <c r="Q51" s="96"/>
      <c r="R51" s="156" t="s">
        <v>189</v>
      </c>
      <c r="S51" s="156"/>
      <c r="T51" s="156" t="s">
        <v>190</v>
      </c>
      <c r="U51" s="156"/>
      <c r="V51" s="156">
        <v>5</v>
      </c>
      <c r="W51" s="156"/>
      <c r="X51" s="94" t="s">
        <v>191</v>
      </c>
    </row>
    <row r="52" spans="2:24" ht="15.75" customHeight="1">
      <c r="B52" s="93" t="s">
        <v>192</v>
      </c>
      <c r="C52" s="94" t="s">
        <v>190</v>
      </c>
      <c r="D52" s="96"/>
      <c r="E52" s="154" t="s">
        <v>193</v>
      </c>
      <c r="F52" s="154"/>
      <c r="G52" s="94" t="s">
        <v>194</v>
      </c>
      <c r="H52" s="96"/>
      <c r="I52" s="156" t="s">
        <v>189</v>
      </c>
      <c r="J52" s="156"/>
      <c r="K52" s="156" t="s">
        <v>34</v>
      </c>
      <c r="L52" s="156"/>
      <c r="M52" s="156">
        <v>6</v>
      </c>
      <c r="N52" s="156"/>
      <c r="O52" s="156" t="s">
        <v>184</v>
      </c>
      <c r="P52" s="156"/>
      <c r="Q52" s="96"/>
      <c r="R52" s="156" t="s">
        <v>195</v>
      </c>
      <c r="S52" s="156"/>
      <c r="T52" s="156" t="s">
        <v>46</v>
      </c>
      <c r="U52" s="156"/>
      <c r="V52" s="156">
        <v>4</v>
      </c>
      <c r="W52" s="156"/>
      <c r="X52" s="94" t="s">
        <v>180</v>
      </c>
    </row>
    <row r="53" spans="2:24" ht="15.75" customHeight="1">
      <c r="B53" s="93" t="s">
        <v>196</v>
      </c>
      <c r="C53" s="94" t="s">
        <v>197</v>
      </c>
      <c r="D53" s="96"/>
      <c r="E53" s="154" t="s">
        <v>198</v>
      </c>
      <c r="F53" s="154"/>
      <c r="G53" s="94" t="s">
        <v>199</v>
      </c>
      <c r="H53" s="96"/>
      <c r="I53" s="156" t="s">
        <v>200</v>
      </c>
      <c r="J53" s="156"/>
      <c r="K53" s="156" t="s">
        <v>190</v>
      </c>
      <c r="L53" s="156"/>
      <c r="M53" s="156">
        <v>5</v>
      </c>
      <c r="N53" s="156"/>
      <c r="O53" s="156" t="s">
        <v>191</v>
      </c>
      <c r="P53" s="156"/>
      <c r="Q53" s="96"/>
      <c r="R53" s="156" t="s">
        <v>201</v>
      </c>
      <c r="S53" s="156"/>
      <c r="T53" s="157" t="s">
        <v>186</v>
      </c>
      <c r="U53" s="158"/>
      <c r="V53" s="156">
        <v>0</v>
      </c>
      <c r="W53" s="156"/>
      <c r="X53" s="94" t="s">
        <v>185</v>
      </c>
    </row>
    <row r="54" spans="2:24" ht="15.75" customHeight="1">
      <c r="B54" s="96"/>
      <c r="C54" s="96"/>
      <c r="D54" s="96"/>
      <c r="E54" s="154" t="s">
        <v>202</v>
      </c>
      <c r="F54" s="154"/>
      <c r="G54" s="94" t="s">
        <v>203</v>
      </c>
      <c r="H54" s="96"/>
      <c r="I54" s="156" t="s">
        <v>204</v>
      </c>
      <c r="J54" s="156"/>
      <c r="K54" s="156" t="s">
        <v>46</v>
      </c>
      <c r="L54" s="156"/>
      <c r="M54" s="156">
        <v>4</v>
      </c>
      <c r="N54" s="156"/>
      <c r="O54" s="156" t="s">
        <v>180</v>
      </c>
      <c r="P54" s="156"/>
      <c r="Q54" s="96"/>
      <c r="R54" s="156" t="s">
        <v>205</v>
      </c>
      <c r="S54" s="156"/>
      <c r="T54" s="156" t="s">
        <v>206</v>
      </c>
      <c r="U54" s="156"/>
      <c r="V54" s="156">
        <v>0</v>
      </c>
      <c r="W54" s="156"/>
      <c r="X54" s="94" t="s">
        <v>207</v>
      </c>
    </row>
    <row r="55" spans="2:24" ht="15.75" customHeight="1">
      <c r="B55" s="96"/>
      <c r="C55" s="96"/>
      <c r="D55" s="96"/>
      <c r="E55" s="96"/>
      <c r="F55" s="96"/>
      <c r="G55" s="96"/>
      <c r="H55" s="96"/>
      <c r="I55" s="156" t="s">
        <v>201</v>
      </c>
      <c r="J55" s="156"/>
      <c r="K55" s="156" t="s">
        <v>186</v>
      </c>
      <c r="L55" s="156"/>
      <c r="M55" s="156">
        <v>0</v>
      </c>
      <c r="N55" s="156"/>
      <c r="O55" s="156" t="s">
        <v>185</v>
      </c>
      <c r="P55" s="156"/>
      <c r="Q55" s="96"/>
      <c r="R55" s="156" t="s">
        <v>205</v>
      </c>
      <c r="S55" s="156"/>
      <c r="T55" s="156" t="s">
        <v>208</v>
      </c>
      <c r="U55" s="156"/>
      <c r="V55" s="156">
        <v>0</v>
      </c>
      <c r="W55" s="156"/>
      <c r="X55" s="94" t="s">
        <v>202</v>
      </c>
    </row>
    <row r="56" spans="2:24" ht="15.75" customHeight="1">
      <c r="B56" s="96"/>
      <c r="C56" s="96"/>
      <c r="D56" s="96"/>
      <c r="E56" s="96"/>
      <c r="F56" s="96" t="s">
        <v>152</v>
      </c>
      <c r="G56" s="96"/>
      <c r="H56" s="96"/>
      <c r="I56" s="156" t="s">
        <v>205</v>
      </c>
      <c r="J56" s="156"/>
      <c r="K56" s="156" t="s">
        <v>206</v>
      </c>
      <c r="L56" s="156"/>
      <c r="M56" s="156">
        <v>0</v>
      </c>
      <c r="N56" s="156"/>
      <c r="O56" s="156" t="s">
        <v>207</v>
      </c>
      <c r="P56" s="156"/>
      <c r="Q56" s="96"/>
      <c r="R56" s="96"/>
      <c r="S56" s="96"/>
      <c r="T56" s="96"/>
      <c r="U56" s="96"/>
      <c r="V56" s="96"/>
      <c r="W56" s="96"/>
      <c r="X56" s="96"/>
    </row>
    <row r="57" spans="2:24" ht="15.75" customHeight="1">
      <c r="B57" s="96"/>
      <c r="C57" s="96"/>
      <c r="D57" s="96"/>
      <c r="E57" s="96"/>
      <c r="F57" s="96"/>
      <c r="G57" s="96"/>
      <c r="H57" s="96"/>
      <c r="I57" s="156" t="s">
        <v>205</v>
      </c>
      <c r="J57" s="156"/>
      <c r="K57" s="156" t="s">
        <v>208</v>
      </c>
      <c r="L57" s="156"/>
      <c r="M57" s="156">
        <v>0</v>
      </c>
      <c r="N57" s="156"/>
      <c r="O57" s="156" t="s">
        <v>202</v>
      </c>
      <c r="P57" s="156"/>
      <c r="Q57" s="96"/>
      <c r="R57" s="96"/>
      <c r="S57" s="96"/>
      <c r="T57" s="96"/>
      <c r="U57" s="96"/>
      <c r="V57" s="96"/>
      <c r="W57" s="96"/>
      <c r="X57" s="96"/>
    </row>
  </sheetData>
  <mergeCells count="104">
    <mergeCell ref="T55:U55"/>
    <mergeCell ref="V55:W55"/>
    <mergeCell ref="R50:S50"/>
    <mergeCell ref="T50:U50"/>
    <mergeCell ref="I56:J56"/>
    <mergeCell ref="K56:L56"/>
    <mergeCell ref="M56:N56"/>
    <mergeCell ref="O56:P56"/>
    <mergeCell ref="I57:J57"/>
    <mergeCell ref="K57:L57"/>
    <mergeCell ref="M57:N57"/>
    <mergeCell ref="O57:P57"/>
    <mergeCell ref="R54:S54"/>
    <mergeCell ref="I55:J55"/>
    <mergeCell ref="K55:L55"/>
    <mergeCell ref="M55:N55"/>
    <mergeCell ref="O55:P55"/>
    <mergeCell ref="R55:S55"/>
    <mergeCell ref="V50:W50"/>
    <mergeCell ref="E54:F54"/>
    <mergeCell ref="I54:J54"/>
    <mergeCell ref="K54:L54"/>
    <mergeCell ref="M54:N54"/>
    <mergeCell ref="O54:P54"/>
    <mergeCell ref="R52:S52"/>
    <mergeCell ref="T52:U52"/>
    <mergeCell ref="V52:W52"/>
    <mergeCell ref="E53:F53"/>
    <mergeCell ref="I53:J53"/>
    <mergeCell ref="K53:L53"/>
    <mergeCell ref="M53:N53"/>
    <mergeCell ref="O53:P53"/>
    <mergeCell ref="R53:S53"/>
    <mergeCell ref="T53:U53"/>
    <mergeCell ref="V53:W53"/>
    <mergeCell ref="E52:F52"/>
    <mergeCell ref="I52:J52"/>
    <mergeCell ref="K52:L52"/>
    <mergeCell ref="M52:N52"/>
    <mergeCell ref="O52:P52"/>
    <mergeCell ref="T54:U54"/>
    <mergeCell ref="V54:W54"/>
    <mergeCell ref="E51:F51"/>
    <mergeCell ref="I51:J51"/>
    <mergeCell ref="K51:L51"/>
    <mergeCell ref="M51:N51"/>
    <mergeCell ref="O51:P51"/>
    <mergeCell ref="R51:S51"/>
    <mergeCell ref="T51:U51"/>
    <mergeCell ref="V51:W51"/>
    <mergeCell ref="E50:F50"/>
    <mergeCell ref="I50:J50"/>
    <mergeCell ref="K50:L50"/>
    <mergeCell ref="M50:N50"/>
    <mergeCell ref="O50:P50"/>
    <mergeCell ref="R48:S48"/>
    <mergeCell ref="T48:U48"/>
    <mergeCell ref="V48:W48"/>
    <mergeCell ref="E49:F49"/>
    <mergeCell ref="I49:J49"/>
    <mergeCell ref="K49:L49"/>
    <mergeCell ref="M49:N49"/>
    <mergeCell ref="O49:P49"/>
    <mergeCell ref="R49:S49"/>
    <mergeCell ref="T49:U49"/>
    <mergeCell ref="V49:W49"/>
    <mergeCell ref="E48:F48"/>
    <mergeCell ref="I48:J48"/>
    <mergeCell ref="K48:L48"/>
    <mergeCell ref="M48:N48"/>
    <mergeCell ref="O48:P48"/>
    <mergeCell ref="E46:F46"/>
    <mergeCell ref="I46:P46"/>
    <mergeCell ref="R46:X46"/>
    <mergeCell ref="E47:F47"/>
    <mergeCell ref="I47:J47"/>
    <mergeCell ref="K47:L47"/>
    <mergeCell ref="M47:N47"/>
    <mergeCell ref="O47:P47"/>
    <mergeCell ref="R47:S47"/>
    <mergeCell ref="T47:U47"/>
    <mergeCell ref="V47:W47"/>
    <mergeCell ref="Q6:Q7"/>
    <mergeCell ref="R6:R7"/>
    <mergeCell ref="D5:H5"/>
    <mergeCell ref="I5:M5"/>
    <mergeCell ref="A1:AB1"/>
    <mergeCell ref="A2:AB2"/>
    <mergeCell ref="A3:AB3"/>
    <mergeCell ref="S6:S7"/>
    <mergeCell ref="T6:T7"/>
    <mergeCell ref="U6:U7"/>
    <mergeCell ref="V6:V7"/>
    <mergeCell ref="W6:W7"/>
    <mergeCell ref="X6:X7"/>
    <mergeCell ref="D6:H6"/>
    <mergeCell ref="I6:M6"/>
    <mergeCell ref="N6:N7"/>
    <mergeCell ref="O6:O7"/>
    <mergeCell ref="P6:P7"/>
    <mergeCell ref="Y6:Y7"/>
    <mergeCell ref="Z6:Z7"/>
    <mergeCell ref="AA6:AA7"/>
    <mergeCell ref="AB6:AB7"/>
  </mergeCells>
  <pageMargins left="0.7" right="0.41" top="0.75" bottom="2.44" header="0.3" footer="0.3"/>
  <pageSetup paperSize="8" scale="75" orientation="landscape" r:id="rId1"/>
  <headerFooter>
    <oddFooter xml:space="preserve">&amp;L&amp;"-,Bold"     sd/-                                 sd/-                              sd/-                               sd/-
Entered By                Checked By                   Verified By                  Principal
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5:B86"/>
  <sheetViews>
    <sheetView workbookViewId="0"/>
  </sheetViews>
  <sheetFormatPr defaultColWidth="12.5703125" defaultRowHeight="15.75" customHeight="1"/>
  <cols>
    <col min="2" max="2" width="44.42578125" customWidth="1"/>
  </cols>
  <sheetData>
    <row r="5" spans="1:2" ht="15.75" customHeight="1">
      <c r="A5" s="7" t="s">
        <v>51</v>
      </c>
      <c r="B5" s="6" t="s">
        <v>52</v>
      </c>
    </row>
    <row r="6" spans="1:2" ht="12.75">
      <c r="A6" s="8">
        <v>2019120001</v>
      </c>
      <c r="B6" s="9" t="s">
        <v>53</v>
      </c>
    </row>
    <row r="7" spans="1:2" ht="12.75">
      <c r="A7" s="8">
        <v>2019120002</v>
      </c>
      <c r="B7" s="9" t="s">
        <v>54</v>
      </c>
    </row>
    <row r="8" spans="1:2" ht="12.75">
      <c r="A8" s="8">
        <v>2019120010</v>
      </c>
      <c r="B8" s="9" t="s">
        <v>55</v>
      </c>
    </row>
    <row r="9" spans="1:2" ht="12.75">
      <c r="A9" s="8">
        <v>2019120017</v>
      </c>
      <c r="B9" s="9" t="s">
        <v>56</v>
      </c>
    </row>
    <row r="10" spans="1:2" ht="12.75">
      <c r="A10" s="8">
        <v>2019120018</v>
      </c>
      <c r="B10" s="9" t="s">
        <v>57</v>
      </c>
    </row>
    <row r="11" spans="1:2" ht="12.75">
      <c r="A11" s="8">
        <v>2019120020</v>
      </c>
      <c r="B11" s="9" t="s">
        <v>58</v>
      </c>
    </row>
    <row r="12" spans="1:2" ht="12.75">
      <c r="A12" s="8">
        <v>2019120023</v>
      </c>
      <c r="B12" s="9" t="s">
        <v>59</v>
      </c>
    </row>
    <row r="13" spans="1:2" ht="12.75">
      <c r="A13" s="8">
        <v>2019120024</v>
      </c>
      <c r="B13" s="9" t="s">
        <v>60</v>
      </c>
    </row>
    <row r="14" spans="1:2" ht="12.75">
      <c r="A14" s="8">
        <v>2019120032</v>
      </c>
      <c r="B14" s="9" t="s">
        <v>61</v>
      </c>
    </row>
    <row r="15" spans="1:2" ht="12.75">
      <c r="A15" s="8">
        <v>2019120033</v>
      </c>
      <c r="B15" s="9" t="s">
        <v>62</v>
      </c>
    </row>
    <row r="16" spans="1:2" ht="12.75">
      <c r="A16" s="8">
        <v>2019120034</v>
      </c>
      <c r="B16" s="9" t="s">
        <v>63</v>
      </c>
    </row>
    <row r="17" spans="1:2" ht="12.75">
      <c r="A17" s="8">
        <v>2019120041</v>
      </c>
      <c r="B17" s="9" t="s">
        <v>64</v>
      </c>
    </row>
    <row r="18" spans="1:2" ht="12.75">
      <c r="A18" s="8">
        <v>2019120049</v>
      </c>
      <c r="B18" s="9" t="s">
        <v>65</v>
      </c>
    </row>
    <row r="19" spans="1:2" ht="12.75">
      <c r="A19" s="8">
        <v>2019120054</v>
      </c>
      <c r="B19" s="9" t="s">
        <v>66</v>
      </c>
    </row>
    <row r="20" spans="1:2" ht="12.75">
      <c r="A20" s="8">
        <v>2019120064</v>
      </c>
      <c r="B20" s="9" t="s">
        <v>67</v>
      </c>
    </row>
    <row r="21" spans="1:2" ht="12.75">
      <c r="A21" s="8">
        <v>2020201063</v>
      </c>
      <c r="B21" s="9" t="s">
        <v>68</v>
      </c>
    </row>
    <row r="22" spans="1:2" ht="12.75">
      <c r="A22" s="8">
        <v>2018120016</v>
      </c>
      <c r="B22" s="9" t="s">
        <v>69</v>
      </c>
    </row>
    <row r="23" spans="1:2" ht="12.75">
      <c r="A23" s="8">
        <v>2019120003</v>
      </c>
      <c r="B23" s="9" t="s">
        <v>70</v>
      </c>
    </row>
    <row r="24" spans="1:2" ht="12.75">
      <c r="A24" s="8">
        <v>2019120009</v>
      </c>
      <c r="B24" s="9" t="s">
        <v>71</v>
      </c>
    </row>
    <row r="25" spans="1:2" ht="12.75">
      <c r="A25" s="8">
        <v>2019120027</v>
      </c>
      <c r="B25" s="9" t="s">
        <v>72</v>
      </c>
    </row>
    <row r="26" spans="1:2" ht="12.75">
      <c r="A26" s="8">
        <v>2019120030</v>
      </c>
      <c r="B26" s="9" t="s">
        <v>73</v>
      </c>
    </row>
    <row r="27" spans="1:2" ht="12.75">
      <c r="A27" s="8">
        <v>2019120040</v>
      </c>
      <c r="B27" s="9" t="s">
        <v>74</v>
      </c>
    </row>
    <row r="28" spans="1:2" ht="12.75">
      <c r="A28" s="8">
        <v>2019120042</v>
      </c>
      <c r="B28" s="9" t="s">
        <v>75</v>
      </c>
    </row>
    <row r="29" spans="1:2" ht="12.75">
      <c r="A29" s="8">
        <v>2019120004</v>
      </c>
      <c r="B29" s="9" t="s">
        <v>76</v>
      </c>
    </row>
    <row r="30" spans="1:2" ht="12.75">
      <c r="A30" s="8">
        <v>2019120005</v>
      </c>
      <c r="B30" s="9" t="s">
        <v>77</v>
      </c>
    </row>
    <row r="31" spans="1:2" ht="12.75">
      <c r="A31" s="8">
        <v>2019120006</v>
      </c>
      <c r="B31" s="9" t="s">
        <v>78</v>
      </c>
    </row>
    <row r="32" spans="1:2" ht="12.75">
      <c r="A32" s="8">
        <v>2019120008</v>
      </c>
      <c r="B32" s="9" t="s">
        <v>79</v>
      </c>
    </row>
    <row r="33" spans="1:2" ht="12.75">
      <c r="A33" s="8">
        <v>2019120011</v>
      </c>
      <c r="B33" s="9" t="s">
        <v>80</v>
      </c>
    </row>
    <row r="34" spans="1:2" ht="12.75">
      <c r="A34" s="8">
        <v>2019120012</v>
      </c>
      <c r="B34" s="9" t="s">
        <v>81</v>
      </c>
    </row>
    <row r="35" spans="1:2" ht="12.75">
      <c r="A35" s="8">
        <v>2019120021</v>
      </c>
      <c r="B35" s="9" t="s">
        <v>82</v>
      </c>
    </row>
    <row r="36" spans="1:2" ht="12.75">
      <c r="A36" s="8">
        <v>2019120025</v>
      </c>
      <c r="B36" s="9" t="s">
        <v>83</v>
      </c>
    </row>
    <row r="37" spans="1:2" ht="12.75">
      <c r="A37" s="8">
        <v>2019120037</v>
      </c>
      <c r="B37" s="9" t="s">
        <v>84</v>
      </c>
    </row>
    <row r="38" spans="1:2" ht="12.75">
      <c r="A38" s="8">
        <v>2019120038</v>
      </c>
      <c r="B38" s="9" t="s">
        <v>85</v>
      </c>
    </row>
    <row r="39" spans="1:2" ht="12.75">
      <c r="A39" s="8">
        <v>2019120039</v>
      </c>
      <c r="B39" s="9" t="s">
        <v>86</v>
      </c>
    </row>
    <row r="40" spans="1:2" ht="12.75">
      <c r="A40" s="8">
        <v>2019120045</v>
      </c>
      <c r="B40" s="9" t="s">
        <v>87</v>
      </c>
    </row>
    <row r="41" spans="1:2" ht="12.75">
      <c r="A41" s="8">
        <v>2019120046</v>
      </c>
      <c r="B41" s="9" t="s">
        <v>88</v>
      </c>
    </row>
    <row r="42" spans="1:2" ht="12.75">
      <c r="A42" s="8">
        <v>2019120047</v>
      </c>
      <c r="B42" s="9" t="s">
        <v>89</v>
      </c>
    </row>
    <row r="43" spans="1:2" ht="12.75">
      <c r="A43" s="8">
        <v>2019120053</v>
      </c>
      <c r="B43" s="9" t="s">
        <v>90</v>
      </c>
    </row>
    <row r="44" spans="1:2" ht="12.75">
      <c r="A44" s="8">
        <v>2019120058</v>
      </c>
      <c r="B44" s="9" t="s">
        <v>91</v>
      </c>
    </row>
    <row r="45" spans="1:2" ht="12.75">
      <c r="A45" s="8">
        <v>2019120060</v>
      </c>
      <c r="B45" s="9" t="s">
        <v>92</v>
      </c>
    </row>
    <row r="46" spans="1:2" ht="12.75">
      <c r="A46" s="8">
        <v>2019120061</v>
      </c>
      <c r="B46" s="9" t="s">
        <v>93</v>
      </c>
    </row>
    <row r="47" spans="1:2" ht="12.75">
      <c r="A47" s="8">
        <v>2019120063</v>
      </c>
      <c r="B47" s="9" t="s">
        <v>94</v>
      </c>
    </row>
    <row r="48" spans="1:2" ht="12.75">
      <c r="A48" s="8">
        <v>2019120066</v>
      </c>
      <c r="B48" s="9" t="s">
        <v>95</v>
      </c>
    </row>
    <row r="49" spans="1:2" ht="12.75">
      <c r="A49" s="8">
        <v>2019120068</v>
      </c>
      <c r="B49" s="9" t="s">
        <v>96</v>
      </c>
    </row>
    <row r="50" spans="1:2" ht="12.75">
      <c r="A50" s="8">
        <v>2019120007</v>
      </c>
      <c r="B50" s="9" t="s">
        <v>97</v>
      </c>
    </row>
    <row r="51" spans="1:2" ht="12.75">
      <c r="A51" s="8">
        <v>2019120013</v>
      </c>
      <c r="B51" s="9" t="s">
        <v>98</v>
      </c>
    </row>
    <row r="52" spans="1:2" ht="12.75">
      <c r="A52" s="8">
        <v>2019120028</v>
      </c>
      <c r="B52" s="9" t="s">
        <v>99</v>
      </c>
    </row>
    <row r="53" spans="1:2" ht="12.75">
      <c r="A53" s="8">
        <v>2019120029</v>
      </c>
      <c r="B53" s="9" t="s">
        <v>100</v>
      </c>
    </row>
    <row r="54" spans="1:2" ht="12.75">
      <c r="A54" s="8">
        <v>2019120056</v>
      </c>
      <c r="B54" s="9" t="s">
        <v>101</v>
      </c>
    </row>
    <row r="55" spans="1:2" ht="12.75">
      <c r="A55" s="8">
        <v>2018120062</v>
      </c>
      <c r="B55" s="9" t="s">
        <v>102</v>
      </c>
    </row>
    <row r="56" spans="1:2" ht="12.75">
      <c r="A56" s="8">
        <v>2019120014</v>
      </c>
      <c r="B56" s="9" t="s">
        <v>103</v>
      </c>
    </row>
    <row r="57" spans="1:2" ht="12.75">
      <c r="A57" s="8">
        <v>2019120016</v>
      </c>
      <c r="B57" s="9" t="s">
        <v>104</v>
      </c>
    </row>
    <row r="58" spans="1:2" ht="12.75">
      <c r="A58" s="8">
        <v>2019120019</v>
      </c>
      <c r="B58" s="9" t="s">
        <v>105</v>
      </c>
    </row>
    <row r="59" spans="1:2" ht="12.75">
      <c r="A59" s="8">
        <v>2019120022</v>
      </c>
      <c r="B59" s="9" t="s">
        <v>106</v>
      </c>
    </row>
    <row r="60" spans="1:2" ht="12.75">
      <c r="A60" s="8">
        <v>2019120031</v>
      </c>
      <c r="B60" s="9" t="s">
        <v>107</v>
      </c>
    </row>
    <row r="61" spans="1:2" ht="12.75">
      <c r="A61" s="8">
        <v>2019120062</v>
      </c>
      <c r="B61" s="9" t="s">
        <v>108</v>
      </c>
    </row>
    <row r="62" spans="1:2" ht="12.75">
      <c r="A62" s="8">
        <v>2018120018</v>
      </c>
      <c r="B62" s="9" t="s">
        <v>109</v>
      </c>
    </row>
    <row r="63" spans="1:2" ht="12.75">
      <c r="A63" s="8">
        <v>2018120047</v>
      </c>
      <c r="B63" s="9" t="s">
        <v>110</v>
      </c>
    </row>
    <row r="64" spans="1:2" ht="12.75">
      <c r="A64" s="8">
        <v>2018120059</v>
      </c>
      <c r="B64" s="9" t="s">
        <v>111</v>
      </c>
    </row>
    <row r="65" spans="1:2" ht="12.75">
      <c r="A65" s="8">
        <v>2019120015</v>
      </c>
      <c r="B65" s="9" t="s">
        <v>112</v>
      </c>
    </row>
    <row r="66" spans="1:2" ht="12.75">
      <c r="A66" s="8">
        <v>2019120035</v>
      </c>
      <c r="B66" s="9" t="s">
        <v>113</v>
      </c>
    </row>
    <row r="67" spans="1:2" ht="12.75">
      <c r="A67" s="8">
        <v>2019120043</v>
      </c>
      <c r="B67" s="9" t="s">
        <v>114</v>
      </c>
    </row>
    <row r="68" spans="1:2" ht="12.75">
      <c r="A68" s="8">
        <v>2019120044</v>
      </c>
      <c r="B68" s="9" t="s">
        <v>115</v>
      </c>
    </row>
    <row r="69" spans="1:2" ht="12.75">
      <c r="A69" s="8">
        <v>2019120048</v>
      </c>
      <c r="B69" s="9" t="s">
        <v>116</v>
      </c>
    </row>
    <row r="70" spans="1:2" ht="12.75">
      <c r="A70" s="8">
        <v>2019120051</v>
      </c>
      <c r="B70" s="9" t="s">
        <v>117</v>
      </c>
    </row>
    <row r="71" spans="1:2" ht="12.75">
      <c r="A71" s="8">
        <v>2019120052</v>
      </c>
      <c r="B71" s="9" t="s">
        <v>118</v>
      </c>
    </row>
    <row r="72" spans="1:2" ht="12.75">
      <c r="A72" s="8">
        <v>2019120055</v>
      </c>
      <c r="B72" s="9" t="s">
        <v>119</v>
      </c>
    </row>
    <row r="73" spans="1:2" ht="12.75">
      <c r="A73" s="8">
        <v>2019120057</v>
      </c>
      <c r="B73" s="9" t="s">
        <v>120</v>
      </c>
    </row>
    <row r="74" spans="1:2" ht="12.75">
      <c r="A74" s="8">
        <v>2019120059</v>
      </c>
      <c r="B74" s="9" t="s">
        <v>121</v>
      </c>
    </row>
    <row r="75" spans="1:2" ht="12.75">
      <c r="A75" s="8">
        <v>2019120065</v>
      </c>
      <c r="B75" s="9" t="s">
        <v>122</v>
      </c>
    </row>
    <row r="76" spans="1:2" ht="12.75">
      <c r="A76" s="8">
        <v>2020201064</v>
      </c>
      <c r="B76" s="9" t="s">
        <v>123</v>
      </c>
    </row>
    <row r="77" spans="1:2" ht="12.75">
      <c r="A77" s="8">
        <v>2020201066</v>
      </c>
      <c r="B77" s="9" t="s">
        <v>124</v>
      </c>
    </row>
    <row r="78" spans="1:2" ht="12.75">
      <c r="A78" s="8">
        <v>2020201067</v>
      </c>
      <c r="B78" s="9" t="s">
        <v>125</v>
      </c>
    </row>
    <row r="79" spans="1:2" ht="12.75">
      <c r="A79" s="8">
        <v>2020201068</v>
      </c>
      <c r="B79" s="9" t="s">
        <v>126</v>
      </c>
    </row>
    <row r="80" spans="1:2" ht="12.75">
      <c r="A80" s="8">
        <v>2020201069</v>
      </c>
      <c r="B80" s="9" t="s">
        <v>127</v>
      </c>
    </row>
    <row r="81" spans="1:2" ht="12.75">
      <c r="A81" s="8">
        <v>2020201070</v>
      </c>
      <c r="B81" s="9" t="s">
        <v>128</v>
      </c>
    </row>
    <row r="82" spans="1:2" ht="12.75">
      <c r="A82" s="8">
        <v>2020201072</v>
      </c>
      <c r="B82" s="9" t="s">
        <v>129</v>
      </c>
    </row>
    <row r="83" spans="1:2" ht="12.75">
      <c r="A83" s="8">
        <v>2020201073</v>
      </c>
      <c r="B83" s="9" t="s">
        <v>130</v>
      </c>
    </row>
    <row r="84" spans="1:2" ht="12.75">
      <c r="A84" s="8">
        <v>2020201074</v>
      </c>
      <c r="B84" s="9" t="s">
        <v>131</v>
      </c>
    </row>
    <row r="85" spans="1:2" ht="12.75">
      <c r="A85" s="8">
        <v>2018120014</v>
      </c>
      <c r="B85" s="9" t="s">
        <v>132</v>
      </c>
    </row>
    <row r="86" spans="1:2" ht="12.75">
      <c r="A86" s="8">
        <v>2019120050</v>
      </c>
      <c r="B86" s="9" t="s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8:K351"/>
  <sheetViews>
    <sheetView topLeftCell="A274" workbookViewId="0">
      <selection activeCell="A283" sqref="A283:XFD283"/>
    </sheetView>
  </sheetViews>
  <sheetFormatPr defaultColWidth="12.5703125" defaultRowHeight="15.75" customHeight="1"/>
  <sheetData>
    <row r="8" spans="1:11" ht="15.75" customHeight="1">
      <c r="A8" s="10"/>
      <c r="B8" s="11" t="s">
        <v>134</v>
      </c>
      <c r="C8" s="12" t="s">
        <v>135</v>
      </c>
      <c r="D8" s="12" t="s">
        <v>136</v>
      </c>
      <c r="E8" s="12" t="s">
        <v>137</v>
      </c>
      <c r="F8" s="12" t="s">
        <v>138</v>
      </c>
      <c r="G8" s="12" t="s">
        <v>139</v>
      </c>
      <c r="H8" s="12" t="s">
        <v>140</v>
      </c>
      <c r="I8" s="12" t="s">
        <v>141</v>
      </c>
      <c r="J8" s="12" t="s">
        <v>142</v>
      </c>
      <c r="K8" s="12" t="s">
        <v>33</v>
      </c>
    </row>
    <row r="9" spans="1:11" ht="15.75" customHeight="1">
      <c r="A9" s="13"/>
      <c r="B9" s="14">
        <v>197</v>
      </c>
      <c r="C9" s="15">
        <v>195</v>
      </c>
      <c r="D9" s="15">
        <v>210</v>
      </c>
      <c r="E9" s="15">
        <v>180</v>
      </c>
      <c r="F9" s="15">
        <v>202</v>
      </c>
      <c r="G9" s="15">
        <v>210</v>
      </c>
      <c r="H9" s="15">
        <v>157</v>
      </c>
      <c r="I9" s="15">
        <v>160</v>
      </c>
      <c r="J9" s="15">
        <v>1511</v>
      </c>
      <c r="K9" s="15">
        <v>317</v>
      </c>
    </row>
    <row r="10" spans="1:11" ht="15.75" customHeight="1">
      <c r="A10" s="13"/>
      <c r="B10" s="14">
        <v>20</v>
      </c>
      <c r="C10" s="15">
        <v>20</v>
      </c>
      <c r="D10" s="15">
        <v>21</v>
      </c>
      <c r="E10" s="15">
        <v>19</v>
      </c>
      <c r="F10" s="15">
        <v>21</v>
      </c>
      <c r="G10" s="15">
        <v>21</v>
      </c>
      <c r="H10" s="15">
        <v>16</v>
      </c>
      <c r="I10" s="15">
        <v>16</v>
      </c>
      <c r="J10" s="15">
        <v>154</v>
      </c>
      <c r="K10" s="15">
        <v>32</v>
      </c>
    </row>
    <row r="11" spans="1:11" ht="15.75" customHeight="1">
      <c r="A11" s="16">
        <v>2019120001</v>
      </c>
      <c r="B11" s="17">
        <v>9.85</v>
      </c>
      <c r="C11" s="18">
        <v>9.75</v>
      </c>
      <c r="D11" s="18">
        <v>10</v>
      </c>
      <c r="E11" s="18">
        <v>9.4700000000000006</v>
      </c>
      <c r="F11" s="18">
        <v>9.6199999999999992</v>
      </c>
      <c r="G11" s="18">
        <v>10</v>
      </c>
      <c r="H11" s="18">
        <v>9.81</v>
      </c>
      <c r="I11" s="18">
        <v>10</v>
      </c>
      <c r="J11" s="19">
        <v>9.81</v>
      </c>
      <c r="K11" s="18">
        <v>9.91</v>
      </c>
    </row>
    <row r="12" spans="1:11" ht="15.75" customHeight="1">
      <c r="A12" s="10"/>
      <c r="B12" s="20" t="s">
        <v>134</v>
      </c>
      <c r="C12" s="21" t="s">
        <v>135</v>
      </c>
      <c r="D12" s="21" t="s">
        <v>136</v>
      </c>
      <c r="E12" s="21" t="s">
        <v>137</v>
      </c>
      <c r="F12" s="21" t="s">
        <v>138</v>
      </c>
      <c r="G12" s="21" t="s">
        <v>139</v>
      </c>
      <c r="H12" s="21" t="s">
        <v>140</v>
      </c>
      <c r="I12" s="21" t="s">
        <v>141</v>
      </c>
      <c r="J12" s="21" t="s">
        <v>142</v>
      </c>
      <c r="K12" s="21" t="s">
        <v>33</v>
      </c>
    </row>
    <row r="13" spans="1:11" ht="15.75" customHeight="1">
      <c r="A13" s="13"/>
      <c r="B13" s="14">
        <v>188</v>
      </c>
      <c r="C13" s="15">
        <v>189</v>
      </c>
      <c r="D13" s="15">
        <v>210</v>
      </c>
      <c r="E13" s="15">
        <v>173</v>
      </c>
      <c r="F13" s="15">
        <v>186</v>
      </c>
      <c r="G13" s="15">
        <v>207</v>
      </c>
      <c r="H13" s="15">
        <v>150</v>
      </c>
      <c r="I13" s="15">
        <v>154</v>
      </c>
      <c r="J13" s="15">
        <v>1457</v>
      </c>
      <c r="K13" s="15">
        <v>304</v>
      </c>
    </row>
    <row r="14" spans="1:11" ht="15.75" customHeight="1">
      <c r="A14" s="13"/>
      <c r="B14" s="14">
        <v>20</v>
      </c>
      <c r="C14" s="15">
        <v>20</v>
      </c>
      <c r="D14" s="15">
        <v>21</v>
      </c>
      <c r="E14" s="15">
        <v>19</v>
      </c>
      <c r="F14" s="15">
        <v>21</v>
      </c>
      <c r="G14" s="15">
        <v>21</v>
      </c>
      <c r="H14" s="15">
        <v>16</v>
      </c>
      <c r="I14" s="15">
        <v>16</v>
      </c>
      <c r="J14" s="15">
        <v>154</v>
      </c>
      <c r="K14" s="15">
        <v>32</v>
      </c>
    </row>
    <row r="15" spans="1:11" ht="15.75" customHeight="1">
      <c r="A15" s="16">
        <v>2019120002</v>
      </c>
      <c r="B15" s="17">
        <v>9.4</v>
      </c>
      <c r="C15" s="18">
        <v>9.4499999999999993</v>
      </c>
      <c r="D15" s="18">
        <v>10</v>
      </c>
      <c r="E15" s="18">
        <v>9.11</v>
      </c>
      <c r="F15" s="18">
        <v>8.86</v>
      </c>
      <c r="G15" s="18">
        <v>9.86</v>
      </c>
      <c r="H15" s="18">
        <v>9.3800000000000008</v>
      </c>
      <c r="I15" s="18">
        <v>9.6300000000000008</v>
      </c>
      <c r="J15" s="19">
        <v>9.4600000000000009</v>
      </c>
      <c r="K15" s="18">
        <v>9.5</v>
      </c>
    </row>
    <row r="16" spans="1:11" ht="15.75" customHeight="1">
      <c r="A16" s="10"/>
      <c r="B16" s="20" t="s">
        <v>134</v>
      </c>
      <c r="C16" s="21" t="s">
        <v>135</v>
      </c>
      <c r="D16" s="21" t="s">
        <v>136</v>
      </c>
      <c r="E16" s="21" t="s">
        <v>137</v>
      </c>
      <c r="F16" s="21" t="s">
        <v>138</v>
      </c>
      <c r="G16" s="21" t="s">
        <v>139</v>
      </c>
      <c r="H16" s="21" t="s">
        <v>140</v>
      </c>
      <c r="I16" s="21" t="s">
        <v>141</v>
      </c>
      <c r="J16" s="21" t="s">
        <v>142</v>
      </c>
      <c r="K16" s="21" t="s">
        <v>33</v>
      </c>
    </row>
    <row r="17" spans="1:11" ht="15.75" customHeight="1">
      <c r="A17" s="13"/>
      <c r="B17" s="14">
        <v>199</v>
      </c>
      <c r="C17" s="15">
        <v>200</v>
      </c>
      <c r="D17" s="15">
        <v>206</v>
      </c>
      <c r="E17" s="15">
        <v>177</v>
      </c>
      <c r="F17" s="15">
        <v>190</v>
      </c>
      <c r="G17" s="15">
        <v>196</v>
      </c>
      <c r="H17" s="15">
        <v>157</v>
      </c>
      <c r="I17" s="15">
        <v>160</v>
      </c>
      <c r="J17" s="15">
        <v>1485</v>
      </c>
      <c r="K17" s="15">
        <v>317</v>
      </c>
    </row>
    <row r="18" spans="1:11" ht="15.75" customHeight="1">
      <c r="A18" s="13"/>
      <c r="B18" s="14">
        <v>20</v>
      </c>
      <c r="C18" s="15">
        <v>20</v>
      </c>
      <c r="D18" s="15">
        <v>21</v>
      </c>
      <c r="E18" s="15">
        <v>19</v>
      </c>
      <c r="F18" s="15">
        <v>21</v>
      </c>
      <c r="G18" s="15">
        <v>20</v>
      </c>
      <c r="H18" s="15">
        <v>16</v>
      </c>
      <c r="I18" s="15">
        <v>16</v>
      </c>
      <c r="J18" s="15">
        <v>153</v>
      </c>
      <c r="K18" s="15">
        <v>32</v>
      </c>
    </row>
    <row r="19" spans="1:11" ht="15.75" customHeight="1">
      <c r="A19" s="16">
        <v>2019120003</v>
      </c>
      <c r="B19" s="17">
        <v>9.9499999999999993</v>
      </c>
      <c r="C19" s="18">
        <v>10</v>
      </c>
      <c r="D19" s="18">
        <v>9.81</v>
      </c>
      <c r="E19" s="18">
        <v>9.32</v>
      </c>
      <c r="F19" s="18">
        <v>9.0500000000000007</v>
      </c>
      <c r="G19" s="18">
        <v>9.8000000000000007</v>
      </c>
      <c r="H19" s="18">
        <v>9.81</v>
      </c>
      <c r="I19" s="18">
        <v>10</v>
      </c>
      <c r="J19" s="19">
        <v>9.7100000000000009</v>
      </c>
      <c r="K19" s="18">
        <v>9.91</v>
      </c>
    </row>
    <row r="20" spans="1:11" ht="15.75" customHeight="1">
      <c r="A20" s="10"/>
      <c r="B20" s="20" t="s">
        <v>134</v>
      </c>
      <c r="C20" s="21" t="s">
        <v>135</v>
      </c>
      <c r="D20" s="21" t="s">
        <v>136</v>
      </c>
      <c r="E20" s="21" t="s">
        <v>137</v>
      </c>
      <c r="F20" s="21" t="s">
        <v>138</v>
      </c>
      <c r="G20" s="21" t="s">
        <v>139</v>
      </c>
      <c r="H20" s="21" t="s">
        <v>140</v>
      </c>
      <c r="I20" s="21" t="s">
        <v>141</v>
      </c>
      <c r="J20" s="21" t="s">
        <v>142</v>
      </c>
      <c r="K20" s="21" t="s">
        <v>33</v>
      </c>
    </row>
    <row r="21" spans="1:11" ht="15.75" customHeight="1">
      <c r="A21" s="13"/>
      <c r="B21" s="14">
        <v>144</v>
      </c>
      <c r="C21" s="15">
        <v>161</v>
      </c>
      <c r="D21" s="15">
        <v>206</v>
      </c>
      <c r="E21" s="15">
        <v>161</v>
      </c>
      <c r="F21" s="15">
        <v>186</v>
      </c>
      <c r="G21" s="15">
        <v>168</v>
      </c>
      <c r="H21" s="15">
        <v>121</v>
      </c>
      <c r="I21" s="15">
        <v>160</v>
      </c>
      <c r="J21" s="15">
        <v>1307</v>
      </c>
      <c r="K21" s="15">
        <v>281</v>
      </c>
    </row>
    <row r="22" spans="1:11" ht="15.75" customHeight="1">
      <c r="A22" s="13"/>
      <c r="B22" s="14">
        <v>20</v>
      </c>
      <c r="C22" s="15">
        <v>20</v>
      </c>
      <c r="D22" s="15">
        <v>21</v>
      </c>
      <c r="E22" s="15">
        <v>19</v>
      </c>
      <c r="F22" s="15">
        <v>21</v>
      </c>
      <c r="G22" s="15">
        <v>20</v>
      </c>
      <c r="H22" s="15">
        <v>16</v>
      </c>
      <c r="I22" s="15">
        <v>16</v>
      </c>
      <c r="J22" s="15">
        <v>153</v>
      </c>
      <c r="K22" s="15">
        <v>32</v>
      </c>
    </row>
    <row r="23" spans="1:11" ht="15.75" customHeight="1">
      <c r="A23" s="16">
        <v>2019120004</v>
      </c>
      <c r="B23" s="17">
        <v>7.2</v>
      </c>
      <c r="C23" s="18">
        <v>8.0500000000000007</v>
      </c>
      <c r="D23" s="18">
        <v>9.81</v>
      </c>
      <c r="E23" s="18">
        <v>8.4700000000000006</v>
      </c>
      <c r="F23" s="18">
        <v>8.86</v>
      </c>
      <c r="G23" s="18">
        <v>8.4</v>
      </c>
      <c r="H23" s="18">
        <v>7.56</v>
      </c>
      <c r="I23" s="18">
        <v>10</v>
      </c>
      <c r="J23" s="19">
        <v>8.5399999999999991</v>
      </c>
      <c r="K23" s="18">
        <v>8.7799999999999994</v>
      </c>
    </row>
    <row r="24" spans="1:11" ht="15.75" customHeight="1">
      <c r="A24" s="10"/>
      <c r="B24" s="20" t="s">
        <v>134</v>
      </c>
      <c r="C24" s="21" t="s">
        <v>135</v>
      </c>
      <c r="D24" s="21" t="s">
        <v>136</v>
      </c>
      <c r="E24" s="21" t="s">
        <v>137</v>
      </c>
      <c r="F24" s="21" t="s">
        <v>138</v>
      </c>
      <c r="G24" s="21" t="s">
        <v>139</v>
      </c>
      <c r="H24" s="21" t="s">
        <v>140</v>
      </c>
      <c r="I24" s="22" t="s">
        <v>141</v>
      </c>
      <c r="J24" s="21" t="s">
        <v>142</v>
      </c>
      <c r="K24" s="21" t="s">
        <v>33</v>
      </c>
    </row>
    <row r="25" spans="1:11" ht="15.75" customHeight="1">
      <c r="A25" s="23"/>
      <c r="B25" s="14">
        <v>156</v>
      </c>
      <c r="C25" s="15">
        <v>170</v>
      </c>
      <c r="D25" s="15">
        <v>206</v>
      </c>
      <c r="E25" s="15">
        <v>176</v>
      </c>
      <c r="F25" s="15">
        <v>178</v>
      </c>
      <c r="G25" s="15">
        <v>156</v>
      </c>
      <c r="H25" s="15">
        <v>131</v>
      </c>
      <c r="I25" s="15">
        <v>127</v>
      </c>
      <c r="J25" s="15">
        <v>1300</v>
      </c>
      <c r="K25" s="15">
        <v>258</v>
      </c>
    </row>
    <row r="26" spans="1:11" ht="15">
      <c r="A26" s="23"/>
      <c r="B26" s="14">
        <v>20</v>
      </c>
      <c r="C26" s="15">
        <v>20</v>
      </c>
      <c r="D26" s="15">
        <v>21</v>
      </c>
      <c r="E26" s="15">
        <v>19</v>
      </c>
      <c r="F26" s="15">
        <v>21</v>
      </c>
      <c r="G26" s="15">
        <v>21</v>
      </c>
      <c r="H26" s="15">
        <v>16</v>
      </c>
      <c r="I26" s="15">
        <v>16</v>
      </c>
      <c r="J26" s="15">
        <v>154</v>
      </c>
      <c r="K26" s="15">
        <v>32</v>
      </c>
    </row>
    <row r="27" spans="1:11" ht="15">
      <c r="A27" s="16">
        <v>2019120005</v>
      </c>
      <c r="B27" s="17">
        <v>7.8</v>
      </c>
      <c r="C27" s="18">
        <v>8.5</v>
      </c>
      <c r="D27" s="18">
        <v>9.81</v>
      </c>
      <c r="E27" s="18">
        <v>9.26</v>
      </c>
      <c r="F27" s="18">
        <v>8.48</v>
      </c>
      <c r="G27" s="18">
        <v>7.43</v>
      </c>
      <c r="H27" s="18">
        <v>8.19</v>
      </c>
      <c r="I27" s="18">
        <v>7.94</v>
      </c>
      <c r="J27" s="19">
        <v>8.44</v>
      </c>
      <c r="K27" s="18">
        <v>8.06</v>
      </c>
    </row>
    <row r="28" spans="1:11" ht="15">
      <c r="A28" s="10"/>
      <c r="B28" s="20" t="s">
        <v>134</v>
      </c>
      <c r="C28" s="21" t="s">
        <v>135</v>
      </c>
      <c r="D28" s="21" t="s">
        <v>136</v>
      </c>
      <c r="E28" s="21" t="s">
        <v>137</v>
      </c>
      <c r="F28" s="21" t="s">
        <v>138</v>
      </c>
      <c r="G28" s="21" t="s">
        <v>139</v>
      </c>
      <c r="H28" s="21" t="s">
        <v>140</v>
      </c>
      <c r="I28" s="21" t="s">
        <v>141</v>
      </c>
      <c r="J28" s="21" t="s">
        <v>142</v>
      </c>
      <c r="K28" s="21" t="s">
        <v>33</v>
      </c>
    </row>
    <row r="29" spans="1:11" ht="15">
      <c r="A29" s="13"/>
      <c r="B29" s="14">
        <v>178</v>
      </c>
      <c r="C29" s="15">
        <v>196</v>
      </c>
      <c r="D29" s="15">
        <v>202</v>
      </c>
      <c r="E29" s="15">
        <v>177</v>
      </c>
      <c r="F29" s="15">
        <v>186</v>
      </c>
      <c r="G29" s="15">
        <v>176</v>
      </c>
      <c r="H29" s="15">
        <v>140</v>
      </c>
      <c r="I29" s="15">
        <v>159</v>
      </c>
      <c r="J29" s="15">
        <v>1414</v>
      </c>
      <c r="K29" s="15">
        <v>299</v>
      </c>
    </row>
    <row r="30" spans="1:11" ht="15">
      <c r="A30" s="13"/>
      <c r="B30" s="14">
        <v>20</v>
      </c>
      <c r="C30" s="15">
        <v>20</v>
      </c>
      <c r="D30" s="15">
        <v>21</v>
      </c>
      <c r="E30" s="15">
        <v>19</v>
      </c>
      <c r="F30" s="15">
        <v>21</v>
      </c>
      <c r="G30" s="15">
        <v>20</v>
      </c>
      <c r="H30" s="15">
        <v>16</v>
      </c>
      <c r="I30" s="15">
        <v>16</v>
      </c>
      <c r="J30" s="15">
        <v>153</v>
      </c>
      <c r="K30" s="15">
        <v>32</v>
      </c>
    </row>
    <row r="31" spans="1:11" ht="15">
      <c r="A31" s="16">
        <v>2019120006</v>
      </c>
      <c r="B31" s="17">
        <v>8.9</v>
      </c>
      <c r="C31" s="18">
        <v>9.8000000000000007</v>
      </c>
      <c r="D31" s="18">
        <v>9.6199999999999992</v>
      </c>
      <c r="E31" s="18">
        <v>9.32</v>
      </c>
      <c r="F31" s="18">
        <v>8.86</v>
      </c>
      <c r="G31" s="18">
        <v>8.8000000000000007</v>
      </c>
      <c r="H31" s="18">
        <v>8.75</v>
      </c>
      <c r="I31" s="18">
        <v>9.94</v>
      </c>
      <c r="J31" s="19">
        <v>9.24</v>
      </c>
      <c r="K31" s="18">
        <v>9.34</v>
      </c>
    </row>
    <row r="32" spans="1:11" ht="15">
      <c r="A32" s="10"/>
      <c r="B32" s="20" t="s">
        <v>134</v>
      </c>
      <c r="C32" s="21" t="s">
        <v>135</v>
      </c>
      <c r="D32" s="21" t="s">
        <v>136</v>
      </c>
      <c r="E32" s="21" t="s">
        <v>137</v>
      </c>
      <c r="F32" s="21" t="s">
        <v>138</v>
      </c>
      <c r="G32" s="21" t="s">
        <v>139</v>
      </c>
      <c r="H32" s="21" t="s">
        <v>140</v>
      </c>
      <c r="I32" s="21" t="s">
        <v>141</v>
      </c>
      <c r="J32" s="21" t="s">
        <v>142</v>
      </c>
      <c r="K32" s="21" t="s">
        <v>33</v>
      </c>
    </row>
    <row r="33" spans="1:11" ht="15">
      <c r="A33" s="13"/>
      <c r="B33" s="14">
        <v>142</v>
      </c>
      <c r="C33" s="15">
        <v>161</v>
      </c>
      <c r="D33" s="15">
        <v>181</v>
      </c>
      <c r="E33" s="15">
        <v>138</v>
      </c>
      <c r="F33" s="15">
        <v>130</v>
      </c>
      <c r="G33" s="15">
        <v>107</v>
      </c>
      <c r="H33" s="15">
        <v>101</v>
      </c>
      <c r="I33" s="15">
        <v>160</v>
      </c>
      <c r="J33" s="15">
        <v>1120</v>
      </c>
      <c r="K33" s="15">
        <v>261</v>
      </c>
    </row>
    <row r="34" spans="1:11" ht="15">
      <c r="A34" s="13"/>
      <c r="B34" s="14">
        <v>20</v>
      </c>
      <c r="C34" s="15">
        <v>20</v>
      </c>
      <c r="D34" s="15">
        <v>21</v>
      </c>
      <c r="E34" s="15">
        <v>19</v>
      </c>
      <c r="F34" s="15">
        <v>21</v>
      </c>
      <c r="G34" s="15">
        <v>20</v>
      </c>
      <c r="H34" s="15">
        <v>16</v>
      </c>
      <c r="I34" s="15">
        <v>16</v>
      </c>
      <c r="J34" s="15">
        <v>153</v>
      </c>
      <c r="K34" s="15">
        <v>32</v>
      </c>
    </row>
    <row r="35" spans="1:11" ht="15">
      <c r="A35" s="16">
        <v>2019120007</v>
      </c>
      <c r="B35" s="17">
        <v>7.1</v>
      </c>
      <c r="C35" s="18">
        <v>8.0500000000000007</v>
      </c>
      <c r="D35" s="18">
        <v>8.6199999999999992</v>
      </c>
      <c r="E35" s="18">
        <v>7.26</v>
      </c>
      <c r="F35" s="18">
        <v>6.19</v>
      </c>
      <c r="G35" s="18">
        <v>5.35</v>
      </c>
      <c r="H35" s="18">
        <v>6.31</v>
      </c>
      <c r="I35" s="18">
        <v>10</v>
      </c>
      <c r="J35" s="19">
        <v>7.32</v>
      </c>
      <c r="K35" s="18">
        <v>8.16</v>
      </c>
    </row>
    <row r="36" spans="1:11" ht="15">
      <c r="A36" s="10"/>
      <c r="B36" s="20" t="s">
        <v>134</v>
      </c>
      <c r="C36" s="21" t="s">
        <v>135</v>
      </c>
      <c r="D36" s="21" t="s">
        <v>136</v>
      </c>
      <c r="E36" s="21" t="s">
        <v>137</v>
      </c>
      <c r="F36" s="21" t="s">
        <v>138</v>
      </c>
      <c r="G36" s="21" t="s">
        <v>139</v>
      </c>
      <c r="H36" s="21" t="s">
        <v>140</v>
      </c>
      <c r="I36" s="22" t="s">
        <v>141</v>
      </c>
      <c r="J36" s="21" t="s">
        <v>142</v>
      </c>
      <c r="K36" s="21" t="s">
        <v>33</v>
      </c>
    </row>
    <row r="37" spans="1:11" ht="15">
      <c r="A37" s="23"/>
      <c r="B37" s="14">
        <v>133</v>
      </c>
      <c r="C37" s="15">
        <v>149</v>
      </c>
      <c r="D37" s="15">
        <v>204</v>
      </c>
      <c r="E37" s="15">
        <v>176</v>
      </c>
      <c r="F37" s="15">
        <v>184</v>
      </c>
      <c r="G37" s="15">
        <v>201</v>
      </c>
      <c r="H37" s="15">
        <v>118</v>
      </c>
      <c r="I37" s="15">
        <v>124</v>
      </c>
      <c r="J37" s="15">
        <v>1289</v>
      </c>
      <c r="K37" s="15">
        <v>242</v>
      </c>
    </row>
    <row r="38" spans="1:11" ht="15">
      <c r="A38" s="23"/>
      <c r="B38" s="14">
        <v>20</v>
      </c>
      <c r="C38" s="15">
        <v>20</v>
      </c>
      <c r="D38" s="15">
        <v>21</v>
      </c>
      <c r="E38" s="15">
        <v>19</v>
      </c>
      <c r="F38" s="15">
        <v>21</v>
      </c>
      <c r="G38" s="15">
        <v>21</v>
      </c>
      <c r="H38" s="15">
        <v>16</v>
      </c>
      <c r="I38" s="15">
        <v>16</v>
      </c>
      <c r="J38" s="15">
        <v>154</v>
      </c>
      <c r="K38" s="15">
        <v>32</v>
      </c>
    </row>
    <row r="39" spans="1:11" ht="15">
      <c r="A39" s="16">
        <v>2019120008</v>
      </c>
      <c r="B39" s="17">
        <v>6.65</v>
      </c>
      <c r="C39" s="18">
        <v>7.45</v>
      </c>
      <c r="D39" s="18">
        <v>9.7100000000000009</v>
      </c>
      <c r="E39" s="18">
        <v>9.26</v>
      </c>
      <c r="F39" s="18">
        <v>8.76</v>
      </c>
      <c r="G39" s="18">
        <v>9.57</v>
      </c>
      <c r="H39" s="18">
        <v>7.38</v>
      </c>
      <c r="I39" s="18">
        <v>7.75</v>
      </c>
      <c r="J39" s="19">
        <v>8.3699999999999992</v>
      </c>
      <c r="K39" s="18">
        <v>7.56</v>
      </c>
    </row>
    <row r="40" spans="1:11" ht="15">
      <c r="A40" s="10"/>
      <c r="B40" s="20" t="s">
        <v>134</v>
      </c>
      <c r="C40" s="21" t="s">
        <v>135</v>
      </c>
      <c r="D40" s="21" t="s">
        <v>136</v>
      </c>
      <c r="E40" s="21" t="s">
        <v>137</v>
      </c>
      <c r="F40" s="21" t="s">
        <v>138</v>
      </c>
      <c r="G40" s="21" t="s">
        <v>139</v>
      </c>
      <c r="H40" s="21" t="s">
        <v>140</v>
      </c>
      <c r="I40" s="21" t="s">
        <v>141</v>
      </c>
      <c r="J40" s="21" t="s">
        <v>142</v>
      </c>
      <c r="K40" s="21" t="s">
        <v>33</v>
      </c>
    </row>
    <row r="41" spans="1:11" ht="15">
      <c r="A41" s="13"/>
      <c r="B41" s="14">
        <v>165</v>
      </c>
      <c r="C41" s="15">
        <v>172</v>
      </c>
      <c r="D41" s="15">
        <v>194</v>
      </c>
      <c r="E41" s="15">
        <v>166</v>
      </c>
      <c r="F41" s="15">
        <v>194</v>
      </c>
      <c r="G41" s="15">
        <v>201</v>
      </c>
      <c r="H41" s="15">
        <v>139</v>
      </c>
      <c r="I41" s="15">
        <v>157</v>
      </c>
      <c r="J41" s="15">
        <v>1388</v>
      </c>
      <c r="K41" s="15">
        <v>296</v>
      </c>
    </row>
    <row r="42" spans="1:11" ht="15">
      <c r="A42" s="13"/>
      <c r="B42" s="14">
        <v>20</v>
      </c>
      <c r="C42" s="15">
        <v>20</v>
      </c>
      <c r="D42" s="15">
        <v>21</v>
      </c>
      <c r="E42" s="15">
        <v>19</v>
      </c>
      <c r="F42" s="15">
        <v>21</v>
      </c>
      <c r="G42" s="15">
        <v>21</v>
      </c>
      <c r="H42" s="15">
        <v>16</v>
      </c>
      <c r="I42" s="15">
        <v>16</v>
      </c>
      <c r="J42" s="15">
        <v>154</v>
      </c>
      <c r="K42" s="15">
        <v>32</v>
      </c>
    </row>
    <row r="43" spans="1:11" ht="15">
      <c r="A43" s="16">
        <v>2019120009</v>
      </c>
      <c r="B43" s="17">
        <v>8.25</v>
      </c>
      <c r="C43" s="18">
        <v>8.6</v>
      </c>
      <c r="D43" s="18">
        <v>9.24</v>
      </c>
      <c r="E43" s="18">
        <v>8.74</v>
      </c>
      <c r="F43" s="18">
        <v>9.24</v>
      </c>
      <c r="G43" s="18">
        <v>9.57</v>
      </c>
      <c r="H43" s="18">
        <v>8.69</v>
      </c>
      <c r="I43" s="18">
        <v>9.81</v>
      </c>
      <c r="J43" s="19">
        <v>9.01</v>
      </c>
      <c r="K43" s="18">
        <v>9.25</v>
      </c>
    </row>
    <row r="44" spans="1:11" ht="15">
      <c r="A44" s="10"/>
      <c r="B44" s="20" t="s">
        <v>134</v>
      </c>
      <c r="C44" s="21" t="s">
        <v>135</v>
      </c>
      <c r="D44" s="21" t="s">
        <v>136</v>
      </c>
      <c r="E44" s="21" t="s">
        <v>137</v>
      </c>
      <c r="F44" s="21" t="s">
        <v>138</v>
      </c>
      <c r="G44" s="21" t="s">
        <v>139</v>
      </c>
      <c r="H44" s="21" t="s">
        <v>140</v>
      </c>
      <c r="I44" s="21" t="s">
        <v>141</v>
      </c>
      <c r="J44" s="21" t="s">
        <v>142</v>
      </c>
      <c r="K44" s="21" t="s">
        <v>33</v>
      </c>
    </row>
    <row r="45" spans="1:11" ht="15">
      <c r="A45" s="13"/>
      <c r="B45" s="14">
        <v>165</v>
      </c>
      <c r="C45" s="15">
        <v>176</v>
      </c>
      <c r="D45" s="15">
        <v>186</v>
      </c>
      <c r="E45" s="15">
        <v>158</v>
      </c>
      <c r="F45" s="15">
        <v>176</v>
      </c>
      <c r="G45" s="15">
        <v>161</v>
      </c>
      <c r="H45" s="15">
        <v>121</v>
      </c>
      <c r="I45" s="15">
        <v>160</v>
      </c>
      <c r="J45" s="15">
        <v>1303</v>
      </c>
      <c r="K45" s="15">
        <v>281</v>
      </c>
    </row>
    <row r="46" spans="1:11" ht="15">
      <c r="A46" s="13"/>
      <c r="B46" s="14">
        <v>20</v>
      </c>
      <c r="C46" s="15">
        <v>20</v>
      </c>
      <c r="D46" s="15">
        <v>21</v>
      </c>
      <c r="E46" s="15">
        <v>19</v>
      </c>
      <c r="F46" s="15">
        <v>21</v>
      </c>
      <c r="G46" s="15">
        <v>20</v>
      </c>
      <c r="H46" s="15">
        <v>16</v>
      </c>
      <c r="I46" s="15">
        <v>16</v>
      </c>
      <c r="J46" s="15">
        <v>153</v>
      </c>
      <c r="K46" s="15">
        <v>32</v>
      </c>
    </row>
    <row r="47" spans="1:11" ht="15">
      <c r="A47" s="16">
        <v>2019120010</v>
      </c>
      <c r="B47" s="17">
        <v>8.25</v>
      </c>
      <c r="C47" s="18">
        <v>8.8000000000000007</v>
      </c>
      <c r="D47" s="18">
        <v>8.86</v>
      </c>
      <c r="E47" s="18">
        <v>8.32</v>
      </c>
      <c r="F47" s="18">
        <v>8.3800000000000008</v>
      </c>
      <c r="G47" s="18">
        <v>8.0500000000000007</v>
      </c>
      <c r="H47" s="18">
        <v>7.56</v>
      </c>
      <c r="I47" s="18">
        <v>10</v>
      </c>
      <c r="J47" s="19">
        <v>8.52</v>
      </c>
      <c r="K47" s="18">
        <v>8.7799999999999994</v>
      </c>
    </row>
    <row r="48" spans="1:11" ht="15">
      <c r="A48" s="10"/>
      <c r="B48" s="20" t="s">
        <v>134</v>
      </c>
      <c r="C48" s="21" t="s">
        <v>135</v>
      </c>
      <c r="D48" s="21" t="s">
        <v>136</v>
      </c>
      <c r="E48" s="21" t="s">
        <v>137</v>
      </c>
      <c r="F48" s="21" t="s">
        <v>138</v>
      </c>
      <c r="G48" s="21" t="s">
        <v>139</v>
      </c>
      <c r="H48" s="21" t="s">
        <v>140</v>
      </c>
      <c r="I48" s="21" t="s">
        <v>141</v>
      </c>
      <c r="J48" s="21" t="s">
        <v>142</v>
      </c>
      <c r="K48" s="21" t="s">
        <v>33</v>
      </c>
    </row>
    <row r="49" spans="1:11" ht="15">
      <c r="A49" s="13"/>
      <c r="B49" s="14">
        <v>157</v>
      </c>
      <c r="C49" s="15">
        <v>167</v>
      </c>
      <c r="D49" s="15">
        <v>202</v>
      </c>
      <c r="E49" s="15">
        <v>153</v>
      </c>
      <c r="F49" s="15">
        <v>186</v>
      </c>
      <c r="G49" s="15">
        <v>198</v>
      </c>
      <c r="H49" s="15">
        <v>127</v>
      </c>
      <c r="I49" s="15">
        <v>139</v>
      </c>
      <c r="J49" s="15">
        <v>1329</v>
      </c>
      <c r="K49" s="15">
        <v>266</v>
      </c>
    </row>
    <row r="50" spans="1:11" ht="15">
      <c r="A50" s="13"/>
      <c r="B50" s="14">
        <v>20</v>
      </c>
      <c r="C50" s="15">
        <v>20</v>
      </c>
      <c r="D50" s="15">
        <v>21</v>
      </c>
      <c r="E50" s="15">
        <v>19</v>
      </c>
      <c r="F50" s="15">
        <v>21</v>
      </c>
      <c r="G50" s="15">
        <v>21</v>
      </c>
      <c r="H50" s="15">
        <v>16</v>
      </c>
      <c r="I50" s="15">
        <v>16</v>
      </c>
      <c r="J50" s="15">
        <v>154</v>
      </c>
      <c r="K50" s="15">
        <v>32</v>
      </c>
    </row>
    <row r="51" spans="1:11" ht="15">
      <c r="A51" s="16">
        <v>2019120011</v>
      </c>
      <c r="B51" s="17">
        <v>7.85</v>
      </c>
      <c r="C51" s="18">
        <v>8.35</v>
      </c>
      <c r="D51" s="18">
        <v>9.6199999999999992</v>
      </c>
      <c r="E51" s="18">
        <v>8.0500000000000007</v>
      </c>
      <c r="F51" s="18">
        <v>8.86</v>
      </c>
      <c r="G51" s="18">
        <v>9.43</v>
      </c>
      <c r="H51" s="18">
        <v>7.94</v>
      </c>
      <c r="I51" s="18">
        <v>8.69</v>
      </c>
      <c r="J51" s="19">
        <v>8.6300000000000008</v>
      </c>
      <c r="K51" s="18">
        <v>8.31</v>
      </c>
    </row>
    <row r="52" spans="1:11" ht="15">
      <c r="A52" s="10"/>
      <c r="B52" s="20" t="s">
        <v>134</v>
      </c>
      <c r="C52" s="21" t="s">
        <v>135</v>
      </c>
      <c r="D52" s="21" t="s">
        <v>136</v>
      </c>
      <c r="E52" s="21" t="s">
        <v>137</v>
      </c>
      <c r="F52" s="21" t="s">
        <v>138</v>
      </c>
      <c r="G52" s="21" t="s">
        <v>139</v>
      </c>
      <c r="H52" s="21" t="s">
        <v>140</v>
      </c>
      <c r="I52" s="21" t="s">
        <v>141</v>
      </c>
      <c r="J52" s="21" t="s">
        <v>142</v>
      </c>
      <c r="K52" s="21" t="s">
        <v>33</v>
      </c>
    </row>
    <row r="53" spans="1:11" ht="15">
      <c r="A53" s="13"/>
      <c r="B53" s="14">
        <v>180</v>
      </c>
      <c r="C53" s="15">
        <v>197</v>
      </c>
      <c r="D53" s="15">
        <v>206</v>
      </c>
      <c r="E53" s="15">
        <v>173</v>
      </c>
      <c r="F53" s="15">
        <v>174</v>
      </c>
      <c r="G53" s="15">
        <v>185</v>
      </c>
      <c r="H53" s="15">
        <v>129</v>
      </c>
      <c r="I53" s="15">
        <v>159</v>
      </c>
      <c r="J53" s="15">
        <v>1403</v>
      </c>
      <c r="K53" s="15">
        <v>288</v>
      </c>
    </row>
    <row r="54" spans="1:11" ht="15">
      <c r="A54" s="13"/>
      <c r="B54" s="14">
        <v>20</v>
      </c>
      <c r="C54" s="15">
        <v>20</v>
      </c>
      <c r="D54" s="15">
        <v>21</v>
      </c>
      <c r="E54" s="15">
        <v>19</v>
      </c>
      <c r="F54" s="15">
        <v>21</v>
      </c>
      <c r="G54" s="15">
        <v>20</v>
      </c>
      <c r="H54" s="15">
        <v>16</v>
      </c>
      <c r="I54" s="15">
        <v>16</v>
      </c>
      <c r="J54" s="15">
        <v>153</v>
      </c>
      <c r="K54" s="15">
        <v>32</v>
      </c>
    </row>
    <row r="55" spans="1:11" ht="15">
      <c r="A55" s="16">
        <v>2019120012</v>
      </c>
      <c r="B55" s="17">
        <v>9</v>
      </c>
      <c r="C55" s="18">
        <v>9.85</v>
      </c>
      <c r="D55" s="18">
        <v>9.81</v>
      </c>
      <c r="E55" s="18">
        <v>9.11</v>
      </c>
      <c r="F55" s="18">
        <v>8.2899999999999991</v>
      </c>
      <c r="G55" s="18">
        <v>9.25</v>
      </c>
      <c r="H55" s="18">
        <v>8.06</v>
      </c>
      <c r="I55" s="18">
        <v>9.94</v>
      </c>
      <c r="J55" s="19">
        <v>9.17</v>
      </c>
      <c r="K55" s="18">
        <v>9</v>
      </c>
    </row>
    <row r="56" spans="1:11" ht="15">
      <c r="A56" s="10"/>
      <c r="B56" s="20" t="s">
        <v>134</v>
      </c>
      <c r="C56" s="21" t="s">
        <v>135</v>
      </c>
      <c r="D56" s="21" t="s">
        <v>136</v>
      </c>
      <c r="E56" s="21" t="s">
        <v>137</v>
      </c>
      <c r="F56" s="21" t="s">
        <v>138</v>
      </c>
      <c r="G56" s="21" t="s">
        <v>139</v>
      </c>
      <c r="H56" s="21" t="s">
        <v>140</v>
      </c>
      <c r="I56" s="24" t="s">
        <v>141</v>
      </c>
      <c r="J56" s="21" t="s">
        <v>142</v>
      </c>
      <c r="K56" s="21" t="s">
        <v>33</v>
      </c>
    </row>
    <row r="57" spans="1:11" ht="15">
      <c r="A57" s="23"/>
      <c r="B57" s="14">
        <v>167</v>
      </c>
      <c r="C57" s="15">
        <v>179</v>
      </c>
      <c r="D57" s="15">
        <v>198</v>
      </c>
      <c r="E57" s="15">
        <v>167</v>
      </c>
      <c r="F57" s="15">
        <v>190</v>
      </c>
      <c r="G57" s="15">
        <v>195</v>
      </c>
      <c r="H57" s="15">
        <v>118</v>
      </c>
      <c r="I57" s="25">
        <v>129</v>
      </c>
      <c r="J57" s="15">
        <v>1343</v>
      </c>
      <c r="K57" s="15">
        <v>247</v>
      </c>
    </row>
    <row r="58" spans="1:11" ht="15">
      <c r="A58" s="23"/>
      <c r="B58" s="14">
        <v>20</v>
      </c>
      <c r="C58" s="15">
        <v>20</v>
      </c>
      <c r="D58" s="15">
        <v>21</v>
      </c>
      <c r="E58" s="15">
        <v>19</v>
      </c>
      <c r="F58" s="15">
        <v>21</v>
      </c>
      <c r="G58" s="15">
        <v>21</v>
      </c>
      <c r="H58" s="15">
        <v>16</v>
      </c>
      <c r="I58" s="25">
        <v>16</v>
      </c>
      <c r="J58" s="15">
        <v>154</v>
      </c>
      <c r="K58" s="15">
        <v>32</v>
      </c>
    </row>
    <row r="59" spans="1:11" ht="15">
      <c r="A59" s="16">
        <v>2019120013</v>
      </c>
      <c r="B59" s="17">
        <v>8.35</v>
      </c>
      <c r="C59" s="18">
        <v>8.9499999999999993</v>
      </c>
      <c r="D59" s="18">
        <v>9.43</v>
      </c>
      <c r="E59" s="18">
        <v>8.7899999999999991</v>
      </c>
      <c r="F59" s="18">
        <v>9.0500000000000007</v>
      </c>
      <c r="G59" s="18">
        <v>9.2899999999999991</v>
      </c>
      <c r="H59" s="18">
        <v>7.38</v>
      </c>
      <c r="I59" s="26">
        <v>8.06</v>
      </c>
      <c r="J59" s="19">
        <v>8.7200000000000006</v>
      </c>
      <c r="K59" s="18">
        <v>7.72</v>
      </c>
    </row>
    <row r="60" spans="1:11" ht="15">
      <c r="A60" s="10"/>
      <c r="B60" s="20" t="s">
        <v>134</v>
      </c>
      <c r="C60" s="21" t="s">
        <v>135</v>
      </c>
      <c r="D60" s="21" t="s">
        <v>136</v>
      </c>
      <c r="E60" s="21" t="s">
        <v>137</v>
      </c>
      <c r="F60" s="21" t="s">
        <v>138</v>
      </c>
      <c r="G60" s="21" t="s">
        <v>139</v>
      </c>
      <c r="H60" s="21" t="s">
        <v>140</v>
      </c>
      <c r="I60" s="21" t="s">
        <v>141</v>
      </c>
      <c r="J60" s="21" t="s">
        <v>142</v>
      </c>
      <c r="K60" s="21" t="s">
        <v>33</v>
      </c>
    </row>
    <row r="61" spans="1:11" ht="15">
      <c r="A61" s="13"/>
      <c r="B61" s="14">
        <v>159</v>
      </c>
      <c r="C61" s="15">
        <v>180</v>
      </c>
      <c r="D61" s="15">
        <v>192</v>
      </c>
      <c r="E61" s="15">
        <v>156</v>
      </c>
      <c r="F61" s="15">
        <v>166</v>
      </c>
      <c r="G61" s="15">
        <v>155</v>
      </c>
      <c r="H61" s="15">
        <v>132</v>
      </c>
      <c r="I61" s="15">
        <v>160</v>
      </c>
      <c r="J61" s="15">
        <v>1300</v>
      </c>
      <c r="K61" s="15">
        <v>292</v>
      </c>
    </row>
    <row r="62" spans="1:11" ht="15">
      <c r="A62" s="13"/>
      <c r="B62" s="14">
        <v>20</v>
      </c>
      <c r="C62" s="15">
        <v>20</v>
      </c>
      <c r="D62" s="15">
        <v>21</v>
      </c>
      <c r="E62" s="15">
        <v>19</v>
      </c>
      <c r="F62" s="15">
        <v>21</v>
      </c>
      <c r="G62" s="15">
        <v>20</v>
      </c>
      <c r="H62" s="15">
        <v>16</v>
      </c>
      <c r="I62" s="15">
        <v>16</v>
      </c>
      <c r="J62" s="15">
        <v>153</v>
      </c>
      <c r="K62" s="15">
        <v>32</v>
      </c>
    </row>
    <row r="63" spans="1:11" ht="15">
      <c r="A63" s="16">
        <v>2019120014</v>
      </c>
      <c r="B63" s="17">
        <v>7.95</v>
      </c>
      <c r="C63" s="18">
        <v>9</v>
      </c>
      <c r="D63" s="18">
        <v>9.14</v>
      </c>
      <c r="E63" s="18">
        <v>8.2100000000000009</v>
      </c>
      <c r="F63" s="18">
        <v>7.9</v>
      </c>
      <c r="G63" s="18">
        <v>7.75</v>
      </c>
      <c r="H63" s="18">
        <v>8.25</v>
      </c>
      <c r="I63" s="18">
        <v>10</v>
      </c>
      <c r="J63" s="19">
        <v>8.5</v>
      </c>
      <c r="K63" s="18">
        <v>9.1300000000000008</v>
      </c>
    </row>
    <row r="64" spans="1:11" ht="15">
      <c r="A64" s="10"/>
      <c r="B64" s="20" t="s">
        <v>134</v>
      </c>
      <c r="C64" s="21" t="s">
        <v>135</v>
      </c>
      <c r="D64" s="21" t="s">
        <v>136</v>
      </c>
      <c r="E64" s="21" t="s">
        <v>137</v>
      </c>
      <c r="F64" s="21" t="s">
        <v>138</v>
      </c>
      <c r="G64" s="21" t="s">
        <v>139</v>
      </c>
      <c r="H64" s="21" t="s">
        <v>140</v>
      </c>
      <c r="I64" s="21" t="s">
        <v>141</v>
      </c>
      <c r="J64" s="21" t="s">
        <v>142</v>
      </c>
      <c r="K64" s="21" t="s">
        <v>33</v>
      </c>
    </row>
    <row r="65" spans="1:11" ht="15">
      <c r="A65" s="13"/>
      <c r="B65" s="14">
        <v>164</v>
      </c>
      <c r="C65" s="15">
        <v>175</v>
      </c>
      <c r="D65" s="15">
        <v>196</v>
      </c>
      <c r="E65" s="15">
        <v>167</v>
      </c>
      <c r="F65" s="15">
        <v>182</v>
      </c>
      <c r="G65" s="15">
        <v>198</v>
      </c>
      <c r="H65" s="15">
        <v>127</v>
      </c>
      <c r="I65" s="15">
        <v>121</v>
      </c>
      <c r="J65" s="15">
        <v>1330</v>
      </c>
      <c r="K65" s="15">
        <v>248</v>
      </c>
    </row>
    <row r="66" spans="1:11" ht="15">
      <c r="A66" s="13"/>
      <c r="B66" s="14">
        <v>20</v>
      </c>
      <c r="C66" s="15">
        <v>20</v>
      </c>
      <c r="D66" s="15">
        <v>21</v>
      </c>
      <c r="E66" s="15">
        <v>19</v>
      </c>
      <c r="F66" s="15">
        <v>21</v>
      </c>
      <c r="G66" s="15">
        <v>21</v>
      </c>
      <c r="H66" s="15">
        <v>16</v>
      </c>
      <c r="I66" s="15">
        <v>16</v>
      </c>
      <c r="J66" s="15">
        <v>154</v>
      </c>
      <c r="K66" s="15">
        <v>32</v>
      </c>
    </row>
    <row r="67" spans="1:11" ht="15">
      <c r="A67" s="16">
        <v>2019120015</v>
      </c>
      <c r="B67" s="17">
        <v>8.1999999999999993</v>
      </c>
      <c r="C67" s="18">
        <v>8.75</v>
      </c>
      <c r="D67" s="18">
        <v>9.33</v>
      </c>
      <c r="E67" s="18">
        <v>8.7899999999999991</v>
      </c>
      <c r="F67" s="18">
        <v>8.67</v>
      </c>
      <c r="G67" s="18">
        <v>9.43</v>
      </c>
      <c r="H67" s="18">
        <v>7.94</v>
      </c>
      <c r="I67" s="18">
        <v>7.56</v>
      </c>
      <c r="J67" s="19">
        <v>8.64</v>
      </c>
      <c r="K67" s="18">
        <v>7.75</v>
      </c>
    </row>
    <row r="68" spans="1:11" ht="15">
      <c r="A68" s="10"/>
      <c r="B68" s="20" t="s">
        <v>134</v>
      </c>
      <c r="C68" s="21" t="s">
        <v>135</v>
      </c>
      <c r="D68" s="21" t="s">
        <v>136</v>
      </c>
      <c r="E68" s="21" t="s">
        <v>137</v>
      </c>
      <c r="F68" s="21" t="s">
        <v>138</v>
      </c>
      <c r="G68" s="21" t="s">
        <v>139</v>
      </c>
      <c r="H68" s="21" t="s">
        <v>140</v>
      </c>
      <c r="I68" s="21" t="s">
        <v>141</v>
      </c>
      <c r="J68" s="21" t="s">
        <v>142</v>
      </c>
      <c r="K68" s="21" t="s">
        <v>33</v>
      </c>
    </row>
    <row r="69" spans="1:11" ht="15">
      <c r="A69" s="13"/>
      <c r="B69" s="14">
        <v>158</v>
      </c>
      <c r="C69" s="15">
        <v>168</v>
      </c>
      <c r="D69" s="15">
        <v>198</v>
      </c>
      <c r="E69" s="15">
        <v>165</v>
      </c>
      <c r="F69" s="15">
        <v>182</v>
      </c>
      <c r="G69" s="15">
        <v>170</v>
      </c>
      <c r="H69" s="15">
        <v>147</v>
      </c>
      <c r="I69" s="15">
        <v>160</v>
      </c>
      <c r="J69" s="15">
        <v>1348</v>
      </c>
      <c r="K69" s="15">
        <v>307</v>
      </c>
    </row>
    <row r="70" spans="1:11" ht="15">
      <c r="A70" s="13"/>
      <c r="B70" s="14">
        <v>20</v>
      </c>
      <c r="C70" s="15">
        <v>20</v>
      </c>
      <c r="D70" s="15">
        <v>21</v>
      </c>
      <c r="E70" s="15">
        <v>19</v>
      </c>
      <c r="F70" s="15">
        <v>21</v>
      </c>
      <c r="G70" s="15">
        <v>20</v>
      </c>
      <c r="H70" s="15">
        <v>16</v>
      </c>
      <c r="I70" s="15">
        <v>16</v>
      </c>
      <c r="J70" s="15">
        <v>153</v>
      </c>
      <c r="K70" s="15">
        <v>32</v>
      </c>
    </row>
    <row r="71" spans="1:11" ht="15">
      <c r="A71" s="16">
        <v>2019120016</v>
      </c>
      <c r="B71" s="17">
        <v>7.9</v>
      </c>
      <c r="C71" s="18">
        <v>8.4</v>
      </c>
      <c r="D71" s="18">
        <v>9.43</v>
      </c>
      <c r="E71" s="18">
        <v>8.68</v>
      </c>
      <c r="F71" s="18">
        <v>8.67</v>
      </c>
      <c r="G71" s="18">
        <v>8.5</v>
      </c>
      <c r="H71" s="18">
        <v>9.19</v>
      </c>
      <c r="I71" s="18">
        <v>10</v>
      </c>
      <c r="J71" s="19">
        <v>8.81</v>
      </c>
      <c r="K71" s="18">
        <v>9.59</v>
      </c>
    </row>
    <row r="72" spans="1:11" ht="15">
      <c r="A72" s="10"/>
      <c r="B72" s="20" t="s">
        <v>134</v>
      </c>
      <c r="C72" s="21" t="s">
        <v>135</v>
      </c>
      <c r="D72" s="21" t="s">
        <v>136</v>
      </c>
      <c r="E72" s="21" t="s">
        <v>137</v>
      </c>
      <c r="F72" s="21" t="s">
        <v>138</v>
      </c>
      <c r="G72" s="21" t="s">
        <v>139</v>
      </c>
      <c r="H72" s="21" t="s">
        <v>140</v>
      </c>
      <c r="I72" s="21" t="s">
        <v>141</v>
      </c>
      <c r="J72" s="21" t="s">
        <v>142</v>
      </c>
      <c r="K72" s="21" t="s">
        <v>33</v>
      </c>
    </row>
    <row r="73" spans="1:11" ht="15">
      <c r="A73" s="13"/>
      <c r="B73" s="14">
        <v>148</v>
      </c>
      <c r="C73" s="15">
        <v>175</v>
      </c>
      <c r="D73" s="15">
        <v>202</v>
      </c>
      <c r="E73" s="15">
        <v>161</v>
      </c>
      <c r="F73" s="15">
        <v>184</v>
      </c>
      <c r="G73" s="15">
        <v>201</v>
      </c>
      <c r="H73" s="15">
        <v>135</v>
      </c>
      <c r="I73" s="15">
        <v>157</v>
      </c>
      <c r="J73" s="15">
        <v>1363</v>
      </c>
      <c r="K73" s="15">
        <v>292</v>
      </c>
    </row>
    <row r="74" spans="1:11" ht="15">
      <c r="A74" s="13"/>
      <c r="B74" s="14">
        <v>20</v>
      </c>
      <c r="C74" s="15">
        <v>20</v>
      </c>
      <c r="D74" s="15">
        <v>21</v>
      </c>
      <c r="E74" s="15">
        <v>19</v>
      </c>
      <c r="F74" s="15">
        <v>21</v>
      </c>
      <c r="G74" s="15">
        <v>21</v>
      </c>
      <c r="H74" s="15">
        <v>16</v>
      </c>
      <c r="I74" s="15">
        <v>16</v>
      </c>
      <c r="J74" s="15">
        <v>154</v>
      </c>
      <c r="K74" s="15">
        <v>32</v>
      </c>
    </row>
    <row r="75" spans="1:11" ht="15">
      <c r="A75" s="16">
        <v>2019120017</v>
      </c>
      <c r="B75" s="17">
        <v>7.4</v>
      </c>
      <c r="C75" s="18">
        <v>8.75</v>
      </c>
      <c r="D75" s="18">
        <v>9.6199999999999992</v>
      </c>
      <c r="E75" s="18">
        <v>8.4700000000000006</v>
      </c>
      <c r="F75" s="18">
        <v>8.76</v>
      </c>
      <c r="G75" s="18">
        <v>9.57</v>
      </c>
      <c r="H75" s="18">
        <v>8.44</v>
      </c>
      <c r="I75" s="18">
        <v>9.81</v>
      </c>
      <c r="J75" s="19">
        <v>8.85</v>
      </c>
      <c r="K75" s="18">
        <v>9.1300000000000008</v>
      </c>
    </row>
    <row r="76" spans="1:11" ht="15">
      <c r="A76" s="10"/>
      <c r="B76" s="20" t="s">
        <v>134</v>
      </c>
      <c r="C76" s="21" t="s">
        <v>135</v>
      </c>
      <c r="D76" s="21" t="s">
        <v>136</v>
      </c>
      <c r="E76" s="21" t="s">
        <v>137</v>
      </c>
      <c r="F76" s="21" t="s">
        <v>138</v>
      </c>
      <c r="G76" s="21" t="s">
        <v>139</v>
      </c>
      <c r="H76" s="21" t="s">
        <v>140</v>
      </c>
      <c r="I76" s="21" t="s">
        <v>141</v>
      </c>
      <c r="J76" s="21" t="s">
        <v>142</v>
      </c>
      <c r="K76" s="21" t="s">
        <v>33</v>
      </c>
    </row>
    <row r="77" spans="1:11" ht="15">
      <c r="A77" s="13"/>
      <c r="B77" s="14">
        <v>195</v>
      </c>
      <c r="C77" s="15">
        <v>194</v>
      </c>
      <c r="D77" s="15">
        <v>210</v>
      </c>
      <c r="E77" s="15">
        <v>168</v>
      </c>
      <c r="F77" s="15">
        <v>206</v>
      </c>
      <c r="G77" s="15">
        <v>207</v>
      </c>
      <c r="H77" s="15">
        <v>160</v>
      </c>
      <c r="I77" s="15">
        <v>154</v>
      </c>
      <c r="J77" s="15">
        <v>1494</v>
      </c>
      <c r="K77" s="15">
        <v>314</v>
      </c>
    </row>
    <row r="78" spans="1:11" ht="15">
      <c r="A78" s="13"/>
      <c r="B78" s="14">
        <v>20</v>
      </c>
      <c r="C78" s="15">
        <v>20</v>
      </c>
      <c r="D78" s="15">
        <v>21</v>
      </c>
      <c r="E78" s="15">
        <v>19</v>
      </c>
      <c r="F78" s="15">
        <v>21</v>
      </c>
      <c r="G78" s="15">
        <v>21</v>
      </c>
      <c r="H78" s="15">
        <v>16</v>
      </c>
      <c r="I78" s="15">
        <v>16</v>
      </c>
      <c r="J78" s="15">
        <v>154</v>
      </c>
      <c r="K78" s="15">
        <v>32</v>
      </c>
    </row>
    <row r="79" spans="1:11" ht="15">
      <c r="A79" s="16">
        <v>2019120018</v>
      </c>
      <c r="B79" s="17">
        <v>9.75</v>
      </c>
      <c r="C79" s="18">
        <v>9.6999999999999993</v>
      </c>
      <c r="D79" s="18">
        <v>10</v>
      </c>
      <c r="E79" s="18">
        <v>8.84</v>
      </c>
      <c r="F79" s="18">
        <v>9.81</v>
      </c>
      <c r="G79" s="18">
        <v>9.86</v>
      </c>
      <c r="H79" s="18">
        <v>10</v>
      </c>
      <c r="I79" s="18">
        <v>9.6300000000000008</v>
      </c>
      <c r="J79" s="19">
        <v>9.6999999999999993</v>
      </c>
      <c r="K79" s="18">
        <v>9.81</v>
      </c>
    </row>
    <row r="80" spans="1:11" ht="15">
      <c r="A80" s="10"/>
      <c r="B80" s="20" t="s">
        <v>134</v>
      </c>
      <c r="C80" s="21" t="s">
        <v>135</v>
      </c>
      <c r="D80" s="21" t="s">
        <v>136</v>
      </c>
      <c r="E80" s="21" t="s">
        <v>137</v>
      </c>
      <c r="F80" s="21" t="s">
        <v>138</v>
      </c>
      <c r="G80" s="21" t="s">
        <v>139</v>
      </c>
      <c r="H80" s="21" t="s">
        <v>140</v>
      </c>
      <c r="I80" s="21" t="s">
        <v>141</v>
      </c>
      <c r="J80" s="21" t="s">
        <v>142</v>
      </c>
      <c r="K80" s="21" t="s">
        <v>33</v>
      </c>
    </row>
    <row r="81" spans="1:11" ht="15">
      <c r="A81" s="13"/>
      <c r="B81" s="14">
        <v>168</v>
      </c>
      <c r="C81" s="15">
        <v>168</v>
      </c>
      <c r="D81" s="15">
        <v>202</v>
      </c>
      <c r="E81" s="15">
        <v>167</v>
      </c>
      <c r="F81" s="15">
        <v>194</v>
      </c>
      <c r="G81" s="15">
        <v>177</v>
      </c>
      <c r="H81" s="15">
        <v>144</v>
      </c>
      <c r="I81" s="15">
        <v>145</v>
      </c>
      <c r="J81" s="15">
        <v>1365</v>
      </c>
      <c r="K81" s="15">
        <v>289</v>
      </c>
    </row>
    <row r="82" spans="1:11" ht="15">
      <c r="A82" s="13"/>
      <c r="B82" s="14">
        <v>20</v>
      </c>
      <c r="C82" s="15">
        <v>20</v>
      </c>
      <c r="D82" s="15">
        <v>21</v>
      </c>
      <c r="E82" s="15">
        <v>19</v>
      </c>
      <c r="F82" s="15">
        <v>21</v>
      </c>
      <c r="G82" s="15">
        <v>20</v>
      </c>
      <c r="H82" s="15">
        <v>16</v>
      </c>
      <c r="I82" s="15">
        <v>16</v>
      </c>
      <c r="J82" s="15">
        <v>153</v>
      </c>
      <c r="K82" s="15">
        <v>32</v>
      </c>
    </row>
    <row r="83" spans="1:11" ht="15">
      <c r="A83" s="16">
        <v>2019120019</v>
      </c>
      <c r="B83" s="17">
        <v>8.4</v>
      </c>
      <c r="C83" s="18">
        <v>8.4</v>
      </c>
      <c r="D83" s="18">
        <v>9.6199999999999992</v>
      </c>
      <c r="E83" s="18">
        <v>8.7899999999999991</v>
      </c>
      <c r="F83" s="18">
        <v>9.24</v>
      </c>
      <c r="G83" s="18">
        <v>8.85</v>
      </c>
      <c r="H83" s="18">
        <v>9</v>
      </c>
      <c r="I83" s="18">
        <v>9.06</v>
      </c>
      <c r="J83" s="19">
        <v>8.92</v>
      </c>
      <c r="K83" s="18">
        <v>9.0299999999999994</v>
      </c>
    </row>
    <row r="84" spans="1:11" ht="15">
      <c r="A84" s="10"/>
      <c r="B84" s="20" t="s">
        <v>134</v>
      </c>
      <c r="C84" s="21" t="s">
        <v>135</v>
      </c>
      <c r="D84" s="21" t="s">
        <v>136</v>
      </c>
      <c r="E84" s="21" t="s">
        <v>137</v>
      </c>
      <c r="F84" s="21" t="s">
        <v>138</v>
      </c>
      <c r="G84" s="21" t="s">
        <v>139</v>
      </c>
      <c r="H84" s="21" t="s">
        <v>140</v>
      </c>
      <c r="I84" s="21" t="s">
        <v>141</v>
      </c>
      <c r="J84" s="21" t="s">
        <v>142</v>
      </c>
      <c r="K84" s="21" t="s">
        <v>33</v>
      </c>
    </row>
    <row r="85" spans="1:11" ht="15">
      <c r="A85" s="13"/>
      <c r="B85" s="14">
        <v>145</v>
      </c>
      <c r="C85" s="15">
        <v>163</v>
      </c>
      <c r="D85" s="15">
        <v>202</v>
      </c>
      <c r="E85" s="15">
        <v>163</v>
      </c>
      <c r="F85" s="15">
        <v>172</v>
      </c>
      <c r="G85" s="15">
        <v>144</v>
      </c>
      <c r="H85" s="15">
        <v>126</v>
      </c>
      <c r="I85" s="15">
        <v>142</v>
      </c>
      <c r="J85" s="15">
        <v>1257</v>
      </c>
      <c r="K85" s="15">
        <v>268</v>
      </c>
    </row>
    <row r="86" spans="1:11" ht="15">
      <c r="A86" s="13"/>
      <c r="B86" s="14">
        <v>20</v>
      </c>
      <c r="C86" s="15">
        <v>20</v>
      </c>
      <c r="D86" s="15">
        <v>21</v>
      </c>
      <c r="E86" s="15">
        <v>19</v>
      </c>
      <c r="F86" s="15">
        <v>21</v>
      </c>
      <c r="G86" s="15">
        <v>21</v>
      </c>
      <c r="H86" s="15">
        <v>16</v>
      </c>
      <c r="I86" s="15">
        <v>16</v>
      </c>
      <c r="J86" s="15">
        <v>154</v>
      </c>
      <c r="K86" s="15">
        <v>32</v>
      </c>
    </row>
    <row r="87" spans="1:11" ht="15">
      <c r="A87" s="16">
        <v>2019120020</v>
      </c>
      <c r="B87" s="17">
        <v>7.25</v>
      </c>
      <c r="C87" s="18">
        <v>8.15</v>
      </c>
      <c r="D87" s="18">
        <v>9.6199999999999992</v>
      </c>
      <c r="E87" s="18">
        <v>8.58</v>
      </c>
      <c r="F87" s="18">
        <v>8.19</v>
      </c>
      <c r="G87" s="18">
        <v>6.86</v>
      </c>
      <c r="H87" s="18">
        <v>7.88</v>
      </c>
      <c r="I87" s="18">
        <v>8.8800000000000008</v>
      </c>
      <c r="J87" s="19">
        <v>8.16</v>
      </c>
      <c r="K87" s="18">
        <v>8.3800000000000008</v>
      </c>
    </row>
    <row r="88" spans="1:11" ht="15">
      <c r="A88" s="10"/>
      <c r="B88" s="20" t="s">
        <v>134</v>
      </c>
      <c r="C88" s="21" t="s">
        <v>135</v>
      </c>
      <c r="D88" s="21" t="s">
        <v>136</v>
      </c>
      <c r="E88" s="21" t="s">
        <v>137</v>
      </c>
      <c r="F88" s="21" t="s">
        <v>138</v>
      </c>
      <c r="G88" s="21" t="s">
        <v>139</v>
      </c>
      <c r="H88" s="21" t="s">
        <v>140</v>
      </c>
      <c r="I88" s="22" t="s">
        <v>141</v>
      </c>
      <c r="J88" s="21" t="s">
        <v>142</v>
      </c>
      <c r="K88" s="21" t="s">
        <v>33</v>
      </c>
    </row>
    <row r="89" spans="1:11" ht="15">
      <c r="A89" s="23"/>
      <c r="B89" s="14">
        <v>131</v>
      </c>
      <c r="C89" s="15">
        <v>130</v>
      </c>
      <c r="D89" s="15">
        <v>206</v>
      </c>
      <c r="E89" s="15">
        <v>169</v>
      </c>
      <c r="F89" s="15">
        <v>184</v>
      </c>
      <c r="G89" s="15">
        <v>195</v>
      </c>
      <c r="H89" s="15">
        <v>103</v>
      </c>
      <c r="I89" s="15">
        <v>123</v>
      </c>
      <c r="J89" s="15">
        <v>1241</v>
      </c>
      <c r="K89" s="15">
        <v>226</v>
      </c>
    </row>
    <row r="90" spans="1:11" ht="15">
      <c r="A90" s="23"/>
      <c r="B90" s="14">
        <v>20</v>
      </c>
      <c r="C90" s="15">
        <v>20</v>
      </c>
      <c r="D90" s="15">
        <v>21</v>
      </c>
      <c r="E90" s="15">
        <v>19</v>
      </c>
      <c r="F90" s="15">
        <v>21</v>
      </c>
      <c r="G90" s="15">
        <v>21</v>
      </c>
      <c r="H90" s="15">
        <v>16</v>
      </c>
      <c r="I90" s="15">
        <v>16</v>
      </c>
      <c r="J90" s="15">
        <v>154</v>
      </c>
      <c r="K90" s="15">
        <v>32</v>
      </c>
    </row>
    <row r="91" spans="1:11" ht="15">
      <c r="A91" s="16">
        <v>2019120021</v>
      </c>
      <c r="B91" s="17">
        <v>6.55</v>
      </c>
      <c r="C91" s="18">
        <v>6.5</v>
      </c>
      <c r="D91" s="18">
        <v>9.81</v>
      </c>
      <c r="E91" s="18">
        <v>8.89</v>
      </c>
      <c r="F91" s="18">
        <v>8.76</v>
      </c>
      <c r="G91" s="18">
        <v>9.2899999999999991</v>
      </c>
      <c r="H91" s="18">
        <v>6.44</v>
      </c>
      <c r="I91" s="18">
        <v>7.69</v>
      </c>
      <c r="J91" s="19">
        <v>8.06</v>
      </c>
      <c r="K91" s="18">
        <v>7.06</v>
      </c>
    </row>
    <row r="92" spans="1:11" ht="15">
      <c r="A92" s="10"/>
      <c r="B92" s="20" t="s">
        <v>134</v>
      </c>
      <c r="C92" s="21" t="s">
        <v>135</v>
      </c>
      <c r="D92" s="21" t="s">
        <v>136</v>
      </c>
      <c r="E92" s="21" t="s">
        <v>137</v>
      </c>
      <c r="F92" s="21" t="s">
        <v>138</v>
      </c>
      <c r="G92" s="21" t="s">
        <v>139</v>
      </c>
      <c r="H92" s="21" t="s">
        <v>140</v>
      </c>
      <c r="I92" s="21" t="s">
        <v>141</v>
      </c>
      <c r="J92" s="21" t="s">
        <v>142</v>
      </c>
      <c r="K92" s="21" t="s">
        <v>33</v>
      </c>
    </row>
    <row r="93" spans="1:11" ht="15">
      <c r="A93" s="13"/>
      <c r="B93" s="14">
        <v>177</v>
      </c>
      <c r="C93" s="15">
        <v>176</v>
      </c>
      <c r="D93" s="15">
        <v>199</v>
      </c>
      <c r="E93" s="15">
        <v>154</v>
      </c>
      <c r="F93" s="15">
        <v>170</v>
      </c>
      <c r="G93" s="15">
        <v>189</v>
      </c>
      <c r="H93" s="15">
        <v>137</v>
      </c>
      <c r="I93" s="15">
        <v>153</v>
      </c>
      <c r="J93" s="15">
        <v>1355</v>
      </c>
      <c r="K93" s="15">
        <v>290</v>
      </c>
    </row>
    <row r="94" spans="1:11" ht="15">
      <c r="A94" s="13"/>
      <c r="B94" s="14">
        <v>20</v>
      </c>
      <c r="C94" s="15">
        <v>20</v>
      </c>
      <c r="D94" s="15">
        <v>21</v>
      </c>
      <c r="E94" s="15">
        <v>19</v>
      </c>
      <c r="F94" s="15">
        <v>21</v>
      </c>
      <c r="G94" s="15">
        <v>21</v>
      </c>
      <c r="H94" s="15">
        <v>16</v>
      </c>
      <c r="I94" s="15">
        <v>16</v>
      </c>
      <c r="J94" s="15">
        <v>154</v>
      </c>
      <c r="K94" s="15">
        <v>32</v>
      </c>
    </row>
    <row r="95" spans="1:11" ht="15">
      <c r="A95" s="16">
        <v>2019120022</v>
      </c>
      <c r="B95" s="17">
        <v>8.85</v>
      </c>
      <c r="C95" s="18">
        <v>8.8000000000000007</v>
      </c>
      <c r="D95" s="18">
        <v>9.48</v>
      </c>
      <c r="E95" s="18">
        <v>8.11</v>
      </c>
      <c r="F95" s="18">
        <v>8.1</v>
      </c>
      <c r="G95" s="18">
        <v>9</v>
      </c>
      <c r="H95" s="18">
        <v>8.56</v>
      </c>
      <c r="I95" s="18">
        <v>9.56</v>
      </c>
      <c r="J95" s="19">
        <v>8.8000000000000007</v>
      </c>
      <c r="K95" s="18">
        <v>9.06</v>
      </c>
    </row>
    <row r="96" spans="1:11" ht="15">
      <c r="A96" s="10"/>
      <c r="B96" s="20" t="s">
        <v>134</v>
      </c>
      <c r="C96" s="21" t="s">
        <v>135</v>
      </c>
      <c r="D96" s="21" t="s">
        <v>136</v>
      </c>
      <c r="E96" s="21" t="s">
        <v>137</v>
      </c>
      <c r="F96" s="21" t="s">
        <v>138</v>
      </c>
      <c r="G96" s="21" t="s">
        <v>139</v>
      </c>
      <c r="H96" s="21" t="s">
        <v>140</v>
      </c>
      <c r="I96" s="21" t="s">
        <v>141</v>
      </c>
      <c r="J96" s="21" t="s">
        <v>142</v>
      </c>
      <c r="K96" s="21" t="s">
        <v>33</v>
      </c>
    </row>
    <row r="97" spans="1:11" ht="15">
      <c r="A97" s="13"/>
      <c r="B97" s="14">
        <v>160</v>
      </c>
      <c r="C97" s="15">
        <v>178</v>
      </c>
      <c r="D97" s="15">
        <v>196</v>
      </c>
      <c r="E97" s="15">
        <v>163</v>
      </c>
      <c r="F97" s="15">
        <v>182</v>
      </c>
      <c r="G97" s="15">
        <v>201</v>
      </c>
      <c r="H97" s="15">
        <v>145</v>
      </c>
      <c r="I97" s="15">
        <v>148</v>
      </c>
      <c r="J97" s="15">
        <v>1373</v>
      </c>
      <c r="K97" s="15">
        <v>293</v>
      </c>
    </row>
    <row r="98" spans="1:11" ht="15">
      <c r="A98" s="13"/>
      <c r="B98" s="14">
        <v>20</v>
      </c>
      <c r="C98" s="15">
        <v>20</v>
      </c>
      <c r="D98" s="15">
        <v>21</v>
      </c>
      <c r="E98" s="15">
        <v>19</v>
      </c>
      <c r="F98" s="15">
        <v>21</v>
      </c>
      <c r="G98" s="15">
        <v>21</v>
      </c>
      <c r="H98" s="15">
        <v>16</v>
      </c>
      <c r="I98" s="15">
        <v>16</v>
      </c>
      <c r="J98" s="15">
        <v>154</v>
      </c>
      <c r="K98" s="15">
        <v>32</v>
      </c>
    </row>
    <row r="99" spans="1:11" ht="15">
      <c r="A99" s="16">
        <v>2019120023</v>
      </c>
      <c r="B99" s="17">
        <v>8</v>
      </c>
      <c r="C99" s="18">
        <v>8.9</v>
      </c>
      <c r="D99" s="18">
        <v>9.33</v>
      </c>
      <c r="E99" s="18">
        <v>8.58</v>
      </c>
      <c r="F99" s="18">
        <v>8.67</v>
      </c>
      <c r="G99" s="18">
        <v>9.57</v>
      </c>
      <c r="H99" s="18">
        <v>9.06</v>
      </c>
      <c r="I99" s="18">
        <v>9.25</v>
      </c>
      <c r="J99" s="19">
        <v>8.92</v>
      </c>
      <c r="K99" s="18">
        <v>9.16</v>
      </c>
    </row>
    <row r="100" spans="1:11" ht="15">
      <c r="A100" s="10"/>
      <c r="B100" s="20" t="s">
        <v>134</v>
      </c>
      <c r="C100" s="21" t="s">
        <v>135</v>
      </c>
      <c r="D100" s="21" t="s">
        <v>136</v>
      </c>
      <c r="E100" s="21" t="s">
        <v>137</v>
      </c>
      <c r="F100" s="21" t="s">
        <v>138</v>
      </c>
      <c r="G100" s="21" t="s">
        <v>139</v>
      </c>
      <c r="H100" s="21" t="s">
        <v>140</v>
      </c>
      <c r="I100" s="21" t="s">
        <v>141</v>
      </c>
      <c r="J100" s="21" t="s">
        <v>142</v>
      </c>
      <c r="K100" s="21" t="s">
        <v>33</v>
      </c>
    </row>
    <row r="101" spans="1:11" ht="15">
      <c r="A101" s="13"/>
      <c r="B101" s="14">
        <v>191</v>
      </c>
      <c r="C101" s="15">
        <v>186</v>
      </c>
      <c r="D101" s="15">
        <v>210</v>
      </c>
      <c r="E101" s="15">
        <v>167</v>
      </c>
      <c r="F101" s="15">
        <v>204</v>
      </c>
      <c r="G101" s="15">
        <v>207</v>
      </c>
      <c r="H101" s="15">
        <v>139</v>
      </c>
      <c r="I101" s="15">
        <v>160</v>
      </c>
      <c r="J101" s="15">
        <v>1464</v>
      </c>
      <c r="K101" s="15">
        <v>299</v>
      </c>
    </row>
    <row r="102" spans="1:11" ht="15">
      <c r="A102" s="13"/>
      <c r="B102" s="14">
        <v>20</v>
      </c>
      <c r="C102" s="15">
        <v>20</v>
      </c>
      <c r="D102" s="15">
        <v>21</v>
      </c>
      <c r="E102" s="15">
        <v>19</v>
      </c>
      <c r="F102" s="15">
        <v>21</v>
      </c>
      <c r="G102" s="15">
        <v>21</v>
      </c>
      <c r="H102" s="15">
        <v>16</v>
      </c>
      <c r="I102" s="15">
        <v>16</v>
      </c>
      <c r="J102" s="15">
        <v>154</v>
      </c>
      <c r="K102" s="15">
        <v>32</v>
      </c>
    </row>
    <row r="103" spans="1:11" ht="15">
      <c r="A103" s="16">
        <v>2019120024</v>
      </c>
      <c r="B103" s="17">
        <v>9.5500000000000007</v>
      </c>
      <c r="C103" s="18">
        <v>9.3000000000000007</v>
      </c>
      <c r="D103" s="18">
        <v>10</v>
      </c>
      <c r="E103" s="18">
        <v>8.7899999999999991</v>
      </c>
      <c r="F103" s="18">
        <v>9.7100000000000009</v>
      </c>
      <c r="G103" s="18">
        <v>9.86</v>
      </c>
      <c r="H103" s="18">
        <v>8.69</v>
      </c>
      <c r="I103" s="18">
        <v>10</v>
      </c>
      <c r="J103" s="19">
        <v>9.51</v>
      </c>
      <c r="K103" s="18">
        <v>9.34</v>
      </c>
    </row>
    <row r="104" spans="1:11" ht="15">
      <c r="A104" s="10"/>
      <c r="B104" s="20" t="s">
        <v>134</v>
      </c>
      <c r="C104" s="21" t="s">
        <v>135</v>
      </c>
      <c r="D104" s="21" t="s">
        <v>136</v>
      </c>
      <c r="E104" s="21" t="s">
        <v>137</v>
      </c>
      <c r="F104" s="21" t="s">
        <v>138</v>
      </c>
      <c r="G104" s="21" t="s">
        <v>139</v>
      </c>
      <c r="H104" s="21" t="s">
        <v>140</v>
      </c>
      <c r="I104" s="22" t="s">
        <v>141</v>
      </c>
      <c r="J104" s="21" t="s">
        <v>142</v>
      </c>
      <c r="K104" s="21" t="s">
        <v>33</v>
      </c>
    </row>
    <row r="105" spans="1:11" ht="15">
      <c r="A105" s="23"/>
      <c r="B105" s="14">
        <v>196</v>
      </c>
      <c r="C105" s="15">
        <v>197</v>
      </c>
      <c r="D105" s="15">
        <v>206</v>
      </c>
      <c r="E105" s="15">
        <v>179</v>
      </c>
      <c r="F105" s="15">
        <v>194</v>
      </c>
      <c r="G105" s="15">
        <v>204</v>
      </c>
      <c r="H105" s="15">
        <v>130</v>
      </c>
      <c r="I105" s="15">
        <v>148</v>
      </c>
      <c r="J105" s="15">
        <v>1454</v>
      </c>
      <c r="K105" s="15">
        <v>278</v>
      </c>
    </row>
    <row r="106" spans="1:11" ht="15">
      <c r="A106" s="23"/>
      <c r="B106" s="14">
        <v>20</v>
      </c>
      <c r="C106" s="15">
        <v>20</v>
      </c>
      <c r="D106" s="15">
        <v>21</v>
      </c>
      <c r="E106" s="15">
        <v>19</v>
      </c>
      <c r="F106" s="15">
        <v>21</v>
      </c>
      <c r="G106" s="15">
        <v>21</v>
      </c>
      <c r="H106" s="15">
        <v>16</v>
      </c>
      <c r="I106" s="15">
        <v>16</v>
      </c>
      <c r="J106" s="15">
        <v>154</v>
      </c>
      <c r="K106" s="15">
        <v>32</v>
      </c>
    </row>
    <row r="107" spans="1:11" ht="15">
      <c r="A107" s="16">
        <v>2019120025</v>
      </c>
      <c r="B107" s="17">
        <v>9.8000000000000007</v>
      </c>
      <c r="C107" s="18">
        <v>9.85</v>
      </c>
      <c r="D107" s="18">
        <v>9.81</v>
      </c>
      <c r="E107" s="18">
        <v>9.42</v>
      </c>
      <c r="F107" s="18">
        <v>9.24</v>
      </c>
      <c r="G107" s="18">
        <v>9.7100000000000009</v>
      </c>
      <c r="H107" s="18">
        <v>8.1300000000000008</v>
      </c>
      <c r="I107" s="18">
        <v>9.25</v>
      </c>
      <c r="J107" s="19">
        <v>9.44</v>
      </c>
      <c r="K107" s="18">
        <v>8.69</v>
      </c>
    </row>
    <row r="108" spans="1:11" ht="15">
      <c r="A108" s="10"/>
      <c r="B108" s="20" t="s">
        <v>134</v>
      </c>
      <c r="C108" s="21" t="s">
        <v>135</v>
      </c>
      <c r="D108" s="21" t="s">
        <v>136</v>
      </c>
      <c r="E108" s="21" t="s">
        <v>137</v>
      </c>
      <c r="F108" s="21" t="s">
        <v>138</v>
      </c>
      <c r="G108" s="21" t="s">
        <v>139</v>
      </c>
      <c r="H108" s="21" t="s">
        <v>140</v>
      </c>
      <c r="I108" s="21" t="s">
        <v>141</v>
      </c>
      <c r="J108" s="21" t="s">
        <v>142</v>
      </c>
      <c r="K108" s="21" t="s">
        <v>33</v>
      </c>
    </row>
    <row r="109" spans="1:11" ht="15">
      <c r="A109" s="13"/>
      <c r="B109" s="27"/>
      <c r="C109" s="28"/>
      <c r="D109" s="28"/>
      <c r="E109" s="28"/>
      <c r="F109" s="28"/>
      <c r="G109" s="28"/>
      <c r="H109" s="28"/>
      <c r="I109" s="28"/>
      <c r="J109" s="15">
        <v>0</v>
      </c>
      <c r="K109" s="15">
        <v>0</v>
      </c>
    </row>
    <row r="110" spans="1:11" ht="15">
      <c r="A110" s="13"/>
      <c r="B110" s="27"/>
      <c r="C110" s="28"/>
      <c r="D110" s="28"/>
      <c r="E110" s="28"/>
      <c r="F110" s="28"/>
      <c r="G110" s="28"/>
      <c r="H110" s="28"/>
      <c r="I110" s="28"/>
      <c r="J110" s="15">
        <v>0</v>
      </c>
      <c r="K110" s="15">
        <v>0</v>
      </c>
    </row>
    <row r="111" spans="1:11" ht="15">
      <c r="A111" s="16">
        <v>2019120026</v>
      </c>
      <c r="B111" s="17" t="e">
        <v>#DIV/0!</v>
      </c>
      <c r="C111" s="18" t="e">
        <v>#DIV/0!</v>
      </c>
      <c r="D111" s="18" t="e">
        <v>#DIV/0!</v>
      </c>
      <c r="E111" s="18" t="e">
        <v>#DIV/0!</v>
      </c>
      <c r="F111" s="18" t="e">
        <v>#DIV/0!</v>
      </c>
      <c r="G111" s="18" t="e">
        <v>#DIV/0!</v>
      </c>
      <c r="H111" s="18" t="e">
        <v>#DIV/0!</v>
      </c>
      <c r="I111" s="18" t="e">
        <v>#DIV/0!</v>
      </c>
      <c r="J111" s="19" t="e">
        <v>#DIV/0!</v>
      </c>
      <c r="K111" s="18" t="e">
        <v>#DIV/0!</v>
      </c>
    </row>
    <row r="112" spans="1:11" ht="15">
      <c r="A112" s="10"/>
      <c r="B112" s="20" t="s">
        <v>134</v>
      </c>
      <c r="C112" s="21" t="s">
        <v>135</v>
      </c>
      <c r="D112" s="21" t="s">
        <v>136</v>
      </c>
      <c r="E112" s="21" t="s">
        <v>137</v>
      </c>
      <c r="F112" s="21" t="s">
        <v>138</v>
      </c>
      <c r="G112" s="21" t="s">
        <v>139</v>
      </c>
      <c r="H112" s="21" t="s">
        <v>140</v>
      </c>
      <c r="I112" s="21" t="s">
        <v>141</v>
      </c>
      <c r="J112" s="21" t="s">
        <v>142</v>
      </c>
      <c r="K112" s="21" t="s">
        <v>33</v>
      </c>
    </row>
    <row r="113" spans="1:11" ht="15">
      <c r="A113" s="13"/>
      <c r="B113" s="14">
        <v>187</v>
      </c>
      <c r="C113" s="15">
        <v>191</v>
      </c>
      <c r="D113" s="15">
        <v>210</v>
      </c>
      <c r="E113" s="15">
        <v>187</v>
      </c>
      <c r="F113" s="15">
        <v>200</v>
      </c>
      <c r="G113" s="15">
        <v>200</v>
      </c>
      <c r="H113" s="15">
        <v>157</v>
      </c>
      <c r="I113" s="15">
        <v>160</v>
      </c>
      <c r="J113" s="15">
        <v>1492</v>
      </c>
      <c r="K113" s="15">
        <v>317</v>
      </c>
    </row>
    <row r="114" spans="1:11" ht="15">
      <c r="A114" s="13"/>
      <c r="B114" s="14">
        <v>20</v>
      </c>
      <c r="C114" s="15">
        <v>20</v>
      </c>
      <c r="D114" s="15">
        <v>21</v>
      </c>
      <c r="E114" s="15">
        <v>19</v>
      </c>
      <c r="F114" s="15">
        <v>21</v>
      </c>
      <c r="G114" s="15">
        <v>20</v>
      </c>
      <c r="H114" s="15">
        <v>16</v>
      </c>
      <c r="I114" s="15">
        <v>16</v>
      </c>
      <c r="J114" s="15">
        <v>153</v>
      </c>
      <c r="K114" s="15">
        <v>32</v>
      </c>
    </row>
    <row r="115" spans="1:11" ht="15">
      <c r="A115" s="16">
        <v>2019120027</v>
      </c>
      <c r="B115" s="17">
        <v>9.35</v>
      </c>
      <c r="C115" s="18">
        <v>9.5500000000000007</v>
      </c>
      <c r="D115" s="18">
        <v>10</v>
      </c>
      <c r="E115" s="18">
        <v>9.84</v>
      </c>
      <c r="F115" s="18">
        <v>9.52</v>
      </c>
      <c r="G115" s="18">
        <v>10</v>
      </c>
      <c r="H115" s="18">
        <v>9.81</v>
      </c>
      <c r="I115" s="18">
        <v>10</v>
      </c>
      <c r="J115" s="19">
        <v>9.75</v>
      </c>
      <c r="K115" s="18">
        <v>9.91</v>
      </c>
    </row>
    <row r="116" spans="1:11" ht="15">
      <c r="A116" s="10"/>
      <c r="B116" s="20" t="s">
        <v>134</v>
      </c>
      <c r="C116" s="21" t="s">
        <v>135</v>
      </c>
      <c r="D116" s="21" t="s">
        <v>136</v>
      </c>
      <c r="E116" s="21" t="s">
        <v>137</v>
      </c>
      <c r="F116" s="21" t="s">
        <v>138</v>
      </c>
      <c r="G116" s="21" t="s">
        <v>139</v>
      </c>
      <c r="H116" s="21" t="s">
        <v>140</v>
      </c>
      <c r="I116" s="21" t="s">
        <v>141</v>
      </c>
      <c r="J116" s="21" t="s">
        <v>142</v>
      </c>
      <c r="K116" s="21" t="s">
        <v>33</v>
      </c>
    </row>
    <row r="117" spans="1:11" ht="15">
      <c r="A117" s="13"/>
      <c r="B117" s="14">
        <v>133</v>
      </c>
      <c r="C117" s="15">
        <v>135</v>
      </c>
      <c r="D117" s="15">
        <v>187</v>
      </c>
      <c r="E117" s="15">
        <v>158</v>
      </c>
      <c r="F117" s="15">
        <v>170</v>
      </c>
      <c r="G117" s="15">
        <v>151</v>
      </c>
      <c r="H117" s="15">
        <v>127</v>
      </c>
      <c r="I117" s="15">
        <v>142</v>
      </c>
      <c r="J117" s="15">
        <v>1203</v>
      </c>
      <c r="K117" s="15">
        <v>269</v>
      </c>
    </row>
    <row r="118" spans="1:11" ht="15">
      <c r="A118" s="13"/>
      <c r="B118" s="14">
        <v>20</v>
      </c>
      <c r="C118" s="15">
        <v>20</v>
      </c>
      <c r="D118" s="15">
        <v>21</v>
      </c>
      <c r="E118" s="15">
        <v>19</v>
      </c>
      <c r="F118" s="15">
        <v>21</v>
      </c>
      <c r="G118" s="15">
        <v>20</v>
      </c>
      <c r="H118" s="15">
        <v>16</v>
      </c>
      <c r="I118" s="15">
        <v>16</v>
      </c>
      <c r="J118" s="15">
        <v>153</v>
      </c>
      <c r="K118" s="15">
        <v>32</v>
      </c>
    </row>
    <row r="119" spans="1:11" ht="15">
      <c r="A119" s="16">
        <v>2019120028</v>
      </c>
      <c r="B119" s="17">
        <v>6.65</v>
      </c>
      <c r="C119" s="18">
        <v>6.75</v>
      </c>
      <c r="D119" s="18">
        <v>8.9</v>
      </c>
      <c r="E119" s="18">
        <v>8.32</v>
      </c>
      <c r="F119" s="18">
        <v>8.1</v>
      </c>
      <c r="G119" s="18">
        <v>7.55</v>
      </c>
      <c r="H119" s="18">
        <v>7.94</v>
      </c>
      <c r="I119" s="18">
        <v>8.8800000000000008</v>
      </c>
      <c r="J119" s="19">
        <v>7.86</v>
      </c>
      <c r="K119" s="18">
        <v>8.41</v>
      </c>
    </row>
    <row r="120" spans="1:11" ht="15">
      <c r="A120" s="10"/>
      <c r="B120" s="20" t="s">
        <v>134</v>
      </c>
      <c r="C120" s="21" t="s">
        <v>135</v>
      </c>
      <c r="D120" s="21" t="s">
        <v>136</v>
      </c>
      <c r="E120" s="21" t="s">
        <v>137</v>
      </c>
      <c r="F120" s="21" t="s">
        <v>138</v>
      </c>
      <c r="G120" s="21" t="s">
        <v>139</v>
      </c>
      <c r="H120" s="21" t="s">
        <v>140</v>
      </c>
      <c r="I120" s="21" t="s">
        <v>141</v>
      </c>
      <c r="J120" s="21" t="s">
        <v>142</v>
      </c>
      <c r="K120" s="21" t="s">
        <v>33</v>
      </c>
    </row>
    <row r="121" spans="1:11" ht="15">
      <c r="A121" s="13"/>
      <c r="B121" s="14">
        <v>145</v>
      </c>
      <c r="C121" s="15">
        <v>170</v>
      </c>
      <c r="D121" s="15">
        <v>186</v>
      </c>
      <c r="E121" s="15">
        <v>153</v>
      </c>
      <c r="F121" s="15">
        <v>156</v>
      </c>
      <c r="G121" s="15">
        <v>156</v>
      </c>
      <c r="H121" s="15">
        <v>145</v>
      </c>
      <c r="I121" s="15">
        <v>145</v>
      </c>
      <c r="J121" s="15">
        <v>1256</v>
      </c>
      <c r="K121" s="15">
        <v>290</v>
      </c>
    </row>
    <row r="122" spans="1:11" ht="15">
      <c r="A122" s="13"/>
      <c r="B122" s="14">
        <v>20</v>
      </c>
      <c r="C122" s="15">
        <v>20</v>
      </c>
      <c r="D122" s="15">
        <v>21</v>
      </c>
      <c r="E122" s="15">
        <v>19</v>
      </c>
      <c r="F122" s="15">
        <v>21</v>
      </c>
      <c r="G122" s="15">
        <v>20</v>
      </c>
      <c r="H122" s="15">
        <v>16</v>
      </c>
      <c r="I122" s="15">
        <v>16</v>
      </c>
      <c r="J122" s="15">
        <v>153</v>
      </c>
      <c r="K122" s="15">
        <v>32</v>
      </c>
    </row>
    <row r="123" spans="1:11" ht="15">
      <c r="A123" s="16">
        <v>2019120029</v>
      </c>
      <c r="B123" s="17">
        <v>7.25</v>
      </c>
      <c r="C123" s="18">
        <v>8.5</v>
      </c>
      <c r="D123" s="18">
        <v>8.86</v>
      </c>
      <c r="E123" s="18">
        <v>8.0500000000000007</v>
      </c>
      <c r="F123" s="18">
        <v>7.43</v>
      </c>
      <c r="G123" s="18">
        <v>7.8</v>
      </c>
      <c r="H123" s="18">
        <v>9.06</v>
      </c>
      <c r="I123" s="18">
        <v>9.06</v>
      </c>
      <c r="J123" s="19">
        <v>8.2100000000000009</v>
      </c>
      <c r="K123" s="18">
        <v>9.06</v>
      </c>
    </row>
    <row r="124" spans="1:11" ht="15">
      <c r="A124" s="10"/>
      <c r="B124" s="20" t="s">
        <v>134</v>
      </c>
      <c r="C124" s="21" t="s">
        <v>135</v>
      </c>
      <c r="D124" s="21" t="s">
        <v>136</v>
      </c>
      <c r="E124" s="21" t="s">
        <v>137</v>
      </c>
      <c r="F124" s="21" t="s">
        <v>138</v>
      </c>
      <c r="G124" s="21" t="s">
        <v>139</v>
      </c>
      <c r="H124" s="21" t="s">
        <v>140</v>
      </c>
      <c r="I124" s="21" t="s">
        <v>141</v>
      </c>
      <c r="J124" s="21" t="s">
        <v>142</v>
      </c>
      <c r="K124" s="21" t="s">
        <v>33</v>
      </c>
    </row>
    <row r="125" spans="1:11" ht="15">
      <c r="A125" s="13"/>
      <c r="B125" s="14">
        <v>181</v>
      </c>
      <c r="C125" s="15">
        <v>194</v>
      </c>
      <c r="D125" s="15">
        <v>202</v>
      </c>
      <c r="E125" s="15">
        <v>170</v>
      </c>
      <c r="F125" s="15">
        <v>198</v>
      </c>
      <c r="G125" s="15">
        <v>192</v>
      </c>
      <c r="H125" s="15">
        <v>143</v>
      </c>
      <c r="I125" s="25">
        <v>159</v>
      </c>
      <c r="J125" s="15">
        <v>1439</v>
      </c>
      <c r="K125" s="15">
        <v>302</v>
      </c>
    </row>
    <row r="126" spans="1:11" ht="15">
      <c r="A126" s="13"/>
      <c r="B126" s="14">
        <v>20</v>
      </c>
      <c r="C126" s="15">
        <v>20</v>
      </c>
      <c r="D126" s="15">
        <v>21</v>
      </c>
      <c r="E126" s="15">
        <v>19</v>
      </c>
      <c r="F126" s="15">
        <v>21</v>
      </c>
      <c r="G126" s="15">
        <v>20</v>
      </c>
      <c r="H126" s="15">
        <v>16</v>
      </c>
      <c r="I126" s="25">
        <v>16</v>
      </c>
      <c r="J126" s="15">
        <v>153</v>
      </c>
      <c r="K126" s="15">
        <v>32</v>
      </c>
    </row>
    <row r="127" spans="1:11" ht="15">
      <c r="A127" s="16">
        <v>2019120030</v>
      </c>
      <c r="B127" s="17">
        <v>9.0500000000000007</v>
      </c>
      <c r="C127" s="18">
        <v>9.6999999999999993</v>
      </c>
      <c r="D127" s="18">
        <v>9.6199999999999992</v>
      </c>
      <c r="E127" s="18">
        <v>8.9499999999999993</v>
      </c>
      <c r="F127" s="18">
        <v>9.43</v>
      </c>
      <c r="G127" s="18">
        <v>9.6</v>
      </c>
      <c r="H127" s="18">
        <v>8.94</v>
      </c>
      <c r="I127" s="26">
        <v>9.94</v>
      </c>
      <c r="J127" s="19">
        <v>9.41</v>
      </c>
      <c r="K127" s="18">
        <v>9.44</v>
      </c>
    </row>
    <row r="128" spans="1:11" ht="15">
      <c r="A128" s="10"/>
      <c r="B128" s="20" t="s">
        <v>134</v>
      </c>
      <c r="C128" s="21" t="s">
        <v>135</v>
      </c>
      <c r="D128" s="21" t="s">
        <v>136</v>
      </c>
      <c r="E128" s="21" t="s">
        <v>137</v>
      </c>
      <c r="F128" s="21" t="s">
        <v>138</v>
      </c>
      <c r="G128" s="21" t="s">
        <v>139</v>
      </c>
      <c r="H128" s="21" t="s">
        <v>140</v>
      </c>
      <c r="I128" s="21" t="s">
        <v>141</v>
      </c>
      <c r="J128" s="21" t="s">
        <v>142</v>
      </c>
      <c r="K128" s="21" t="s">
        <v>33</v>
      </c>
    </row>
    <row r="129" spans="1:11" ht="15">
      <c r="A129" s="13"/>
      <c r="B129" s="14">
        <v>152</v>
      </c>
      <c r="C129" s="15">
        <v>158</v>
      </c>
      <c r="D129" s="15">
        <v>198</v>
      </c>
      <c r="E129" s="15">
        <v>163</v>
      </c>
      <c r="F129" s="15">
        <v>176</v>
      </c>
      <c r="G129" s="15">
        <v>170</v>
      </c>
      <c r="H129" s="15">
        <v>145</v>
      </c>
      <c r="I129" s="15">
        <v>160</v>
      </c>
      <c r="J129" s="15">
        <v>1322</v>
      </c>
      <c r="K129" s="15">
        <v>305</v>
      </c>
    </row>
    <row r="130" spans="1:11" ht="15">
      <c r="A130" s="13"/>
      <c r="B130" s="14">
        <v>20</v>
      </c>
      <c r="C130" s="15">
        <v>20</v>
      </c>
      <c r="D130" s="15">
        <v>21</v>
      </c>
      <c r="E130" s="15">
        <v>19</v>
      </c>
      <c r="F130" s="15">
        <v>21</v>
      </c>
      <c r="G130" s="15">
        <v>20</v>
      </c>
      <c r="H130" s="15">
        <v>16</v>
      </c>
      <c r="I130" s="15">
        <v>16</v>
      </c>
      <c r="J130" s="15">
        <v>153</v>
      </c>
      <c r="K130" s="15">
        <v>32</v>
      </c>
    </row>
    <row r="131" spans="1:11" ht="15">
      <c r="A131" s="16">
        <v>2019120031</v>
      </c>
      <c r="B131" s="17">
        <v>7.6</v>
      </c>
      <c r="C131" s="18">
        <v>7.9</v>
      </c>
      <c r="D131" s="18">
        <v>9.43</v>
      </c>
      <c r="E131" s="18">
        <v>8.58</v>
      </c>
      <c r="F131" s="18">
        <v>8.3800000000000008</v>
      </c>
      <c r="G131" s="18">
        <v>8.5</v>
      </c>
      <c r="H131" s="18">
        <v>9.06</v>
      </c>
      <c r="I131" s="18">
        <v>10</v>
      </c>
      <c r="J131" s="19">
        <v>8.64</v>
      </c>
      <c r="K131" s="18">
        <v>9.5299999999999994</v>
      </c>
    </row>
    <row r="132" spans="1:11" ht="15">
      <c r="A132" s="10"/>
      <c r="B132" s="20" t="s">
        <v>134</v>
      </c>
      <c r="C132" s="21" t="s">
        <v>135</v>
      </c>
      <c r="D132" s="21" t="s">
        <v>136</v>
      </c>
      <c r="E132" s="21" t="s">
        <v>137</v>
      </c>
      <c r="F132" s="21" t="s">
        <v>138</v>
      </c>
      <c r="G132" s="21" t="s">
        <v>139</v>
      </c>
      <c r="H132" s="21" t="s">
        <v>140</v>
      </c>
      <c r="I132" s="21" t="s">
        <v>141</v>
      </c>
      <c r="J132" s="21" t="s">
        <v>142</v>
      </c>
      <c r="K132" s="21" t="s">
        <v>33</v>
      </c>
    </row>
    <row r="133" spans="1:11" ht="15">
      <c r="A133" s="13"/>
      <c r="B133" s="14">
        <v>148</v>
      </c>
      <c r="C133" s="15">
        <v>167</v>
      </c>
      <c r="D133" s="15">
        <v>206</v>
      </c>
      <c r="E133" s="15">
        <v>172</v>
      </c>
      <c r="F133" s="15">
        <v>190</v>
      </c>
      <c r="G133" s="15">
        <v>192</v>
      </c>
      <c r="H133" s="15">
        <v>115</v>
      </c>
      <c r="I133" s="15">
        <v>139</v>
      </c>
      <c r="J133" s="15">
        <v>1329</v>
      </c>
      <c r="K133" s="15">
        <v>254</v>
      </c>
    </row>
    <row r="134" spans="1:11" ht="15">
      <c r="A134" s="13"/>
      <c r="B134" s="14">
        <v>20</v>
      </c>
      <c r="C134" s="15">
        <v>20</v>
      </c>
      <c r="D134" s="15">
        <v>21</v>
      </c>
      <c r="E134" s="15">
        <v>19</v>
      </c>
      <c r="F134" s="15">
        <v>21</v>
      </c>
      <c r="G134" s="15">
        <v>21</v>
      </c>
      <c r="H134" s="15">
        <v>16</v>
      </c>
      <c r="I134" s="15">
        <v>16</v>
      </c>
      <c r="J134" s="15">
        <v>154</v>
      </c>
      <c r="K134" s="15">
        <v>32</v>
      </c>
    </row>
    <row r="135" spans="1:11" ht="15">
      <c r="A135" s="16">
        <v>2019120032</v>
      </c>
      <c r="B135" s="17">
        <v>7.4</v>
      </c>
      <c r="C135" s="18">
        <v>8.35</v>
      </c>
      <c r="D135" s="18">
        <v>9.81</v>
      </c>
      <c r="E135" s="18">
        <v>9.0500000000000007</v>
      </c>
      <c r="F135" s="18">
        <v>9.0500000000000007</v>
      </c>
      <c r="G135" s="18">
        <v>9.14</v>
      </c>
      <c r="H135" s="18">
        <v>7.19</v>
      </c>
      <c r="I135" s="18">
        <v>8.69</v>
      </c>
      <c r="J135" s="19">
        <v>8.6300000000000008</v>
      </c>
      <c r="K135" s="18">
        <v>7.94</v>
      </c>
    </row>
    <row r="136" spans="1:11" ht="15">
      <c r="A136" s="10"/>
      <c r="B136" s="20" t="s">
        <v>134</v>
      </c>
      <c r="C136" s="21" t="s">
        <v>135</v>
      </c>
      <c r="D136" s="21" t="s">
        <v>136</v>
      </c>
      <c r="E136" s="21" t="s">
        <v>137</v>
      </c>
      <c r="F136" s="21" t="s">
        <v>138</v>
      </c>
      <c r="G136" s="21" t="s">
        <v>139</v>
      </c>
      <c r="H136" s="21" t="s">
        <v>140</v>
      </c>
      <c r="I136" s="21" t="s">
        <v>141</v>
      </c>
      <c r="J136" s="21" t="s">
        <v>142</v>
      </c>
      <c r="K136" s="21" t="s">
        <v>33</v>
      </c>
    </row>
    <row r="137" spans="1:11" ht="15">
      <c r="A137" s="13"/>
      <c r="B137" s="14">
        <v>165</v>
      </c>
      <c r="C137" s="15">
        <v>184</v>
      </c>
      <c r="D137" s="15">
        <v>208</v>
      </c>
      <c r="E137" s="15">
        <v>173</v>
      </c>
      <c r="F137" s="15">
        <v>202</v>
      </c>
      <c r="G137" s="15">
        <v>204</v>
      </c>
      <c r="H137" s="15">
        <v>133</v>
      </c>
      <c r="I137" s="15">
        <v>139</v>
      </c>
      <c r="J137" s="15">
        <v>1408</v>
      </c>
      <c r="K137" s="15">
        <v>272</v>
      </c>
    </row>
    <row r="138" spans="1:11" ht="15">
      <c r="A138" s="13"/>
      <c r="B138" s="14">
        <v>20</v>
      </c>
      <c r="C138" s="15">
        <v>20</v>
      </c>
      <c r="D138" s="15">
        <v>21</v>
      </c>
      <c r="E138" s="15">
        <v>19</v>
      </c>
      <c r="F138" s="15">
        <v>21</v>
      </c>
      <c r="G138" s="15">
        <v>21</v>
      </c>
      <c r="H138" s="15">
        <v>16</v>
      </c>
      <c r="I138" s="15">
        <v>16</v>
      </c>
      <c r="J138" s="15">
        <v>154</v>
      </c>
      <c r="K138" s="15">
        <v>32</v>
      </c>
    </row>
    <row r="139" spans="1:11" ht="15">
      <c r="A139" s="16">
        <v>2019120033</v>
      </c>
      <c r="B139" s="17">
        <v>8.25</v>
      </c>
      <c r="C139" s="18">
        <v>9.1999999999999993</v>
      </c>
      <c r="D139" s="18">
        <v>9.9</v>
      </c>
      <c r="E139" s="18">
        <v>9.11</v>
      </c>
      <c r="F139" s="18">
        <v>9.6199999999999992</v>
      </c>
      <c r="G139" s="18">
        <v>9.7100000000000009</v>
      </c>
      <c r="H139" s="18">
        <v>8.31</v>
      </c>
      <c r="I139" s="18">
        <v>8.69</v>
      </c>
      <c r="J139" s="19">
        <v>9.14</v>
      </c>
      <c r="K139" s="18">
        <v>8.5</v>
      </c>
    </row>
    <row r="140" spans="1:11" ht="15">
      <c r="A140" s="10"/>
      <c r="B140" s="20" t="s">
        <v>134</v>
      </c>
      <c r="C140" s="21" t="s">
        <v>135</v>
      </c>
      <c r="D140" s="21" t="s">
        <v>136</v>
      </c>
      <c r="E140" s="21" t="s">
        <v>137</v>
      </c>
      <c r="F140" s="21" t="s">
        <v>138</v>
      </c>
      <c r="G140" s="21" t="s">
        <v>139</v>
      </c>
      <c r="H140" s="21" t="s">
        <v>140</v>
      </c>
      <c r="I140" s="21" t="s">
        <v>141</v>
      </c>
      <c r="J140" s="21" t="s">
        <v>142</v>
      </c>
      <c r="K140" s="21" t="s">
        <v>33</v>
      </c>
    </row>
    <row r="141" spans="1:11" ht="15">
      <c r="A141" s="13"/>
      <c r="B141" s="14">
        <v>149</v>
      </c>
      <c r="C141" s="15">
        <v>173</v>
      </c>
      <c r="D141" s="15">
        <v>208</v>
      </c>
      <c r="E141" s="15">
        <v>179</v>
      </c>
      <c r="F141" s="15">
        <v>194</v>
      </c>
      <c r="G141" s="15">
        <v>201</v>
      </c>
      <c r="H141" s="15">
        <v>148</v>
      </c>
      <c r="I141" s="15">
        <v>151</v>
      </c>
      <c r="J141" s="15">
        <v>1403</v>
      </c>
      <c r="K141" s="15">
        <v>299</v>
      </c>
    </row>
    <row r="142" spans="1:11" ht="15">
      <c r="A142" s="13"/>
      <c r="B142" s="14">
        <v>20</v>
      </c>
      <c r="C142" s="15">
        <v>20</v>
      </c>
      <c r="D142" s="15">
        <v>21</v>
      </c>
      <c r="E142" s="15">
        <v>19</v>
      </c>
      <c r="F142" s="15">
        <v>21</v>
      </c>
      <c r="G142" s="15">
        <v>21</v>
      </c>
      <c r="H142" s="15">
        <v>16</v>
      </c>
      <c r="I142" s="15">
        <v>16</v>
      </c>
      <c r="J142" s="15">
        <v>154</v>
      </c>
      <c r="K142" s="15">
        <v>32</v>
      </c>
    </row>
    <row r="143" spans="1:11" ht="15">
      <c r="A143" s="16">
        <v>2019120034</v>
      </c>
      <c r="B143" s="17">
        <v>7.45</v>
      </c>
      <c r="C143" s="18">
        <v>8.65</v>
      </c>
      <c r="D143" s="18">
        <v>9.9</v>
      </c>
      <c r="E143" s="18">
        <v>9.42</v>
      </c>
      <c r="F143" s="18">
        <v>9.24</v>
      </c>
      <c r="G143" s="18">
        <v>9.57</v>
      </c>
      <c r="H143" s="18">
        <v>9.25</v>
      </c>
      <c r="I143" s="18">
        <v>9.44</v>
      </c>
      <c r="J143" s="19">
        <v>9.11</v>
      </c>
      <c r="K143" s="18">
        <v>9.34</v>
      </c>
    </row>
    <row r="144" spans="1:11" ht="15">
      <c r="A144" s="10"/>
      <c r="B144" s="20" t="s">
        <v>134</v>
      </c>
      <c r="C144" s="21" t="s">
        <v>135</v>
      </c>
      <c r="D144" s="21" t="s">
        <v>136</v>
      </c>
      <c r="E144" s="21" t="s">
        <v>137</v>
      </c>
      <c r="F144" s="21" t="s">
        <v>138</v>
      </c>
      <c r="G144" s="21" t="s">
        <v>139</v>
      </c>
      <c r="H144" s="21" t="s">
        <v>140</v>
      </c>
      <c r="I144" s="21" t="s">
        <v>141</v>
      </c>
      <c r="J144" s="21" t="s">
        <v>142</v>
      </c>
      <c r="K144" s="21" t="s">
        <v>33</v>
      </c>
    </row>
    <row r="145" spans="1:11" ht="15">
      <c r="A145" s="13"/>
      <c r="B145" s="14">
        <v>149</v>
      </c>
      <c r="C145" s="15">
        <v>154</v>
      </c>
      <c r="D145" s="15">
        <v>186</v>
      </c>
      <c r="E145" s="15">
        <v>146</v>
      </c>
      <c r="F145" s="15">
        <v>180</v>
      </c>
      <c r="G145" s="15">
        <v>148</v>
      </c>
      <c r="H145" s="15">
        <v>121</v>
      </c>
      <c r="I145" s="15">
        <v>145</v>
      </c>
      <c r="J145" s="15">
        <v>1229</v>
      </c>
      <c r="K145" s="15">
        <v>266</v>
      </c>
    </row>
    <row r="146" spans="1:11" ht="15">
      <c r="A146" s="13"/>
      <c r="B146" s="14">
        <v>20</v>
      </c>
      <c r="C146" s="15">
        <v>20</v>
      </c>
      <c r="D146" s="15">
        <v>21</v>
      </c>
      <c r="E146" s="15">
        <v>19</v>
      </c>
      <c r="F146" s="15">
        <v>21</v>
      </c>
      <c r="G146" s="15">
        <v>20</v>
      </c>
      <c r="H146" s="15">
        <v>16</v>
      </c>
      <c r="I146" s="15">
        <v>16</v>
      </c>
      <c r="J146" s="15">
        <v>153</v>
      </c>
      <c r="K146" s="15">
        <v>32</v>
      </c>
    </row>
    <row r="147" spans="1:11" ht="15">
      <c r="A147" s="16">
        <v>2019120035</v>
      </c>
      <c r="B147" s="17">
        <v>7.45</v>
      </c>
      <c r="C147" s="18">
        <v>7.7</v>
      </c>
      <c r="D147" s="18">
        <v>8.86</v>
      </c>
      <c r="E147" s="18">
        <v>7.68</v>
      </c>
      <c r="F147" s="18">
        <v>8.57</v>
      </c>
      <c r="G147" s="18">
        <v>7.4</v>
      </c>
      <c r="H147" s="18">
        <v>7.56</v>
      </c>
      <c r="I147" s="18">
        <v>9.06</v>
      </c>
      <c r="J147" s="19">
        <v>8.0299999999999994</v>
      </c>
      <c r="K147" s="18">
        <v>8.31</v>
      </c>
    </row>
    <row r="148" spans="1:11" ht="15">
      <c r="A148" s="10"/>
      <c r="B148" s="20" t="s">
        <v>134</v>
      </c>
      <c r="C148" s="21" t="s">
        <v>135</v>
      </c>
      <c r="D148" s="21" t="s">
        <v>136</v>
      </c>
      <c r="E148" s="21" t="s">
        <v>137</v>
      </c>
      <c r="F148" s="21" t="s">
        <v>138</v>
      </c>
      <c r="G148" s="21" t="s">
        <v>139</v>
      </c>
      <c r="H148" s="21" t="s">
        <v>140</v>
      </c>
      <c r="I148" s="21" t="s">
        <v>141</v>
      </c>
      <c r="J148" s="21" t="s">
        <v>142</v>
      </c>
      <c r="K148" s="21" t="s">
        <v>33</v>
      </c>
    </row>
    <row r="149" spans="1:11" ht="15">
      <c r="A149" s="13"/>
      <c r="B149" s="27"/>
      <c r="C149" s="28"/>
      <c r="D149" s="28"/>
      <c r="E149" s="28"/>
      <c r="F149" s="28"/>
      <c r="G149" s="28"/>
      <c r="H149" s="28"/>
      <c r="I149" s="28"/>
      <c r="J149" s="15">
        <v>0</v>
      </c>
      <c r="K149" s="15">
        <v>0</v>
      </c>
    </row>
    <row r="150" spans="1:11" ht="15">
      <c r="A150" s="13"/>
      <c r="B150" s="27"/>
      <c r="C150" s="28"/>
      <c r="D150" s="28"/>
      <c r="E150" s="28"/>
      <c r="F150" s="28"/>
      <c r="G150" s="28"/>
      <c r="H150" s="28"/>
      <c r="I150" s="28"/>
      <c r="J150" s="15">
        <v>0</v>
      </c>
      <c r="K150" s="15">
        <v>0</v>
      </c>
    </row>
    <row r="151" spans="1:11" ht="15">
      <c r="A151" s="16">
        <v>2019120036</v>
      </c>
      <c r="B151" s="17" t="e">
        <v>#DIV/0!</v>
      </c>
      <c r="C151" s="18" t="e">
        <v>#DIV/0!</v>
      </c>
      <c r="D151" s="18" t="e">
        <v>#DIV/0!</v>
      </c>
      <c r="E151" s="18" t="e">
        <v>#DIV/0!</v>
      </c>
      <c r="F151" s="18" t="e">
        <v>#DIV/0!</v>
      </c>
      <c r="G151" s="18" t="e">
        <v>#DIV/0!</v>
      </c>
      <c r="H151" s="18" t="e">
        <v>#DIV/0!</v>
      </c>
      <c r="I151" s="18" t="e">
        <v>#DIV/0!</v>
      </c>
      <c r="J151" s="19" t="e">
        <v>#DIV/0!</v>
      </c>
      <c r="K151" s="18" t="e">
        <v>#DIV/0!</v>
      </c>
    </row>
    <row r="152" spans="1:11" ht="15">
      <c r="A152" s="10"/>
      <c r="B152" s="20" t="s">
        <v>134</v>
      </c>
      <c r="C152" s="21" t="s">
        <v>135</v>
      </c>
      <c r="D152" s="21" t="s">
        <v>136</v>
      </c>
      <c r="E152" s="21" t="s">
        <v>137</v>
      </c>
      <c r="F152" s="21" t="s">
        <v>138</v>
      </c>
      <c r="G152" s="21" t="s">
        <v>139</v>
      </c>
      <c r="H152" s="21" t="s">
        <v>140</v>
      </c>
      <c r="I152" s="21" t="s">
        <v>141</v>
      </c>
      <c r="J152" s="21" t="s">
        <v>142</v>
      </c>
      <c r="K152" s="21" t="s">
        <v>33</v>
      </c>
    </row>
    <row r="153" spans="1:11" ht="15">
      <c r="A153" s="13"/>
      <c r="B153" s="14">
        <v>154</v>
      </c>
      <c r="C153" s="15">
        <v>165</v>
      </c>
      <c r="D153" s="15">
        <v>194</v>
      </c>
      <c r="E153" s="15">
        <v>164</v>
      </c>
      <c r="F153" s="15">
        <v>192</v>
      </c>
      <c r="G153" s="15">
        <v>207</v>
      </c>
      <c r="H153" s="15">
        <v>127</v>
      </c>
      <c r="I153" s="15">
        <v>151</v>
      </c>
      <c r="J153" s="15">
        <v>1354</v>
      </c>
      <c r="K153" s="15">
        <v>278</v>
      </c>
    </row>
    <row r="154" spans="1:11" ht="15">
      <c r="A154" s="13"/>
      <c r="B154" s="14">
        <v>20</v>
      </c>
      <c r="C154" s="15">
        <v>20</v>
      </c>
      <c r="D154" s="15">
        <v>21</v>
      </c>
      <c r="E154" s="15">
        <v>19</v>
      </c>
      <c r="F154" s="15">
        <v>21</v>
      </c>
      <c r="G154" s="15">
        <v>21</v>
      </c>
      <c r="H154" s="15">
        <v>16</v>
      </c>
      <c r="I154" s="15">
        <v>16</v>
      </c>
      <c r="J154" s="15">
        <v>154</v>
      </c>
      <c r="K154" s="15">
        <v>32</v>
      </c>
    </row>
    <row r="155" spans="1:11" ht="15">
      <c r="A155" s="16">
        <v>2019120037</v>
      </c>
      <c r="B155" s="17">
        <v>7.7</v>
      </c>
      <c r="C155" s="18">
        <v>8.25</v>
      </c>
      <c r="D155" s="18">
        <v>9.24</v>
      </c>
      <c r="E155" s="18">
        <v>8.6300000000000008</v>
      </c>
      <c r="F155" s="18">
        <v>9.14</v>
      </c>
      <c r="G155" s="18">
        <v>9.86</v>
      </c>
      <c r="H155" s="18">
        <v>7.94</v>
      </c>
      <c r="I155" s="18">
        <v>9.44</v>
      </c>
      <c r="J155" s="19">
        <v>8.7899999999999991</v>
      </c>
      <c r="K155" s="18">
        <v>8.69</v>
      </c>
    </row>
    <row r="156" spans="1:11" ht="15">
      <c r="A156" s="10"/>
      <c r="B156" s="20" t="s">
        <v>134</v>
      </c>
      <c r="C156" s="21" t="s">
        <v>135</v>
      </c>
      <c r="D156" s="21" t="s">
        <v>136</v>
      </c>
      <c r="E156" s="21" t="s">
        <v>137</v>
      </c>
      <c r="F156" s="21" t="s">
        <v>138</v>
      </c>
      <c r="G156" s="21" t="s">
        <v>139</v>
      </c>
      <c r="H156" s="21" t="s">
        <v>140</v>
      </c>
      <c r="I156" s="21" t="s">
        <v>141</v>
      </c>
      <c r="J156" s="21" t="s">
        <v>142</v>
      </c>
      <c r="K156" s="21" t="s">
        <v>33</v>
      </c>
    </row>
    <row r="157" spans="1:11" ht="15">
      <c r="A157" s="13"/>
      <c r="B157" s="14">
        <v>169</v>
      </c>
      <c r="C157" s="15">
        <v>181</v>
      </c>
      <c r="D157" s="15">
        <v>198</v>
      </c>
      <c r="E157" s="15">
        <v>167</v>
      </c>
      <c r="F157" s="15">
        <v>180</v>
      </c>
      <c r="G157" s="15">
        <v>201</v>
      </c>
      <c r="H157" s="15">
        <v>130</v>
      </c>
      <c r="I157" s="15">
        <v>142</v>
      </c>
      <c r="J157" s="15">
        <v>1368</v>
      </c>
      <c r="K157" s="15">
        <v>272</v>
      </c>
    </row>
    <row r="158" spans="1:11" ht="15">
      <c r="A158" s="13"/>
      <c r="B158" s="14">
        <v>20</v>
      </c>
      <c r="C158" s="15">
        <v>20</v>
      </c>
      <c r="D158" s="15">
        <v>21</v>
      </c>
      <c r="E158" s="15">
        <v>19</v>
      </c>
      <c r="F158" s="15">
        <v>21</v>
      </c>
      <c r="G158" s="15">
        <v>21</v>
      </c>
      <c r="H158" s="15">
        <v>16</v>
      </c>
      <c r="I158" s="15">
        <v>16</v>
      </c>
      <c r="J158" s="15">
        <v>154</v>
      </c>
      <c r="K158" s="15">
        <v>32</v>
      </c>
    </row>
    <row r="159" spans="1:11" ht="15">
      <c r="A159" s="16">
        <v>2019120038</v>
      </c>
      <c r="B159" s="17">
        <v>8.4499999999999993</v>
      </c>
      <c r="C159" s="18">
        <v>9.0500000000000007</v>
      </c>
      <c r="D159" s="18">
        <v>9.43</v>
      </c>
      <c r="E159" s="18">
        <v>8.7899999999999991</v>
      </c>
      <c r="F159" s="18">
        <v>8.57</v>
      </c>
      <c r="G159" s="18">
        <v>9.57</v>
      </c>
      <c r="H159" s="18">
        <v>8.1300000000000008</v>
      </c>
      <c r="I159" s="18">
        <v>8.8800000000000008</v>
      </c>
      <c r="J159" s="19">
        <v>8.8800000000000008</v>
      </c>
      <c r="K159" s="18">
        <v>8.5</v>
      </c>
    </row>
    <row r="160" spans="1:11" ht="15">
      <c r="A160" s="10"/>
      <c r="B160" s="20" t="s">
        <v>134</v>
      </c>
      <c r="C160" s="21" t="s">
        <v>135</v>
      </c>
      <c r="D160" s="21" t="s">
        <v>136</v>
      </c>
      <c r="E160" s="21" t="s">
        <v>137</v>
      </c>
      <c r="F160" s="21" t="s">
        <v>138</v>
      </c>
      <c r="G160" s="21" t="s">
        <v>139</v>
      </c>
      <c r="H160" s="21" t="s">
        <v>140</v>
      </c>
      <c r="I160" s="21" t="s">
        <v>141</v>
      </c>
      <c r="J160" s="21" t="s">
        <v>142</v>
      </c>
      <c r="K160" s="21" t="s">
        <v>33</v>
      </c>
    </row>
    <row r="161" spans="1:11" ht="15">
      <c r="A161" s="13"/>
      <c r="B161" s="14">
        <v>147</v>
      </c>
      <c r="C161" s="15">
        <v>159</v>
      </c>
      <c r="D161" s="15">
        <v>195</v>
      </c>
      <c r="E161" s="15">
        <v>161</v>
      </c>
      <c r="F161" s="15">
        <v>182</v>
      </c>
      <c r="G161" s="15">
        <v>186</v>
      </c>
      <c r="H161" s="15">
        <v>121</v>
      </c>
      <c r="I161" s="15">
        <v>133</v>
      </c>
      <c r="J161" s="15">
        <v>1284</v>
      </c>
      <c r="K161" s="15">
        <v>254</v>
      </c>
    </row>
    <row r="162" spans="1:11" ht="15">
      <c r="A162" s="13"/>
      <c r="B162" s="14">
        <v>20</v>
      </c>
      <c r="C162" s="15">
        <v>20</v>
      </c>
      <c r="D162" s="15">
        <v>21</v>
      </c>
      <c r="E162" s="15">
        <v>19</v>
      </c>
      <c r="F162" s="15">
        <v>21</v>
      </c>
      <c r="G162" s="15">
        <v>21</v>
      </c>
      <c r="H162" s="15">
        <v>16</v>
      </c>
      <c r="I162" s="15">
        <v>16</v>
      </c>
      <c r="J162" s="15">
        <v>154</v>
      </c>
      <c r="K162" s="15">
        <v>32</v>
      </c>
    </row>
    <row r="163" spans="1:11" ht="15">
      <c r="A163" s="16">
        <v>2019120039</v>
      </c>
      <c r="B163" s="17">
        <v>7.35</v>
      </c>
      <c r="C163" s="18">
        <v>7.95</v>
      </c>
      <c r="D163" s="18">
        <v>9.2899999999999991</v>
      </c>
      <c r="E163" s="18">
        <v>8.4700000000000006</v>
      </c>
      <c r="F163" s="18">
        <v>8.67</v>
      </c>
      <c r="G163" s="18">
        <v>8.86</v>
      </c>
      <c r="H163" s="18">
        <v>7.56</v>
      </c>
      <c r="I163" s="18">
        <v>8.31</v>
      </c>
      <c r="J163" s="19">
        <v>8.34</v>
      </c>
      <c r="K163" s="18">
        <v>7.94</v>
      </c>
    </row>
    <row r="164" spans="1:11" ht="15">
      <c r="A164" s="10"/>
      <c r="B164" s="20" t="s">
        <v>134</v>
      </c>
      <c r="C164" s="21" t="s">
        <v>135</v>
      </c>
      <c r="D164" s="21" t="s">
        <v>136</v>
      </c>
      <c r="E164" s="21" t="s">
        <v>137</v>
      </c>
      <c r="F164" s="21" t="s">
        <v>138</v>
      </c>
      <c r="G164" s="21" t="s">
        <v>139</v>
      </c>
      <c r="H164" s="21" t="s">
        <v>140</v>
      </c>
      <c r="I164" s="21" t="s">
        <v>141</v>
      </c>
      <c r="J164" s="21" t="s">
        <v>142</v>
      </c>
      <c r="K164" s="21" t="s">
        <v>33</v>
      </c>
    </row>
    <row r="165" spans="1:11" ht="15">
      <c r="A165" s="13"/>
      <c r="B165" s="14">
        <v>172</v>
      </c>
      <c r="C165" s="15">
        <v>183</v>
      </c>
      <c r="D165" s="15">
        <v>206</v>
      </c>
      <c r="E165" s="15">
        <v>165</v>
      </c>
      <c r="F165" s="15">
        <v>186</v>
      </c>
      <c r="G165" s="15">
        <v>207</v>
      </c>
      <c r="H165" s="15">
        <v>136</v>
      </c>
      <c r="I165" s="15">
        <v>151</v>
      </c>
      <c r="J165" s="15">
        <v>1406</v>
      </c>
      <c r="K165" s="15">
        <v>287</v>
      </c>
    </row>
    <row r="166" spans="1:11" ht="15">
      <c r="A166" s="13"/>
      <c r="B166" s="14">
        <v>20</v>
      </c>
      <c r="C166" s="15">
        <v>20</v>
      </c>
      <c r="D166" s="15">
        <v>21</v>
      </c>
      <c r="E166" s="15">
        <v>19</v>
      </c>
      <c r="F166" s="15">
        <v>21</v>
      </c>
      <c r="G166" s="15">
        <v>21</v>
      </c>
      <c r="H166" s="15">
        <v>16</v>
      </c>
      <c r="I166" s="15">
        <v>16</v>
      </c>
      <c r="J166" s="15">
        <v>154</v>
      </c>
      <c r="K166" s="15">
        <v>32</v>
      </c>
    </row>
    <row r="167" spans="1:11" ht="15">
      <c r="A167" s="16">
        <v>2019120040</v>
      </c>
      <c r="B167" s="17">
        <v>8.6</v>
      </c>
      <c r="C167" s="18">
        <v>9.15</v>
      </c>
      <c r="D167" s="18">
        <v>9.81</v>
      </c>
      <c r="E167" s="18">
        <v>8.68</v>
      </c>
      <c r="F167" s="18">
        <v>8.86</v>
      </c>
      <c r="G167" s="18">
        <v>9.86</v>
      </c>
      <c r="H167" s="18">
        <v>8.5</v>
      </c>
      <c r="I167" s="18">
        <v>9.44</v>
      </c>
      <c r="J167" s="19">
        <v>9.1300000000000008</v>
      </c>
      <c r="K167" s="18">
        <v>8.9700000000000006</v>
      </c>
    </row>
    <row r="168" spans="1:11" ht="15">
      <c r="A168" s="10"/>
      <c r="B168" s="20" t="s">
        <v>134</v>
      </c>
      <c r="C168" s="21" t="s">
        <v>135</v>
      </c>
      <c r="D168" s="21" t="s">
        <v>136</v>
      </c>
      <c r="E168" s="21" t="s">
        <v>137</v>
      </c>
      <c r="F168" s="21" t="s">
        <v>138</v>
      </c>
      <c r="G168" s="21" t="s">
        <v>139</v>
      </c>
      <c r="H168" s="21" t="s">
        <v>140</v>
      </c>
      <c r="I168" s="21" t="s">
        <v>141</v>
      </c>
      <c r="J168" s="21" t="s">
        <v>142</v>
      </c>
      <c r="K168" s="21" t="s">
        <v>33</v>
      </c>
    </row>
    <row r="169" spans="1:11" ht="15">
      <c r="A169" s="13"/>
      <c r="B169" s="14">
        <v>180</v>
      </c>
      <c r="C169" s="15">
        <v>191</v>
      </c>
      <c r="D169" s="15">
        <v>206</v>
      </c>
      <c r="E169" s="15">
        <v>176</v>
      </c>
      <c r="F169" s="15">
        <v>198</v>
      </c>
      <c r="G169" s="15">
        <v>201</v>
      </c>
      <c r="H169" s="15">
        <v>157</v>
      </c>
      <c r="I169" s="15">
        <v>160</v>
      </c>
      <c r="J169" s="15">
        <v>1469</v>
      </c>
      <c r="K169" s="15">
        <v>317</v>
      </c>
    </row>
    <row r="170" spans="1:11" ht="15">
      <c r="A170" s="13"/>
      <c r="B170" s="14">
        <v>20</v>
      </c>
      <c r="C170" s="15">
        <v>20</v>
      </c>
      <c r="D170" s="15">
        <v>21</v>
      </c>
      <c r="E170" s="15">
        <v>19</v>
      </c>
      <c r="F170" s="15">
        <v>21</v>
      </c>
      <c r="G170" s="15">
        <v>21</v>
      </c>
      <c r="H170" s="15">
        <v>16</v>
      </c>
      <c r="I170" s="15">
        <v>16</v>
      </c>
      <c r="J170" s="15">
        <v>154</v>
      </c>
      <c r="K170" s="15">
        <v>32</v>
      </c>
    </row>
    <row r="171" spans="1:11" ht="15">
      <c r="A171" s="16">
        <v>2019120041</v>
      </c>
      <c r="B171" s="17">
        <v>9</v>
      </c>
      <c r="C171" s="18">
        <v>9.5500000000000007</v>
      </c>
      <c r="D171" s="18">
        <v>9.81</v>
      </c>
      <c r="E171" s="18">
        <v>9.26</v>
      </c>
      <c r="F171" s="18">
        <v>9.43</v>
      </c>
      <c r="G171" s="18">
        <v>9.57</v>
      </c>
      <c r="H171" s="18">
        <v>9.81</v>
      </c>
      <c r="I171" s="18">
        <v>10</v>
      </c>
      <c r="J171" s="19">
        <v>9.5399999999999991</v>
      </c>
      <c r="K171" s="18">
        <v>9.91</v>
      </c>
    </row>
    <row r="172" spans="1:11" ht="15">
      <c r="A172" s="10"/>
      <c r="B172" s="20" t="s">
        <v>134</v>
      </c>
      <c r="C172" s="21" t="s">
        <v>135</v>
      </c>
      <c r="D172" s="21" t="s">
        <v>136</v>
      </c>
      <c r="E172" s="21" t="s">
        <v>137</v>
      </c>
      <c r="F172" s="21" t="s">
        <v>138</v>
      </c>
      <c r="G172" s="21" t="s">
        <v>139</v>
      </c>
      <c r="H172" s="21" t="s">
        <v>140</v>
      </c>
      <c r="I172" s="21" t="s">
        <v>141</v>
      </c>
      <c r="J172" s="21" t="s">
        <v>142</v>
      </c>
      <c r="K172" s="21" t="s">
        <v>33</v>
      </c>
    </row>
    <row r="173" spans="1:11" ht="15">
      <c r="A173" s="13"/>
      <c r="B173" s="14">
        <v>182</v>
      </c>
      <c r="C173" s="15">
        <v>188</v>
      </c>
      <c r="D173" s="15">
        <v>204</v>
      </c>
      <c r="E173" s="15">
        <v>179</v>
      </c>
      <c r="F173" s="15">
        <v>194</v>
      </c>
      <c r="G173" s="15">
        <v>204</v>
      </c>
      <c r="H173" s="15">
        <v>145</v>
      </c>
      <c r="I173" s="15">
        <v>145</v>
      </c>
      <c r="J173" s="15">
        <v>1441</v>
      </c>
      <c r="K173" s="15">
        <v>290</v>
      </c>
    </row>
    <row r="174" spans="1:11" ht="15">
      <c r="A174" s="13"/>
      <c r="B174" s="14">
        <v>20</v>
      </c>
      <c r="C174" s="15">
        <v>20</v>
      </c>
      <c r="D174" s="15">
        <v>21</v>
      </c>
      <c r="E174" s="15">
        <v>19</v>
      </c>
      <c r="F174" s="15">
        <v>21</v>
      </c>
      <c r="G174" s="15">
        <v>21</v>
      </c>
      <c r="H174" s="15">
        <v>16</v>
      </c>
      <c r="I174" s="15">
        <v>16</v>
      </c>
      <c r="J174" s="15">
        <v>154</v>
      </c>
      <c r="K174" s="15">
        <v>32</v>
      </c>
    </row>
    <row r="175" spans="1:11" ht="15">
      <c r="A175" s="16">
        <v>2019120042</v>
      </c>
      <c r="B175" s="17">
        <v>9.1</v>
      </c>
      <c r="C175" s="18">
        <v>9.4</v>
      </c>
      <c r="D175" s="18">
        <v>9.7100000000000009</v>
      </c>
      <c r="E175" s="18">
        <v>9.42</v>
      </c>
      <c r="F175" s="18">
        <v>9.24</v>
      </c>
      <c r="G175" s="18">
        <v>9.7100000000000009</v>
      </c>
      <c r="H175" s="18">
        <v>9.06</v>
      </c>
      <c r="I175" s="18">
        <v>9.06</v>
      </c>
      <c r="J175" s="19">
        <v>9.36</v>
      </c>
      <c r="K175" s="18">
        <v>9.06</v>
      </c>
    </row>
    <row r="176" spans="1:11" ht="15">
      <c r="A176" s="10"/>
      <c r="B176" s="20" t="s">
        <v>134</v>
      </c>
      <c r="C176" s="21" t="s">
        <v>135</v>
      </c>
      <c r="D176" s="21" t="s">
        <v>136</v>
      </c>
      <c r="E176" s="21" t="s">
        <v>137</v>
      </c>
      <c r="F176" s="21" t="s">
        <v>138</v>
      </c>
      <c r="G176" s="21" t="s">
        <v>139</v>
      </c>
      <c r="H176" s="21" t="s">
        <v>140</v>
      </c>
      <c r="I176" s="21" t="s">
        <v>141</v>
      </c>
      <c r="J176" s="21" t="s">
        <v>142</v>
      </c>
      <c r="K176" s="21" t="s">
        <v>33</v>
      </c>
    </row>
    <row r="177" spans="1:11" ht="15">
      <c r="A177" s="13"/>
      <c r="B177" s="14">
        <v>154</v>
      </c>
      <c r="C177" s="15">
        <v>182</v>
      </c>
      <c r="D177" s="15">
        <v>195</v>
      </c>
      <c r="E177" s="15">
        <v>160</v>
      </c>
      <c r="F177" s="15">
        <v>190</v>
      </c>
      <c r="G177" s="15">
        <v>198</v>
      </c>
      <c r="H177" s="15">
        <v>142</v>
      </c>
      <c r="I177" s="15">
        <v>133</v>
      </c>
      <c r="J177" s="15">
        <v>1354</v>
      </c>
      <c r="K177" s="15">
        <v>275</v>
      </c>
    </row>
    <row r="178" spans="1:11" ht="15">
      <c r="A178" s="13"/>
      <c r="B178" s="14">
        <v>20</v>
      </c>
      <c r="C178" s="15">
        <v>20</v>
      </c>
      <c r="D178" s="15">
        <v>21</v>
      </c>
      <c r="E178" s="15">
        <v>19</v>
      </c>
      <c r="F178" s="15">
        <v>21</v>
      </c>
      <c r="G178" s="15">
        <v>21</v>
      </c>
      <c r="H178" s="15">
        <v>16</v>
      </c>
      <c r="I178" s="15">
        <v>16</v>
      </c>
      <c r="J178" s="15">
        <v>154</v>
      </c>
      <c r="K178" s="15">
        <v>32</v>
      </c>
    </row>
    <row r="179" spans="1:11" ht="15">
      <c r="A179" s="16">
        <v>2019120043</v>
      </c>
      <c r="B179" s="17">
        <v>7.7</v>
      </c>
      <c r="C179" s="18">
        <v>9.1</v>
      </c>
      <c r="D179" s="18">
        <v>9.2899999999999991</v>
      </c>
      <c r="E179" s="18">
        <v>8.42</v>
      </c>
      <c r="F179" s="18">
        <v>9.0500000000000007</v>
      </c>
      <c r="G179" s="18">
        <v>9.43</v>
      </c>
      <c r="H179" s="18">
        <v>8.8800000000000008</v>
      </c>
      <c r="I179" s="18">
        <v>8.31</v>
      </c>
      <c r="J179" s="19">
        <v>8.7899999999999991</v>
      </c>
      <c r="K179" s="18">
        <v>8.59</v>
      </c>
    </row>
    <row r="180" spans="1:11" ht="15">
      <c r="A180" s="10"/>
      <c r="B180" s="20" t="s">
        <v>134</v>
      </c>
      <c r="C180" s="21" t="s">
        <v>135</v>
      </c>
      <c r="D180" s="21" t="s">
        <v>136</v>
      </c>
      <c r="E180" s="21" t="s">
        <v>137</v>
      </c>
      <c r="F180" s="21" t="s">
        <v>138</v>
      </c>
      <c r="G180" s="21" t="s">
        <v>139</v>
      </c>
      <c r="H180" s="21" t="s">
        <v>140</v>
      </c>
      <c r="I180" s="21" t="s">
        <v>141</v>
      </c>
      <c r="J180" s="21" t="s">
        <v>142</v>
      </c>
      <c r="K180" s="21" t="s">
        <v>33</v>
      </c>
    </row>
    <row r="181" spans="1:11" ht="15">
      <c r="A181" s="13"/>
      <c r="B181" s="14">
        <v>173</v>
      </c>
      <c r="C181" s="15">
        <v>184</v>
      </c>
      <c r="D181" s="15">
        <v>210</v>
      </c>
      <c r="E181" s="15">
        <v>181</v>
      </c>
      <c r="F181" s="15">
        <v>206</v>
      </c>
      <c r="G181" s="15">
        <v>204</v>
      </c>
      <c r="H181" s="15">
        <v>154</v>
      </c>
      <c r="I181" s="15">
        <v>157</v>
      </c>
      <c r="J181" s="15">
        <v>1469</v>
      </c>
      <c r="K181" s="15">
        <v>311</v>
      </c>
    </row>
    <row r="182" spans="1:11" ht="15">
      <c r="A182" s="13"/>
      <c r="B182" s="14">
        <v>20</v>
      </c>
      <c r="C182" s="15">
        <v>20</v>
      </c>
      <c r="D182" s="15">
        <v>21</v>
      </c>
      <c r="E182" s="15">
        <v>19</v>
      </c>
      <c r="F182" s="15">
        <v>21</v>
      </c>
      <c r="G182" s="15">
        <v>21</v>
      </c>
      <c r="H182" s="15">
        <v>16</v>
      </c>
      <c r="I182" s="15">
        <v>16</v>
      </c>
      <c r="J182" s="15">
        <v>154</v>
      </c>
      <c r="K182" s="15">
        <v>32</v>
      </c>
    </row>
    <row r="183" spans="1:11" ht="15">
      <c r="A183" s="16">
        <v>2019120044</v>
      </c>
      <c r="B183" s="17">
        <v>8.65</v>
      </c>
      <c r="C183" s="18">
        <v>9.1999999999999993</v>
      </c>
      <c r="D183" s="18">
        <v>10</v>
      </c>
      <c r="E183" s="18">
        <v>9.5299999999999994</v>
      </c>
      <c r="F183" s="18">
        <v>9.81</v>
      </c>
      <c r="G183" s="18">
        <v>9.7100000000000009</v>
      </c>
      <c r="H183" s="18">
        <v>9.6300000000000008</v>
      </c>
      <c r="I183" s="18">
        <v>9.81</v>
      </c>
      <c r="J183" s="19">
        <v>9.5399999999999991</v>
      </c>
      <c r="K183" s="18">
        <v>9.7200000000000006</v>
      </c>
    </row>
    <row r="184" spans="1:11" ht="15">
      <c r="A184" s="10"/>
      <c r="B184" s="20" t="s">
        <v>134</v>
      </c>
      <c r="C184" s="21" t="s">
        <v>135</v>
      </c>
      <c r="D184" s="21" t="s">
        <v>136</v>
      </c>
      <c r="E184" s="21" t="s">
        <v>137</v>
      </c>
      <c r="F184" s="21" t="s">
        <v>138</v>
      </c>
      <c r="G184" s="21" t="s">
        <v>139</v>
      </c>
      <c r="H184" s="21" t="s">
        <v>140</v>
      </c>
      <c r="I184" s="21" t="s">
        <v>141</v>
      </c>
      <c r="J184" s="21" t="s">
        <v>142</v>
      </c>
      <c r="K184" s="21" t="s">
        <v>33</v>
      </c>
    </row>
    <row r="185" spans="1:11" ht="15">
      <c r="A185" s="13"/>
      <c r="B185" s="14">
        <v>190</v>
      </c>
      <c r="C185" s="15">
        <v>189</v>
      </c>
      <c r="D185" s="15">
        <v>201</v>
      </c>
      <c r="E185" s="15">
        <v>171</v>
      </c>
      <c r="F185" s="15">
        <v>198</v>
      </c>
      <c r="G185" s="15">
        <v>210</v>
      </c>
      <c r="H185" s="15">
        <v>142</v>
      </c>
      <c r="I185" s="15">
        <v>142</v>
      </c>
      <c r="J185" s="15">
        <v>1443</v>
      </c>
      <c r="K185" s="15">
        <v>284</v>
      </c>
    </row>
    <row r="186" spans="1:11" ht="15">
      <c r="A186" s="13"/>
      <c r="B186" s="14">
        <v>20</v>
      </c>
      <c r="C186" s="15">
        <v>20</v>
      </c>
      <c r="D186" s="15">
        <v>21</v>
      </c>
      <c r="E186" s="15">
        <v>19</v>
      </c>
      <c r="F186" s="15">
        <v>21</v>
      </c>
      <c r="G186" s="15">
        <v>21</v>
      </c>
      <c r="H186" s="15">
        <v>16</v>
      </c>
      <c r="I186" s="15">
        <v>16</v>
      </c>
      <c r="J186" s="15">
        <v>154</v>
      </c>
      <c r="K186" s="15">
        <v>32</v>
      </c>
    </row>
    <row r="187" spans="1:11" ht="15">
      <c r="A187" s="16">
        <v>2019120045</v>
      </c>
      <c r="B187" s="17">
        <v>9.5</v>
      </c>
      <c r="C187" s="18">
        <v>9.4499999999999993</v>
      </c>
      <c r="D187" s="18">
        <v>9.57</v>
      </c>
      <c r="E187" s="18">
        <v>9</v>
      </c>
      <c r="F187" s="18">
        <v>9.43</v>
      </c>
      <c r="G187" s="18">
        <v>10</v>
      </c>
      <c r="H187" s="18">
        <v>8.8800000000000008</v>
      </c>
      <c r="I187" s="18">
        <v>8.8800000000000008</v>
      </c>
      <c r="J187" s="19">
        <v>9.3699999999999992</v>
      </c>
      <c r="K187" s="18">
        <v>8.8800000000000008</v>
      </c>
    </row>
    <row r="188" spans="1:11" ht="15">
      <c r="A188" s="10"/>
      <c r="B188" s="20" t="s">
        <v>134</v>
      </c>
      <c r="C188" s="21" t="s">
        <v>135</v>
      </c>
      <c r="D188" s="21" t="s">
        <v>136</v>
      </c>
      <c r="E188" s="21" t="s">
        <v>137</v>
      </c>
      <c r="F188" s="21" t="s">
        <v>138</v>
      </c>
      <c r="G188" s="21" t="s">
        <v>139</v>
      </c>
      <c r="H188" s="21" t="s">
        <v>140</v>
      </c>
      <c r="I188" s="21" t="s">
        <v>141</v>
      </c>
      <c r="J188" s="21" t="s">
        <v>142</v>
      </c>
      <c r="K188" s="21" t="s">
        <v>33</v>
      </c>
    </row>
    <row r="189" spans="1:11" ht="15">
      <c r="A189" s="13"/>
      <c r="B189" s="14">
        <v>180</v>
      </c>
      <c r="C189" s="15">
        <v>176</v>
      </c>
      <c r="D189" s="15">
        <v>202</v>
      </c>
      <c r="E189" s="15">
        <v>162</v>
      </c>
      <c r="F189" s="15">
        <v>198</v>
      </c>
      <c r="G189" s="15">
        <v>201</v>
      </c>
      <c r="H189" s="15">
        <v>124</v>
      </c>
      <c r="I189" s="15">
        <v>145</v>
      </c>
      <c r="J189" s="15">
        <v>1388</v>
      </c>
      <c r="K189" s="15">
        <v>269</v>
      </c>
    </row>
    <row r="190" spans="1:11" ht="15">
      <c r="A190" s="13"/>
      <c r="B190" s="14">
        <v>20</v>
      </c>
      <c r="C190" s="15">
        <v>20</v>
      </c>
      <c r="D190" s="15">
        <v>21</v>
      </c>
      <c r="E190" s="15">
        <v>19</v>
      </c>
      <c r="F190" s="15">
        <v>21</v>
      </c>
      <c r="G190" s="15">
        <v>21</v>
      </c>
      <c r="H190" s="15">
        <v>16</v>
      </c>
      <c r="I190" s="15">
        <v>16</v>
      </c>
      <c r="J190" s="15">
        <v>154</v>
      </c>
      <c r="K190" s="15">
        <v>32</v>
      </c>
    </row>
    <row r="191" spans="1:11" ht="15">
      <c r="A191" s="16">
        <v>2019120046</v>
      </c>
      <c r="B191" s="17">
        <v>9</v>
      </c>
      <c r="C191" s="18">
        <v>8.8000000000000007</v>
      </c>
      <c r="D191" s="18">
        <v>9.6199999999999992</v>
      </c>
      <c r="E191" s="18">
        <v>8.5299999999999994</v>
      </c>
      <c r="F191" s="18">
        <v>9.43</v>
      </c>
      <c r="G191" s="18">
        <v>9.57</v>
      </c>
      <c r="H191" s="18">
        <v>7.75</v>
      </c>
      <c r="I191" s="18">
        <v>9.06</v>
      </c>
      <c r="J191" s="19">
        <v>9.01</v>
      </c>
      <c r="K191" s="18">
        <v>8.41</v>
      </c>
    </row>
    <row r="192" spans="1:11" ht="15">
      <c r="A192" s="10"/>
      <c r="B192" s="20" t="s">
        <v>134</v>
      </c>
      <c r="C192" s="21" t="s">
        <v>135</v>
      </c>
      <c r="D192" s="21" t="s">
        <v>136</v>
      </c>
      <c r="E192" s="21" t="s">
        <v>137</v>
      </c>
      <c r="F192" s="21" t="s">
        <v>138</v>
      </c>
      <c r="G192" s="21" t="s">
        <v>139</v>
      </c>
      <c r="H192" s="21" t="s">
        <v>140</v>
      </c>
      <c r="I192" s="21" t="s">
        <v>141</v>
      </c>
      <c r="J192" s="21" t="s">
        <v>142</v>
      </c>
      <c r="K192" s="21" t="s">
        <v>33</v>
      </c>
    </row>
    <row r="193" spans="1:11" ht="15">
      <c r="A193" s="13"/>
      <c r="B193" s="14">
        <v>172</v>
      </c>
      <c r="C193" s="15">
        <v>189</v>
      </c>
      <c r="D193" s="15">
        <v>210</v>
      </c>
      <c r="E193" s="15">
        <v>173</v>
      </c>
      <c r="F193" s="15">
        <v>202</v>
      </c>
      <c r="G193" s="15">
        <v>189</v>
      </c>
      <c r="H193" s="15">
        <v>133</v>
      </c>
      <c r="I193" s="15">
        <v>148</v>
      </c>
      <c r="J193" s="15">
        <v>1416</v>
      </c>
      <c r="K193" s="15">
        <v>281</v>
      </c>
    </row>
    <row r="194" spans="1:11" ht="15">
      <c r="A194" s="13"/>
      <c r="B194" s="14">
        <v>20</v>
      </c>
      <c r="C194" s="15">
        <v>20</v>
      </c>
      <c r="D194" s="15">
        <v>21</v>
      </c>
      <c r="E194" s="15">
        <v>19</v>
      </c>
      <c r="F194" s="15">
        <v>21</v>
      </c>
      <c r="G194" s="15">
        <v>21</v>
      </c>
      <c r="H194" s="15">
        <v>16</v>
      </c>
      <c r="I194" s="15">
        <v>16</v>
      </c>
      <c r="J194" s="15">
        <v>154</v>
      </c>
      <c r="K194" s="15">
        <v>32</v>
      </c>
    </row>
    <row r="195" spans="1:11" ht="15">
      <c r="A195" s="16">
        <v>2019120047</v>
      </c>
      <c r="B195" s="17">
        <v>8.6</v>
      </c>
      <c r="C195" s="18">
        <v>9.4499999999999993</v>
      </c>
      <c r="D195" s="18">
        <v>10</v>
      </c>
      <c r="E195" s="18">
        <v>9.11</v>
      </c>
      <c r="F195" s="18">
        <v>9.6199999999999992</v>
      </c>
      <c r="G195" s="18">
        <v>9</v>
      </c>
      <c r="H195" s="18">
        <v>8.31</v>
      </c>
      <c r="I195" s="18">
        <v>9.25</v>
      </c>
      <c r="J195" s="19">
        <v>9.19</v>
      </c>
      <c r="K195" s="18">
        <v>8.7799999999999994</v>
      </c>
    </row>
    <row r="196" spans="1:11" ht="15">
      <c r="A196" s="10"/>
      <c r="B196" s="20" t="s">
        <v>134</v>
      </c>
      <c r="C196" s="21" t="s">
        <v>135</v>
      </c>
      <c r="D196" s="21" t="s">
        <v>136</v>
      </c>
      <c r="E196" s="21" t="s">
        <v>137</v>
      </c>
      <c r="F196" s="21" t="s">
        <v>138</v>
      </c>
      <c r="G196" s="21" t="s">
        <v>139</v>
      </c>
      <c r="H196" s="21" t="s">
        <v>140</v>
      </c>
      <c r="I196" s="21" t="s">
        <v>141</v>
      </c>
      <c r="J196" s="21" t="s">
        <v>142</v>
      </c>
      <c r="K196" s="21" t="s">
        <v>33</v>
      </c>
    </row>
    <row r="197" spans="1:11" ht="15">
      <c r="A197" s="13"/>
      <c r="B197" s="14">
        <v>167</v>
      </c>
      <c r="C197" s="15">
        <v>176</v>
      </c>
      <c r="D197" s="15">
        <v>206</v>
      </c>
      <c r="E197" s="15">
        <v>175</v>
      </c>
      <c r="F197" s="15">
        <v>198</v>
      </c>
      <c r="G197" s="15">
        <v>178</v>
      </c>
      <c r="H197" s="15">
        <v>140</v>
      </c>
      <c r="I197" s="15">
        <v>145</v>
      </c>
      <c r="J197" s="15">
        <v>1385</v>
      </c>
      <c r="K197" s="15">
        <v>285</v>
      </c>
    </row>
    <row r="198" spans="1:11" ht="15">
      <c r="A198" s="13"/>
      <c r="B198" s="14">
        <v>20</v>
      </c>
      <c r="C198" s="15">
        <v>20</v>
      </c>
      <c r="D198" s="15">
        <v>21</v>
      </c>
      <c r="E198" s="15">
        <v>19</v>
      </c>
      <c r="F198" s="15">
        <v>21</v>
      </c>
      <c r="G198" s="15">
        <v>20</v>
      </c>
      <c r="H198" s="15">
        <v>16</v>
      </c>
      <c r="I198" s="15">
        <v>16</v>
      </c>
      <c r="J198" s="15">
        <v>153</v>
      </c>
      <c r="K198" s="15">
        <v>32</v>
      </c>
    </row>
    <row r="199" spans="1:11" ht="15">
      <c r="A199" s="16">
        <v>2019120048</v>
      </c>
      <c r="B199" s="17">
        <v>8.35</v>
      </c>
      <c r="C199" s="18">
        <v>8.8000000000000007</v>
      </c>
      <c r="D199" s="18">
        <v>9.81</v>
      </c>
      <c r="E199" s="18">
        <v>9.2100000000000009</v>
      </c>
      <c r="F199" s="18">
        <v>9.43</v>
      </c>
      <c r="G199" s="18">
        <v>8.9</v>
      </c>
      <c r="H199" s="18">
        <v>8.75</v>
      </c>
      <c r="I199" s="18">
        <v>9.06</v>
      </c>
      <c r="J199" s="19">
        <v>9.0500000000000007</v>
      </c>
      <c r="K199" s="18">
        <v>8.91</v>
      </c>
    </row>
    <row r="200" spans="1:11" ht="15">
      <c r="A200" s="10"/>
      <c r="B200" s="20" t="s">
        <v>134</v>
      </c>
      <c r="C200" s="21" t="s">
        <v>135</v>
      </c>
      <c r="D200" s="21" t="s">
        <v>136</v>
      </c>
      <c r="E200" s="21" t="s">
        <v>137</v>
      </c>
      <c r="F200" s="21" t="s">
        <v>138</v>
      </c>
      <c r="G200" s="21" t="s">
        <v>139</v>
      </c>
      <c r="H200" s="21" t="s">
        <v>140</v>
      </c>
      <c r="I200" s="21" t="s">
        <v>141</v>
      </c>
      <c r="J200" s="21" t="s">
        <v>142</v>
      </c>
      <c r="K200" s="21" t="s">
        <v>33</v>
      </c>
    </row>
    <row r="201" spans="1:11" ht="15">
      <c r="A201" s="13"/>
      <c r="B201" s="14">
        <v>134</v>
      </c>
      <c r="C201" s="15">
        <v>151</v>
      </c>
      <c r="D201" s="15">
        <v>180</v>
      </c>
      <c r="E201" s="15">
        <v>151</v>
      </c>
      <c r="F201" s="15">
        <v>194</v>
      </c>
      <c r="G201" s="15">
        <v>151</v>
      </c>
      <c r="H201" s="15">
        <v>124</v>
      </c>
      <c r="I201" s="15">
        <v>145</v>
      </c>
      <c r="J201" s="15">
        <v>1230</v>
      </c>
      <c r="K201" s="15">
        <v>269</v>
      </c>
    </row>
    <row r="202" spans="1:11" ht="15">
      <c r="A202" s="13"/>
      <c r="B202" s="14">
        <v>20</v>
      </c>
      <c r="C202" s="15">
        <v>20</v>
      </c>
      <c r="D202" s="15">
        <v>21</v>
      </c>
      <c r="E202" s="15">
        <v>19</v>
      </c>
      <c r="F202" s="15">
        <v>21</v>
      </c>
      <c r="G202" s="15">
        <v>20</v>
      </c>
      <c r="H202" s="15">
        <v>16</v>
      </c>
      <c r="I202" s="15">
        <v>16</v>
      </c>
      <c r="J202" s="15">
        <v>153</v>
      </c>
      <c r="K202" s="15">
        <v>32</v>
      </c>
    </row>
    <row r="203" spans="1:11" ht="15">
      <c r="A203" s="16">
        <v>2019120049</v>
      </c>
      <c r="B203" s="17">
        <v>6.7</v>
      </c>
      <c r="C203" s="18">
        <v>7.55</v>
      </c>
      <c r="D203" s="18">
        <v>8.57</v>
      </c>
      <c r="E203" s="18">
        <v>7.95</v>
      </c>
      <c r="F203" s="18">
        <v>9.24</v>
      </c>
      <c r="G203" s="18">
        <v>7.55</v>
      </c>
      <c r="H203" s="18">
        <v>7.75</v>
      </c>
      <c r="I203" s="18">
        <v>9.06</v>
      </c>
      <c r="J203" s="19">
        <v>8.0399999999999991</v>
      </c>
      <c r="K203" s="18">
        <v>8.41</v>
      </c>
    </row>
    <row r="204" spans="1:11" ht="15">
      <c r="A204" s="10"/>
      <c r="B204" s="20" t="s">
        <v>134</v>
      </c>
      <c r="C204" s="21" t="s">
        <v>135</v>
      </c>
      <c r="D204" s="21" t="s">
        <v>136</v>
      </c>
      <c r="E204" s="21" t="s">
        <v>137</v>
      </c>
      <c r="F204" s="21" t="s">
        <v>138</v>
      </c>
      <c r="G204" s="21" t="s">
        <v>139</v>
      </c>
      <c r="H204" s="21" t="s">
        <v>140</v>
      </c>
      <c r="I204" s="21" t="s">
        <v>141</v>
      </c>
      <c r="J204" s="21" t="s">
        <v>142</v>
      </c>
      <c r="K204" s="21" t="s">
        <v>33</v>
      </c>
    </row>
    <row r="205" spans="1:11" ht="15">
      <c r="A205" s="13"/>
      <c r="B205" s="14">
        <v>200</v>
      </c>
      <c r="C205" s="15">
        <v>200</v>
      </c>
      <c r="D205" s="15">
        <v>210</v>
      </c>
      <c r="E205" s="15">
        <v>180</v>
      </c>
      <c r="F205" s="15">
        <v>194</v>
      </c>
      <c r="G205" s="15">
        <v>190</v>
      </c>
      <c r="H205" s="15">
        <v>148</v>
      </c>
      <c r="I205" s="15">
        <v>160</v>
      </c>
      <c r="J205" s="15">
        <v>1482</v>
      </c>
      <c r="K205" s="15">
        <v>308</v>
      </c>
    </row>
    <row r="206" spans="1:11" ht="15">
      <c r="A206" s="13"/>
      <c r="B206" s="14">
        <v>20</v>
      </c>
      <c r="C206" s="15">
        <v>20</v>
      </c>
      <c r="D206" s="15">
        <v>21</v>
      </c>
      <c r="E206" s="15">
        <v>19</v>
      </c>
      <c r="F206" s="15">
        <v>21</v>
      </c>
      <c r="G206" s="15">
        <v>20</v>
      </c>
      <c r="H206" s="15">
        <v>16</v>
      </c>
      <c r="I206" s="15">
        <v>16</v>
      </c>
      <c r="J206" s="15">
        <v>153</v>
      </c>
      <c r="K206" s="15">
        <v>32</v>
      </c>
    </row>
    <row r="207" spans="1:11" ht="15">
      <c r="A207" s="16">
        <v>2019120050</v>
      </c>
      <c r="B207" s="17">
        <v>10</v>
      </c>
      <c r="C207" s="18">
        <v>10</v>
      </c>
      <c r="D207" s="18">
        <v>10</v>
      </c>
      <c r="E207" s="18">
        <v>9.4700000000000006</v>
      </c>
      <c r="F207" s="18">
        <v>9.24</v>
      </c>
      <c r="G207" s="18">
        <v>9.5</v>
      </c>
      <c r="H207" s="18">
        <v>9.25</v>
      </c>
      <c r="I207" s="18">
        <v>10</v>
      </c>
      <c r="J207" s="19">
        <v>9.69</v>
      </c>
      <c r="K207" s="18">
        <v>9.6300000000000008</v>
      </c>
    </row>
    <row r="208" spans="1:11" ht="15">
      <c r="A208" s="10"/>
      <c r="B208" s="20" t="s">
        <v>134</v>
      </c>
      <c r="C208" s="21" t="s">
        <v>135</v>
      </c>
      <c r="D208" s="21" t="s">
        <v>136</v>
      </c>
      <c r="E208" s="21" t="s">
        <v>137</v>
      </c>
      <c r="F208" s="21" t="s">
        <v>138</v>
      </c>
      <c r="G208" s="21" t="s">
        <v>139</v>
      </c>
      <c r="H208" s="21" t="s">
        <v>140</v>
      </c>
      <c r="I208" s="21" t="s">
        <v>141</v>
      </c>
      <c r="J208" s="21" t="s">
        <v>142</v>
      </c>
      <c r="K208" s="21" t="s">
        <v>33</v>
      </c>
    </row>
    <row r="209" spans="1:11" ht="15">
      <c r="A209" s="13"/>
      <c r="B209" s="14">
        <v>137</v>
      </c>
      <c r="C209" s="15">
        <v>164</v>
      </c>
      <c r="D209" s="15">
        <v>188</v>
      </c>
      <c r="E209" s="15">
        <v>160</v>
      </c>
      <c r="F209" s="15">
        <v>174</v>
      </c>
      <c r="G209" s="15">
        <v>150</v>
      </c>
      <c r="H209" s="15">
        <v>141</v>
      </c>
      <c r="I209" s="15">
        <v>160</v>
      </c>
      <c r="J209" s="15">
        <v>1274</v>
      </c>
      <c r="K209" s="15">
        <v>301</v>
      </c>
    </row>
    <row r="210" spans="1:11" ht="15">
      <c r="A210" s="13"/>
      <c r="B210" s="14">
        <v>20</v>
      </c>
      <c r="C210" s="15">
        <v>20</v>
      </c>
      <c r="D210" s="15">
        <v>21</v>
      </c>
      <c r="E210" s="15">
        <v>19</v>
      </c>
      <c r="F210" s="15">
        <v>21</v>
      </c>
      <c r="G210" s="15">
        <v>20</v>
      </c>
      <c r="H210" s="15">
        <v>16</v>
      </c>
      <c r="I210" s="15">
        <v>16</v>
      </c>
      <c r="J210" s="15">
        <v>153</v>
      </c>
      <c r="K210" s="15">
        <v>32</v>
      </c>
    </row>
    <row r="211" spans="1:11" ht="15">
      <c r="A211" s="16">
        <v>2019120051</v>
      </c>
      <c r="B211" s="17">
        <v>6.85</v>
      </c>
      <c r="C211" s="18">
        <v>8.1999999999999993</v>
      </c>
      <c r="D211" s="18">
        <v>8.9499999999999993</v>
      </c>
      <c r="E211" s="18">
        <v>8.42</v>
      </c>
      <c r="F211" s="18">
        <v>8.2899999999999991</v>
      </c>
      <c r="G211" s="18">
        <v>7.5</v>
      </c>
      <c r="H211" s="18">
        <v>8.81</v>
      </c>
      <c r="I211" s="18">
        <v>10</v>
      </c>
      <c r="J211" s="19">
        <v>8.33</v>
      </c>
      <c r="K211" s="18">
        <v>9.41</v>
      </c>
    </row>
    <row r="212" spans="1:11" ht="15">
      <c r="A212" s="10"/>
      <c r="B212" s="20" t="s">
        <v>134</v>
      </c>
      <c r="C212" s="21" t="s">
        <v>135</v>
      </c>
      <c r="D212" s="21" t="s">
        <v>136</v>
      </c>
      <c r="E212" s="21" t="s">
        <v>137</v>
      </c>
      <c r="F212" s="21" t="s">
        <v>138</v>
      </c>
      <c r="G212" s="21" t="s">
        <v>139</v>
      </c>
      <c r="H212" s="21" t="s">
        <v>140</v>
      </c>
      <c r="I212" s="21" t="s">
        <v>141</v>
      </c>
      <c r="J212" s="21" t="s">
        <v>142</v>
      </c>
      <c r="K212" s="21" t="s">
        <v>33</v>
      </c>
    </row>
    <row r="213" spans="1:11" ht="15">
      <c r="A213" s="13"/>
      <c r="B213" s="14">
        <v>168</v>
      </c>
      <c r="C213" s="15">
        <v>181</v>
      </c>
      <c r="D213" s="15">
        <v>189</v>
      </c>
      <c r="E213" s="15">
        <v>159</v>
      </c>
      <c r="F213" s="15">
        <v>178</v>
      </c>
      <c r="G213" s="15">
        <v>135</v>
      </c>
      <c r="H213" s="15">
        <v>121</v>
      </c>
      <c r="I213" s="15">
        <v>160</v>
      </c>
      <c r="J213" s="15">
        <v>1291</v>
      </c>
      <c r="K213" s="15">
        <v>281</v>
      </c>
    </row>
    <row r="214" spans="1:11" ht="15">
      <c r="A214" s="13"/>
      <c r="B214" s="14">
        <v>20</v>
      </c>
      <c r="C214" s="15">
        <v>20</v>
      </c>
      <c r="D214" s="15">
        <v>21</v>
      </c>
      <c r="E214" s="15">
        <v>19</v>
      </c>
      <c r="F214" s="15">
        <v>21</v>
      </c>
      <c r="G214" s="15">
        <v>20</v>
      </c>
      <c r="H214" s="15">
        <v>16</v>
      </c>
      <c r="I214" s="15">
        <v>16</v>
      </c>
      <c r="J214" s="15">
        <v>153</v>
      </c>
      <c r="K214" s="15">
        <v>32</v>
      </c>
    </row>
    <row r="215" spans="1:11" ht="15">
      <c r="A215" s="16">
        <v>2019120052</v>
      </c>
      <c r="B215" s="17">
        <v>8.4</v>
      </c>
      <c r="C215" s="18">
        <v>9.0500000000000007</v>
      </c>
      <c r="D215" s="18">
        <v>9</v>
      </c>
      <c r="E215" s="18">
        <v>8.3699999999999992</v>
      </c>
      <c r="F215" s="18">
        <v>8.48</v>
      </c>
      <c r="G215" s="18">
        <v>6.75</v>
      </c>
      <c r="H215" s="18">
        <v>7.56</v>
      </c>
      <c r="I215" s="18">
        <v>10</v>
      </c>
      <c r="J215" s="19">
        <v>8.44</v>
      </c>
      <c r="K215" s="18">
        <v>8.7799999999999994</v>
      </c>
    </row>
    <row r="216" spans="1:11" ht="15">
      <c r="A216" s="10"/>
      <c r="B216" s="20" t="s">
        <v>134</v>
      </c>
      <c r="C216" s="21" t="s">
        <v>135</v>
      </c>
      <c r="D216" s="21" t="s">
        <v>136</v>
      </c>
      <c r="E216" s="21" t="s">
        <v>137</v>
      </c>
      <c r="F216" s="21" t="s">
        <v>138</v>
      </c>
      <c r="G216" s="21" t="s">
        <v>139</v>
      </c>
      <c r="H216" s="21" t="s">
        <v>140</v>
      </c>
      <c r="I216" s="22" t="s">
        <v>141</v>
      </c>
      <c r="J216" s="21" t="s">
        <v>142</v>
      </c>
      <c r="K216" s="21" t="s">
        <v>33</v>
      </c>
    </row>
    <row r="217" spans="1:11" ht="15">
      <c r="A217" s="23"/>
      <c r="B217" s="14">
        <v>122</v>
      </c>
      <c r="C217" s="15">
        <v>135</v>
      </c>
      <c r="D217" s="15">
        <v>202</v>
      </c>
      <c r="E217" s="15">
        <v>161</v>
      </c>
      <c r="F217" s="15">
        <v>184</v>
      </c>
      <c r="G217" s="15">
        <v>156</v>
      </c>
      <c r="H217" s="15">
        <v>100</v>
      </c>
      <c r="I217" s="15">
        <v>136</v>
      </c>
      <c r="J217" s="15">
        <v>1196</v>
      </c>
      <c r="K217" s="15">
        <v>236</v>
      </c>
    </row>
    <row r="218" spans="1:11" ht="15">
      <c r="A218" s="23"/>
      <c r="B218" s="14">
        <v>20</v>
      </c>
      <c r="C218" s="15">
        <v>20</v>
      </c>
      <c r="D218" s="15">
        <v>21</v>
      </c>
      <c r="E218" s="15">
        <v>19</v>
      </c>
      <c r="F218" s="15">
        <v>21</v>
      </c>
      <c r="G218" s="15">
        <v>21</v>
      </c>
      <c r="H218" s="15">
        <v>16</v>
      </c>
      <c r="I218" s="15">
        <v>16</v>
      </c>
      <c r="J218" s="15">
        <v>154</v>
      </c>
      <c r="K218" s="15">
        <v>32</v>
      </c>
    </row>
    <row r="219" spans="1:11" ht="15">
      <c r="A219" s="16">
        <v>2019120053</v>
      </c>
      <c r="B219" s="17">
        <v>6.1</v>
      </c>
      <c r="C219" s="18">
        <v>6.75</v>
      </c>
      <c r="D219" s="18">
        <v>9.6199999999999992</v>
      </c>
      <c r="E219" s="18">
        <v>8.4700000000000006</v>
      </c>
      <c r="F219" s="18">
        <v>8.76</v>
      </c>
      <c r="G219" s="18">
        <v>7.43</v>
      </c>
      <c r="H219" s="18">
        <v>6.25</v>
      </c>
      <c r="I219" s="18">
        <v>8.5</v>
      </c>
      <c r="J219" s="19">
        <v>7.77</v>
      </c>
      <c r="K219" s="18">
        <v>7.38</v>
      </c>
    </row>
    <row r="220" spans="1:11" ht="15">
      <c r="A220" s="10"/>
      <c r="B220" s="20" t="s">
        <v>134</v>
      </c>
      <c r="C220" s="21" t="s">
        <v>135</v>
      </c>
      <c r="D220" s="21" t="s">
        <v>136</v>
      </c>
      <c r="E220" s="21" t="s">
        <v>137</v>
      </c>
      <c r="F220" s="21" t="s">
        <v>138</v>
      </c>
      <c r="G220" s="21" t="s">
        <v>139</v>
      </c>
      <c r="H220" s="21" t="s">
        <v>140</v>
      </c>
      <c r="I220" s="21" t="s">
        <v>141</v>
      </c>
      <c r="J220" s="21" t="s">
        <v>142</v>
      </c>
      <c r="K220" s="21" t="s">
        <v>33</v>
      </c>
    </row>
    <row r="221" spans="1:11" ht="15">
      <c r="A221" s="13"/>
      <c r="B221" s="14">
        <v>117</v>
      </c>
      <c r="C221" s="15">
        <v>130</v>
      </c>
      <c r="D221" s="15">
        <v>199</v>
      </c>
      <c r="E221" s="15">
        <v>152</v>
      </c>
      <c r="F221" s="15">
        <v>176</v>
      </c>
      <c r="G221" s="15">
        <v>174</v>
      </c>
      <c r="H221" s="15">
        <v>120</v>
      </c>
      <c r="I221" s="15">
        <v>127</v>
      </c>
      <c r="J221" s="15">
        <v>1195</v>
      </c>
      <c r="K221" s="15">
        <v>247</v>
      </c>
    </row>
    <row r="222" spans="1:11" ht="15">
      <c r="A222" s="13"/>
      <c r="B222" s="14">
        <v>20</v>
      </c>
      <c r="C222" s="15">
        <v>20</v>
      </c>
      <c r="D222" s="15">
        <v>21</v>
      </c>
      <c r="E222" s="15">
        <v>19</v>
      </c>
      <c r="F222" s="15">
        <v>21</v>
      </c>
      <c r="G222" s="15">
        <v>21</v>
      </c>
      <c r="H222" s="15">
        <v>16</v>
      </c>
      <c r="I222" s="15">
        <v>16</v>
      </c>
      <c r="J222" s="15">
        <v>154</v>
      </c>
      <c r="K222" s="15">
        <v>32</v>
      </c>
    </row>
    <row r="223" spans="1:11" ht="15">
      <c r="A223" s="16">
        <v>2019120054</v>
      </c>
      <c r="B223" s="17">
        <v>5.85</v>
      </c>
      <c r="C223" s="18">
        <v>6.5</v>
      </c>
      <c r="D223" s="18">
        <v>9.48</v>
      </c>
      <c r="E223" s="18">
        <v>8</v>
      </c>
      <c r="F223" s="18">
        <v>8.3800000000000008</v>
      </c>
      <c r="G223" s="18">
        <v>8.2899999999999991</v>
      </c>
      <c r="H223" s="18">
        <v>7.5</v>
      </c>
      <c r="I223" s="18">
        <v>7.94</v>
      </c>
      <c r="J223" s="19">
        <v>7.76</v>
      </c>
      <c r="K223" s="18">
        <v>7.72</v>
      </c>
    </row>
    <row r="224" spans="1:11" ht="15">
      <c r="A224" s="10"/>
      <c r="B224" s="20" t="s">
        <v>134</v>
      </c>
      <c r="C224" s="21" t="s">
        <v>135</v>
      </c>
      <c r="D224" s="21" t="s">
        <v>136</v>
      </c>
      <c r="E224" s="21" t="s">
        <v>137</v>
      </c>
      <c r="F224" s="21" t="s">
        <v>138</v>
      </c>
      <c r="G224" s="21" t="s">
        <v>139</v>
      </c>
      <c r="H224" s="21" t="s">
        <v>140</v>
      </c>
      <c r="I224" s="21" t="s">
        <v>141</v>
      </c>
      <c r="J224" s="21" t="s">
        <v>142</v>
      </c>
      <c r="K224" s="21" t="s">
        <v>33</v>
      </c>
    </row>
    <row r="225" spans="1:11" ht="15">
      <c r="A225" s="13"/>
      <c r="B225" s="14">
        <v>152</v>
      </c>
      <c r="C225" s="15">
        <v>167</v>
      </c>
      <c r="D225" s="15">
        <v>202</v>
      </c>
      <c r="E225" s="15">
        <v>166</v>
      </c>
      <c r="F225" s="15">
        <v>182</v>
      </c>
      <c r="G225" s="15">
        <v>155</v>
      </c>
      <c r="H225" s="15">
        <v>136</v>
      </c>
      <c r="I225" s="15">
        <v>130</v>
      </c>
      <c r="J225" s="15">
        <v>1290</v>
      </c>
      <c r="K225" s="15">
        <v>266</v>
      </c>
    </row>
    <row r="226" spans="1:11" ht="15">
      <c r="A226" s="13"/>
      <c r="B226" s="14">
        <v>20</v>
      </c>
      <c r="C226" s="15">
        <v>20</v>
      </c>
      <c r="D226" s="15">
        <v>21</v>
      </c>
      <c r="E226" s="15">
        <v>19</v>
      </c>
      <c r="F226" s="15">
        <v>21</v>
      </c>
      <c r="G226" s="15">
        <v>20</v>
      </c>
      <c r="H226" s="15">
        <v>16</v>
      </c>
      <c r="I226" s="15">
        <v>16</v>
      </c>
      <c r="J226" s="15">
        <v>153</v>
      </c>
      <c r="K226" s="15">
        <v>32</v>
      </c>
    </row>
    <row r="227" spans="1:11" ht="15">
      <c r="A227" s="16">
        <v>2019120055</v>
      </c>
      <c r="B227" s="17">
        <v>7.6</v>
      </c>
      <c r="C227" s="18">
        <v>8.35</v>
      </c>
      <c r="D227" s="18">
        <v>9.6199999999999992</v>
      </c>
      <c r="E227" s="18">
        <v>8.74</v>
      </c>
      <c r="F227" s="18">
        <v>8.67</v>
      </c>
      <c r="G227" s="18">
        <v>7.75</v>
      </c>
      <c r="H227" s="18">
        <v>8.5</v>
      </c>
      <c r="I227" s="18">
        <v>8.1300000000000008</v>
      </c>
      <c r="J227" s="19">
        <v>8.43</v>
      </c>
      <c r="K227" s="18">
        <v>8.31</v>
      </c>
    </row>
    <row r="228" spans="1:11" ht="15">
      <c r="A228" s="10"/>
      <c r="B228" s="20" t="s">
        <v>134</v>
      </c>
      <c r="C228" s="21" t="s">
        <v>135</v>
      </c>
      <c r="D228" s="21" t="s">
        <v>136</v>
      </c>
      <c r="E228" s="21" t="s">
        <v>137</v>
      </c>
      <c r="F228" s="21" t="s">
        <v>138</v>
      </c>
      <c r="G228" s="21" t="s">
        <v>139</v>
      </c>
      <c r="H228" s="21" t="s">
        <v>140</v>
      </c>
      <c r="I228" s="21" t="s">
        <v>141</v>
      </c>
      <c r="J228" s="21" t="s">
        <v>142</v>
      </c>
      <c r="K228" s="21" t="s">
        <v>33</v>
      </c>
    </row>
    <row r="229" spans="1:11" ht="15">
      <c r="A229" s="13"/>
      <c r="B229" s="14">
        <v>156</v>
      </c>
      <c r="C229" s="15">
        <v>167</v>
      </c>
      <c r="D229" s="15">
        <v>206</v>
      </c>
      <c r="E229" s="15">
        <v>176</v>
      </c>
      <c r="F229" s="15">
        <v>196</v>
      </c>
      <c r="G229" s="15">
        <v>204</v>
      </c>
      <c r="H229" s="15">
        <v>119</v>
      </c>
      <c r="I229" s="15">
        <v>153</v>
      </c>
      <c r="J229" s="15">
        <v>1377</v>
      </c>
      <c r="K229" s="15">
        <v>272</v>
      </c>
    </row>
    <row r="230" spans="1:11" ht="15">
      <c r="A230" s="13"/>
      <c r="B230" s="14">
        <v>20</v>
      </c>
      <c r="C230" s="15">
        <v>20</v>
      </c>
      <c r="D230" s="15">
        <v>21</v>
      </c>
      <c r="E230" s="15">
        <v>19</v>
      </c>
      <c r="F230" s="15">
        <v>21</v>
      </c>
      <c r="G230" s="15">
        <v>21</v>
      </c>
      <c r="H230" s="15">
        <v>16</v>
      </c>
      <c r="I230" s="15">
        <v>16</v>
      </c>
      <c r="J230" s="15">
        <v>154</v>
      </c>
      <c r="K230" s="15">
        <v>32</v>
      </c>
    </row>
    <row r="231" spans="1:11" ht="15">
      <c r="A231" s="16">
        <v>2019120056</v>
      </c>
      <c r="B231" s="17">
        <v>7.8</v>
      </c>
      <c r="C231" s="18">
        <v>8.35</v>
      </c>
      <c r="D231" s="18">
        <v>9.81</v>
      </c>
      <c r="E231" s="18">
        <v>9.26</v>
      </c>
      <c r="F231" s="18">
        <v>9.33</v>
      </c>
      <c r="G231" s="18">
        <v>9.7100000000000009</v>
      </c>
      <c r="H231" s="18">
        <v>7.44</v>
      </c>
      <c r="I231" s="18">
        <v>9.56</v>
      </c>
      <c r="J231" s="19">
        <v>8.94</v>
      </c>
      <c r="K231" s="18">
        <v>8.5</v>
      </c>
    </row>
    <row r="232" spans="1:11" ht="15">
      <c r="A232" s="10"/>
      <c r="B232" s="20" t="s">
        <v>134</v>
      </c>
      <c r="C232" s="21" t="s">
        <v>135</v>
      </c>
      <c r="D232" s="21" t="s">
        <v>136</v>
      </c>
      <c r="E232" s="21" t="s">
        <v>137</v>
      </c>
      <c r="F232" s="21" t="s">
        <v>138</v>
      </c>
      <c r="G232" s="21" t="s">
        <v>139</v>
      </c>
      <c r="H232" s="21" t="s">
        <v>140</v>
      </c>
      <c r="I232" s="21" t="s">
        <v>141</v>
      </c>
      <c r="J232" s="21" t="s">
        <v>142</v>
      </c>
      <c r="K232" s="21" t="s">
        <v>33</v>
      </c>
    </row>
    <row r="233" spans="1:11" ht="15">
      <c r="A233" s="13"/>
      <c r="B233" s="14">
        <v>160</v>
      </c>
      <c r="C233" s="15">
        <v>163</v>
      </c>
      <c r="D233" s="15">
        <v>203</v>
      </c>
      <c r="E233" s="15">
        <v>166</v>
      </c>
      <c r="F233" s="15">
        <v>188</v>
      </c>
      <c r="G233" s="15">
        <v>201</v>
      </c>
      <c r="H233" s="15">
        <v>142</v>
      </c>
      <c r="I233" s="15">
        <v>130</v>
      </c>
      <c r="J233" s="15">
        <v>1353</v>
      </c>
      <c r="K233" s="15">
        <v>272</v>
      </c>
    </row>
    <row r="234" spans="1:11" ht="15">
      <c r="A234" s="13"/>
      <c r="B234" s="14">
        <v>20</v>
      </c>
      <c r="C234" s="15">
        <v>20</v>
      </c>
      <c r="D234" s="15">
        <v>21</v>
      </c>
      <c r="E234" s="15">
        <v>19</v>
      </c>
      <c r="F234" s="15">
        <v>21</v>
      </c>
      <c r="G234" s="15">
        <v>21</v>
      </c>
      <c r="H234" s="15">
        <v>16</v>
      </c>
      <c r="I234" s="15">
        <v>16</v>
      </c>
      <c r="J234" s="15">
        <v>154</v>
      </c>
      <c r="K234" s="15">
        <v>32</v>
      </c>
    </row>
    <row r="235" spans="1:11" ht="15">
      <c r="A235" s="16">
        <v>2019120057</v>
      </c>
      <c r="B235" s="17">
        <v>8</v>
      </c>
      <c r="C235" s="18">
        <v>8.15</v>
      </c>
      <c r="D235" s="18">
        <v>9.67</v>
      </c>
      <c r="E235" s="18">
        <v>8.74</v>
      </c>
      <c r="F235" s="18">
        <v>8.9499999999999993</v>
      </c>
      <c r="G235" s="18">
        <v>9.57</v>
      </c>
      <c r="H235" s="18">
        <v>8.8800000000000008</v>
      </c>
      <c r="I235" s="18">
        <v>8.1300000000000008</v>
      </c>
      <c r="J235" s="19">
        <v>8.7899999999999991</v>
      </c>
      <c r="K235" s="18">
        <v>8.5</v>
      </c>
    </row>
    <row r="236" spans="1:11" ht="15">
      <c r="A236" s="10"/>
      <c r="B236" s="20" t="s">
        <v>134</v>
      </c>
      <c r="C236" s="21" t="s">
        <v>135</v>
      </c>
      <c r="D236" s="21" t="s">
        <v>136</v>
      </c>
      <c r="E236" s="21" t="s">
        <v>137</v>
      </c>
      <c r="F236" s="21" t="s">
        <v>138</v>
      </c>
      <c r="G236" s="21" t="s">
        <v>139</v>
      </c>
      <c r="H236" s="21" t="s">
        <v>140</v>
      </c>
      <c r="I236" s="22" t="s">
        <v>141</v>
      </c>
      <c r="J236" s="21" t="s">
        <v>142</v>
      </c>
      <c r="K236" s="21" t="s">
        <v>33</v>
      </c>
    </row>
    <row r="237" spans="1:11" ht="15">
      <c r="A237" s="23"/>
      <c r="B237" s="14">
        <v>147</v>
      </c>
      <c r="C237" s="15">
        <v>155</v>
      </c>
      <c r="D237" s="15">
        <v>206</v>
      </c>
      <c r="E237" s="15">
        <v>183</v>
      </c>
      <c r="F237" s="15">
        <v>192</v>
      </c>
      <c r="G237" s="15">
        <v>195</v>
      </c>
      <c r="H237" s="15">
        <v>124</v>
      </c>
      <c r="I237" s="15">
        <v>127</v>
      </c>
      <c r="J237" s="15">
        <v>1329</v>
      </c>
      <c r="K237" s="15">
        <v>251</v>
      </c>
    </row>
    <row r="238" spans="1:11" ht="15">
      <c r="A238" s="23"/>
      <c r="B238" s="14">
        <v>20</v>
      </c>
      <c r="C238" s="15">
        <v>20</v>
      </c>
      <c r="D238" s="15">
        <v>21</v>
      </c>
      <c r="E238" s="15">
        <v>19</v>
      </c>
      <c r="F238" s="15">
        <v>21</v>
      </c>
      <c r="G238" s="15">
        <v>21</v>
      </c>
      <c r="H238" s="15">
        <v>16</v>
      </c>
      <c r="I238" s="15">
        <v>16</v>
      </c>
      <c r="J238" s="15">
        <v>154</v>
      </c>
      <c r="K238" s="15">
        <v>32</v>
      </c>
    </row>
    <row r="239" spans="1:11" ht="15">
      <c r="A239" s="16">
        <v>2019120058</v>
      </c>
      <c r="B239" s="17">
        <v>7.35</v>
      </c>
      <c r="C239" s="18">
        <v>7.75</v>
      </c>
      <c r="D239" s="18">
        <v>9.81</v>
      </c>
      <c r="E239" s="18">
        <v>9.6300000000000008</v>
      </c>
      <c r="F239" s="18">
        <v>9.14</v>
      </c>
      <c r="G239" s="18">
        <v>9.2899999999999991</v>
      </c>
      <c r="H239" s="18">
        <v>7.75</v>
      </c>
      <c r="I239" s="18">
        <v>7.94</v>
      </c>
      <c r="J239" s="19">
        <v>8.6300000000000008</v>
      </c>
      <c r="K239" s="18">
        <v>7.84</v>
      </c>
    </row>
    <row r="240" spans="1:11" ht="15">
      <c r="A240" s="10"/>
      <c r="B240" s="20" t="s">
        <v>134</v>
      </c>
      <c r="C240" s="21" t="s">
        <v>135</v>
      </c>
      <c r="D240" s="21" t="s">
        <v>136</v>
      </c>
      <c r="E240" s="21" t="s">
        <v>137</v>
      </c>
      <c r="F240" s="21" t="s">
        <v>138</v>
      </c>
      <c r="G240" s="21" t="s">
        <v>139</v>
      </c>
      <c r="H240" s="21" t="s">
        <v>140</v>
      </c>
      <c r="I240" s="21" t="s">
        <v>141</v>
      </c>
      <c r="J240" s="21" t="s">
        <v>142</v>
      </c>
      <c r="K240" s="21" t="s">
        <v>33</v>
      </c>
    </row>
    <row r="241" spans="1:11" ht="15">
      <c r="A241" s="13"/>
      <c r="B241" s="14">
        <v>183</v>
      </c>
      <c r="C241" s="15">
        <v>186</v>
      </c>
      <c r="D241" s="15">
        <v>202</v>
      </c>
      <c r="E241" s="15">
        <v>179</v>
      </c>
      <c r="F241" s="15">
        <v>198</v>
      </c>
      <c r="G241" s="15">
        <v>185</v>
      </c>
      <c r="H241" s="15">
        <v>157</v>
      </c>
      <c r="I241" s="15">
        <v>160</v>
      </c>
      <c r="J241" s="15">
        <v>1450</v>
      </c>
      <c r="K241" s="15">
        <v>317</v>
      </c>
    </row>
    <row r="242" spans="1:11" ht="15">
      <c r="A242" s="13"/>
      <c r="B242" s="14">
        <v>20</v>
      </c>
      <c r="C242" s="15">
        <v>20</v>
      </c>
      <c r="D242" s="15">
        <v>21</v>
      </c>
      <c r="E242" s="15">
        <v>19</v>
      </c>
      <c r="F242" s="15">
        <v>21</v>
      </c>
      <c r="G242" s="15">
        <v>20</v>
      </c>
      <c r="H242" s="15">
        <v>16</v>
      </c>
      <c r="I242" s="15">
        <v>16</v>
      </c>
      <c r="J242" s="15">
        <v>153</v>
      </c>
      <c r="K242" s="15">
        <v>32</v>
      </c>
    </row>
    <row r="243" spans="1:11" ht="15">
      <c r="A243" s="16">
        <v>2019120059</v>
      </c>
      <c r="B243" s="17">
        <v>9.15</v>
      </c>
      <c r="C243" s="18">
        <v>9.3000000000000007</v>
      </c>
      <c r="D243" s="18">
        <v>9.6199999999999992</v>
      </c>
      <c r="E243" s="18">
        <v>9.42</v>
      </c>
      <c r="F243" s="18">
        <v>9.43</v>
      </c>
      <c r="G243" s="18">
        <v>9.25</v>
      </c>
      <c r="H243" s="18">
        <v>9.81</v>
      </c>
      <c r="I243" s="18">
        <v>10</v>
      </c>
      <c r="J243" s="19">
        <v>9.48</v>
      </c>
      <c r="K243" s="18">
        <v>9.91</v>
      </c>
    </row>
    <row r="244" spans="1:11" ht="15">
      <c r="A244" s="10"/>
      <c r="B244" s="20" t="s">
        <v>134</v>
      </c>
      <c r="C244" s="21" t="s">
        <v>135</v>
      </c>
      <c r="D244" s="21" t="s">
        <v>136</v>
      </c>
      <c r="E244" s="21" t="s">
        <v>137</v>
      </c>
      <c r="F244" s="21" t="s">
        <v>138</v>
      </c>
      <c r="G244" s="21" t="s">
        <v>139</v>
      </c>
      <c r="H244" s="21" t="s">
        <v>140</v>
      </c>
      <c r="I244" s="21" t="s">
        <v>141</v>
      </c>
      <c r="J244" s="21" t="s">
        <v>142</v>
      </c>
      <c r="K244" s="21" t="s">
        <v>33</v>
      </c>
    </row>
    <row r="245" spans="1:11" ht="15">
      <c r="A245" s="13"/>
      <c r="B245" s="14">
        <v>148</v>
      </c>
      <c r="C245" s="15">
        <v>166</v>
      </c>
      <c r="D245" s="15">
        <v>206</v>
      </c>
      <c r="E245" s="15">
        <v>173</v>
      </c>
      <c r="F245" s="15">
        <v>202</v>
      </c>
      <c r="G245" s="15">
        <v>207</v>
      </c>
      <c r="H245" s="15">
        <v>127</v>
      </c>
      <c r="I245" s="15">
        <v>145</v>
      </c>
      <c r="J245" s="15">
        <v>1374</v>
      </c>
      <c r="K245" s="15">
        <v>272</v>
      </c>
    </row>
    <row r="246" spans="1:11" ht="15">
      <c r="A246" s="13"/>
      <c r="B246" s="14">
        <v>20</v>
      </c>
      <c r="C246" s="15">
        <v>20</v>
      </c>
      <c r="D246" s="15">
        <v>21</v>
      </c>
      <c r="E246" s="15">
        <v>19</v>
      </c>
      <c r="F246" s="15">
        <v>21</v>
      </c>
      <c r="G246" s="15">
        <v>21</v>
      </c>
      <c r="H246" s="15">
        <v>16</v>
      </c>
      <c r="I246" s="15">
        <v>16</v>
      </c>
      <c r="J246" s="15">
        <v>154</v>
      </c>
      <c r="K246" s="15">
        <v>32</v>
      </c>
    </row>
    <row r="247" spans="1:11" ht="15">
      <c r="A247" s="16">
        <v>2019120060</v>
      </c>
      <c r="B247" s="17">
        <v>7.4</v>
      </c>
      <c r="C247" s="18">
        <v>8.3000000000000007</v>
      </c>
      <c r="D247" s="18">
        <v>9.81</v>
      </c>
      <c r="E247" s="18">
        <v>9.11</v>
      </c>
      <c r="F247" s="18">
        <v>9.6199999999999992</v>
      </c>
      <c r="G247" s="18">
        <v>9.86</v>
      </c>
      <c r="H247" s="18">
        <v>7.94</v>
      </c>
      <c r="I247" s="18">
        <v>9.06</v>
      </c>
      <c r="J247" s="19">
        <v>8.92</v>
      </c>
      <c r="K247" s="18">
        <v>8.5</v>
      </c>
    </row>
    <row r="248" spans="1:11" ht="15">
      <c r="A248" s="10"/>
      <c r="B248" s="20" t="s">
        <v>134</v>
      </c>
      <c r="C248" s="21" t="s">
        <v>135</v>
      </c>
      <c r="D248" s="21" t="s">
        <v>136</v>
      </c>
      <c r="E248" s="21" t="s">
        <v>137</v>
      </c>
      <c r="F248" s="21" t="s">
        <v>138</v>
      </c>
      <c r="G248" s="21" t="s">
        <v>139</v>
      </c>
      <c r="H248" s="21" t="s">
        <v>140</v>
      </c>
      <c r="I248" s="21" t="s">
        <v>141</v>
      </c>
      <c r="J248" s="21" t="s">
        <v>142</v>
      </c>
      <c r="K248" s="21" t="s">
        <v>33</v>
      </c>
    </row>
    <row r="249" spans="1:11" ht="15">
      <c r="A249" s="13"/>
      <c r="B249" s="14">
        <v>142</v>
      </c>
      <c r="C249" s="15">
        <v>155</v>
      </c>
      <c r="D249" s="15">
        <v>178</v>
      </c>
      <c r="E249" s="15">
        <v>132</v>
      </c>
      <c r="F249" s="15">
        <v>130</v>
      </c>
      <c r="G249" s="15">
        <v>130</v>
      </c>
      <c r="H249" s="15">
        <v>124</v>
      </c>
      <c r="I249" s="15">
        <v>142</v>
      </c>
      <c r="J249" s="15">
        <v>1133</v>
      </c>
      <c r="K249" s="15">
        <v>266</v>
      </c>
    </row>
    <row r="250" spans="1:11" ht="15">
      <c r="A250" s="13"/>
      <c r="B250" s="14">
        <v>20</v>
      </c>
      <c r="C250" s="15">
        <v>20</v>
      </c>
      <c r="D250" s="15">
        <v>21</v>
      </c>
      <c r="E250" s="15">
        <v>19</v>
      </c>
      <c r="F250" s="15">
        <v>21</v>
      </c>
      <c r="G250" s="15">
        <v>20</v>
      </c>
      <c r="H250" s="15">
        <v>16</v>
      </c>
      <c r="I250" s="15">
        <v>16</v>
      </c>
      <c r="J250" s="15">
        <v>153</v>
      </c>
      <c r="K250" s="15">
        <v>32</v>
      </c>
    </row>
    <row r="251" spans="1:11" ht="15">
      <c r="A251" s="16">
        <v>2019120061</v>
      </c>
      <c r="B251" s="17">
        <v>7.1</v>
      </c>
      <c r="C251" s="18">
        <v>7.75</v>
      </c>
      <c r="D251" s="18">
        <v>8.48</v>
      </c>
      <c r="E251" s="18">
        <v>6.95</v>
      </c>
      <c r="F251" s="18">
        <v>6.19</v>
      </c>
      <c r="G251" s="18">
        <v>6.5</v>
      </c>
      <c r="H251" s="18">
        <v>7.75</v>
      </c>
      <c r="I251" s="18">
        <v>8.8800000000000008</v>
      </c>
      <c r="J251" s="19">
        <v>7.41</v>
      </c>
      <c r="K251" s="18">
        <v>8.31</v>
      </c>
    </row>
    <row r="252" spans="1:11" ht="15">
      <c r="A252" s="10"/>
      <c r="B252" s="20" t="s">
        <v>134</v>
      </c>
      <c r="C252" s="21" t="s">
        <v>135</v>
      </c>
      <c r="D252" s="21" t="s">
        <v>136</v>
      </c>
      <c r="E252" s="21" t="s">
        <v>137</v>
      </c>
      <c r="F252" s="21" t="s">
        <v>138</v>
      </c>
      <c r="G252" s="21" t="s">
        <v>139</v>
      </c>
      <c r="H252" s="21" t="s">
        <v>140</v>
      </c>
      <c r="I252" s="21" t="s">
        <v>141</v>
      </c>
      <c r="J252" s="21" t="s">
        <v>142</v>
      </c>
      <c r="K252" s="21" t="s">
        <v>33</v>
      </c>
    </row>
    <row r="253" spans="1:11" ht="15">
      <c r="A253" s="13"/>
      <c r="B253" s="14">
        <v>153</v>
      </c>
      <c r="C253" s="15">
        <v>166</v>
      </c>
      <c r="D253" s="15">
        <v>200</v>
      </c>
      <c r="E253" s="15">
        <v>171</v>
      </c>
      <c r="F253" s="15">
        <v>198</v>
      </c>
      <c r="G253" s="15">
        <v>195</v>
      </c>
      <c r="H253" s="15">
        <v>131</v>
      </c>
      <c r="I253" s="15">
        <v>145</v>
      </c>
      <c r="J253" s="15">
        <v>1359</v>
      </c>
      <c r="K253" s="15">
        <v>276</v>
      </c>
    </row>
    <row r="254" spans="1:11" ht="15">
      <c r="A254" s="13"/>
      <c r="B254" s="14">
        <v>20</v>
      </c>
      <c r="C254" s="15">
        <v>20</v>
      </c>
      <c r="D254" s="15">
        <v>21</v>
      </c>
      <c r="E254" s="15">
        <v>19</v>
      </c>
      <c r="F254" s="15">
        <v>21</v>
      </c>
      <c r="G254" s="15">
        <v>21</v>
      </c>
      <c r="H254" s="15">
        <v>16</v>
      </c>
      <c r="I254" s="15">
        <v>16</v>
      </c>
      <c r="J254" s="15">
        <v>154</v>
      </c>
      <c r="K254" s="15">
        <v>32</v>
      </c>
    </row>
    <row r="255" spans="1:11" ht="15">
      <c r="A255" s="16">
        <v>2019120062</v>
      </c>
      <c r="B255" s="17">
        <v>7.65</v>
      </c>
      <c r="C255" s="18">
        <v>8.3000000000000007</v>
      </c>
      <c r="D255" s="18">
        <v>9.52</v>
      </c>
      <c r="E255" s="18">
        <v>9</v>
      </c>
      <c r="F255" s="18">
        <v>9.43</v>
      </c>
      <c r="G255" s="18">
        <v>9.2899999999999991</v>
      </c>
      <c r="H255" s="18">
        <v>8.19</v>
      </c>
      <c r="I255" s="18">
        <v>9.06</v>
      </c>
      <c r="J255" s="19">
        <v>8.82</v>
      </c>
      <c r="K255" s="18">
        <v>8.6300000000000008</v>
      </c>
    </row>
    <row r="256" spans="1:11" ht="15">
      <c r="A256" s="10"/>
      <c r="B256" s="20" t="s">
        <v>134</v>
      </c>
      <c r="C256" s="21" t="s">
        <v>135</v>
      </c>
      <c r="D256" s="21" t="s">
        <v>136</v>
      </c>
      <c r="E256" s="21" t="s">
        <v>137</v>
      </c>
      <c r="F256" s="21" t="s">
        <v>138</v>
      </c>
      <c r="G256" s="21" t="s">
        <v>139</v>
      </c>
      <c r="H256" s="21" t="s">
        <v>140</v>
      </c>
      <c r="I256" s="21" t="s">
        <v>141</v>
      </c>
      <c r="J256" s="21" t="s">
        <v>142</v>
      </c>
      <c r="K256" s="21" t="s">
        <v>33</v>
      </c>
    </row>
    <row r="257" spans="1:11" ht="15">
      <c r="A257" s="13"/>
      <c r="B257" s="14">
        <v>146</v>
      </c>
      <c r="C257" s="15">
        <v>160</v>
      </c>
      <c r="D257" s="15">
        <v>210</v>
      </c>
      <c r="E257" s="15">
        <v>183</v>
      </c>
      <c r="F257" s="15">
        <v>192</v>
      </c>
      <c r="G257" s="15">
        <v>201</v>
      </c>
      <c r="H257" s="15">
        <v>127</v>
      </c>
      <c r="I257" s="15">
        <v>139</v>
      </c>
      <c r="J257" s="15">
        <v>1358</v>
      </c>
      <c r="K257" s="15">
        <v>266</v>
      </c>
    </row>
    <row r="258" spans="1:11" ht="15">
      <c r="A258" s="13"/>
      <c r="B258" s="14">
        <v>20</v>
      </c>
      <c r="C258" s="15">
        <v>20</v>
      </c>
      <c r="D258" s="15">
        <v>21</v>
      </c>
      <c r="E258" s="15">
        <v>19</v>
      </c>
      <c r="F258" s="15">
        <v>21</v>
      </c>
      <c r="G258" s="15">
        <v>21</v>
      </c>
      <c r="H258" s="15">
        <v>16</v>
      </c>
      <c r="I258" s="15">
        <v>16</v>
      </c>
      <c r="J258" s="15">
        <v>154</v>
      </c>
      <c r="K258" s="15">
        <v>32</v>
      </c>
    </row>
    <row r="259" spans="1:11" ht="15">
      <c r="A259" s="16">
        <v>2019120063</v>
      </c>
      <c r="B259" s="17">
        <v>7.3</v>
      </c>
      <c r="C259" s="18">
        <v>8</v>
      </c>
      <c r="D259" s="18">
        <v>10</v>
      </c>
      <c r="E259" s="18">
        <v>9.6300000000000008</v>
      </c>
      <c r="F259" s="18">
        <v>9.14</v>
      </c>
      <c r="G259" s="18">
        <v>9.57</v>
      </c>
      <c r="H259" s="18">
        <v>7.94</v>
      </c>
      <c r="I259" s="18">
        <v>8.69</v>
      </c>
      <c r="J259" s="19">
        <v>8.82</v>
      </c>
      <c r="K259" s="18">
        <v>8.31</v>
      </c>
    </row>
    <row r="260" spans="1:11" ht="15">
      <c r="A260" s="10"/>
      <c r="B260" s="20" t="s">
        <v>134</v>
      </c>
      <c r="C260" s="21" t="s">
        <v>135</v>
      </c>
      <c r="D260" s="21" t="s">
        <v>136</v>
      </c>
      <c r="E260" s="21" t="s">
        <v>137</v>
      </c>
      <c r="F260" s="21" t="s">
        <v>138</v>
      </c>
      <c r="G260" s="21" t="s">
        <v>139</v>
      </c>
      <c r="H260" s="21" t="s">
        <v>140</v>
      </c>
      <c r="I260" s="21" t="s">
        <v>141</v>
      </c>
      <c r="J260" s="21" t="s">
        <v>142</v>
      </c>
      <c r="K260" s="21" t="s">
        <v>33</v>
      </c>
    </row>
    <row r="261" spans="1:11" ht="15">
      <c r="A261" s="13"/>
      <c r="B261" s="14">
        <v>158</v>
      </c>
      <c r="C261" s="15">
        <v>166</v>
      </c>
      <c r="D261" s="15">
        <v>204</v>
      </c>
      <c r="E261" s="15">
        <v>160</v>
      </c>
      <c r="F261" s="15">
        <v>190</v>
      </c>
      <c r="G261" s="15">
        <v>204</v>
      </c>
      <c r="H261" s="15">
        <v>139</v>
      </c>
      <c r="I261" s="15">
        <v>148</v>
      </c>
      <c r="J261" s="15">
        <v>1369</v>
      </c>
      <c r="K261" s="15">
        <v>287</v>
      </c>
    </row>
    <row r="262" spans="1:11" ht="15">
      <c r="A262" s="13"/>
      <c r="B262" s="14">
        <v>20</v>
      </c>
      <c r="C262" s="15">
        <v>20</v>
      </c>
      <c r="D262" s="15">
        <v>21</v>
      </c>
      <c r="E262" s="15">
        <v>19</v>
      </c>
      <c r="F262" s="15">
        <v>21</v>
      </c>
      <c r="G262" s="15">
        <v>21</v>
      </c>
      <c r="H262" s="15">
        <v>16</v>
      </c>
      <c r="I262" s="15">
        <v>16</v>
      </c>
      <c r="J262" s="15">
        <v>154</v>
      </c>
      <c r="K262" s="15">
        <v>32</v>
      </c>
    </row>
    <row r="263" spans="1:11" ht="15">
      <c r="A263" s="16">
        <v>2019120064</v>
      </c>
      <c r="B263" s="17">
        <v>7.9</v>
      </c>
      <c r="C263" s="18">
        <v>8.3000000000000007</v>
      </c>
      <c r="D263" s="18">
        <v>9.7100000000000009</v>
      </c>
      <c r="E263" s="18">
        <v>8.42</v>
      </c>
      <c r="F263" s="18">
        <v>9.0500000000000007</v>
      </c>
      <c r="G263" s="18">
        <v>9.7100000000000009</v>
      </c>
      <c r="H263" s="18">
        <v>8.69</v>
      </c>
      <c r="I263" s="18">
        <v>9.25</v>
      </c>
      <c r="J263" s="19">
        <v>8.89</v>
      </c>
      <c r="K263" s="18">
        <v>8.9700000000000006</v>
      </c>
    </row>
    <row r="264" spans="1:11" ht="15">
      <c r="A264" s="10"/>
      <c r="B264" s="20" t="s">
        <v>134</v>
      </c>
      <c r="C264" s="21" t="s">
        <v>135</v>
      </c>
      <c r="D264" s="21" t="s">
        <v>136</v>
      </c>
      <c r="E264" s="21" t="s">
        <v>137</v>
      </c>
      <c r="F264" s="21" t="s">
        <v>138</v>
      </c>
      <c r="G264" s="21" t="s">
        <v>139</v>
      </c>
      <c r="H264" s="21" t="s">
        <v>140</v>
      </c>
      <c r="I264" s="21" t="s">
        <v>141</v>
      </c>
      <c r="J264" s="21" t="s">
        <v>142</v>
      </c>
      <c r="K264" s="21" t="s">
        <v>33</v>
      </c>
    </row>
    <row r="265" spans="1:11" ht="15">
      <c r="A265" s="13"/>
      <c r="B265" s="14">
        <v>177</v>
      </c>
      <c r="C265" s="15">
        <v>189</v>
      </c>
      <c r="D265" s="15">
        <v>198</v>
      </c>
      <c r="E265" s="15">
        <v>175</v>
      </c>
      <c r="F265" s="15">
        <v>162</v>
      </c>
      <c r="G265" s="15">
        <v>166</v>
      </c>
      <c r="H265" s="15">
        <v>151</v>
      </c>
      <c r="I265" s="15">
        <v>160</v>
      </c>
      <c r="J265" s="15">
        <v>1378</v>
      </c>
      <c r="K265" s="15">
        <v>311</v>
      </c>
    </row>
    <row r="266" spans="1:11" ht="15">
      <c r="A266" s="13"/>
      <c r="B266" s="14">
        <v>20</v>
      </c>
      <c r="C266" s="15">
        <v>20</v>
      </c>
      <c r="D266" s="15">
        <v>21</v>
      </c>
      <c r="E266" s="15">
        <v>19</v>
      </c>
      <c r="F266" s="15">
        <v>21</v>
      </c>
      <c r="G266" s="15">
        <v>20</v>
      </c>
      <c r="H266" s="15">
        <v>16</v>
      </c>
      <c r="I266" s="15">
        <v>16</v>
      </c>
      <c r="J266" s="15">
        <v>153</v>
      </c>
      <c r="K266" s="15">
        <v>32</v>
      </c>
    </row>
    <row r="267" spans="1:11" ht="15">
      <c r="A267" s="16">
        <v>2019120065</v>
      </c>
      <c r="B267" s="17">
        <v>8.85</v>
      </c>
      <c r="C267" s="18">
        <v>9.4499999999999993</v>
      </c>
      <c r="D267" s="18">
        <v>9.43</v>
      </c>
      <c r="E267" s="18">
        <v>9.2100000000000009</v>
      </c>
      <c r="F267" s="18">
        <v>7.71</v>
      </c>
      <c r="G267" s="18">
        <v>8.3000000000000007</v>
      </c>
      <c r="H267" s="18">
        <v>9.44</v>
      </c>
      <c r="I267" s="18">
        <v>10</v>
      </c>
      <c r="J267" s="19">
        <v>9.01</v>
      </c>
      <c r="K267" s="18">
        <v>9.7200000000000006</v>
      </c>
    </row>
    <row r="268" spans="1:11" ht="15">
      <c r="A268" s="10"/>
      <c r="B268" s="20" t="s">
        <v>134</v>
      </c>
      <c r="C268" s="21" t="s">
        <v>135</v>
      </c>
      <c r="D268" s="21" t="s">
        <v>136</v>
      </c>
      <c r="E268" s="21" t="s">
        <v>137</v>
      </c>
      <c r="F268" s="21" t="s">
        <v>138</v>
      </c>
      <c r="G268" s="21" t="s">
        <v>139</v>
      </c>
      <c r="H268" s="21" t="s">
        <v>140</v>
      </c>
      <c r="I268" s="21" t="s">
        <v>141</v>
      </c>
      <c r="J268" s="21" t="s">
        <v>142</v>
      </c>
      <c r="K268" s="21" t="s">
        <v>33</v>
      </c>
    </row>
    <row r="269" spans="1:11" ht="15">
      <c r="A269" s="13"/>
      <c r="B269" s="14">
        <v>123</v>
      </c>
      <c r="C269" s="15">
        <v>152</v>
      </c>
      <c r="D269" s="15">
        <v>192</v>
      </c>
      <c r="E269" s="15">
        <v>150</v>
      </c>
      <c r="F269" s="15">
        <v>164</v>
      </c>
      <c r="G269" s="15">
        <v>127</v>
      </c>
      <c r="H269" s="28">
        <v>103</v>
      </c>
      <c r="I269" s="15">
        <v>160</v>
      </c>
      <c r="J269" s="15">
        <v>1171</v>
      </c>
      <c r="K269" s="15">
        <v>263</v>
      </c>
    </row>
    <row r="270" spans="1:11" ht="15">
      <c r="A270" s="13"/>
      <c r="B270" s="14">
        <v>20</v>
      </c>
      <c r="C270" s="15">
        <v>20</v>
      </c>
      <c r="D270" s="15">
        <v>21</v>
      </c>
      <c r="E270" s="15">
        <v>19</v>
      </c>
      <c r="F270" s="15">
        <v>21</v>
      </c>
      <c r="G270" s="15">
        <v>20</v>
      </c>
      <c r="H270" s="28">
        <v>16</v>
      </c>
      <c r="I270" s="15">
        <v>16</v>
      </c>
      <c r="J270" s="15">
        <v>153</v>
      </c>
      <c r="K270" s="15">
        <v>32</v>
      </c>
    </row>
    <row r="271" spans="1:11" ht="15">
      <c r="A271" s="16">
        <v>2019120066</v>
      </c>
      <c r="B271" s="17">
        <v>6.15</v>
      </c>
      <c r="C271" s="18">
        <v>7.6</v>
      </c>
      <c r="D271" s="18">
        <v>9.14</v>
      </c>
      <c r="E271" s="18">
        <v>7.89</v>
      </c>
      <c r="F271" s="18">
        <v>7.81</v>
      </c>
      <c r="G271" s="18">
        <v>6.35</v>
      </c>
      <c r="H271" s="18">
        <v>6.44</v>
      </c>
      <c r="I271" s="18">
        <v>10</v>
      </c>
      <c r="J271" s="19">
        <v>7.65</v>
      </c>
      <c r="K271" s="18">
        <v>8.2200000000000006</v>
      </c>
    </row>
    <row r="272" spans="1:11" ht="15">
      <c r="A272" s="10"/>
      <c r="B272" s="20" t="s">
        <v>134</v>
      </c>
      <c r="C272" s="21" t="s">
        <v>135</v>
      </c>
      <c r="D272" s="21" t="s">
        <v>136</v>
      </c>
      <c r="E272" s="21" t="s">
        <v>137</v>
      </c>
      <c r="F272" s="21" t="s">
        <v>138</v>
      </c>
      <c r="G272" s="21" t="s">
        <v>139</v>
      </c>
      <c r="H272" s="21" t="s">
        <v>140</v>
      </c>
      <c r="I272" s="21" t="s">
        <v>141</v>
      </c>
      <c r="J272" s="21" t="s">
        <v>142</v>
      </c>
      <c r="K272" s="21" t="s">
        <v>33</v>
      </c>
    </row>
    <row r="273" spans="1:11" ht="15">
      <c r="A273" s="13"/>
      <c r="B273" s="27"/>
      <c r="C273" s="28"/>
      <c r="D273" s="28"/>
      <c r="E273" s="28"/>
      <c r="F273" s="28"/>
      <c r="G273" s="28"/>
      <c r="H273" s="28"/>
      <c r="I273" s="28"/>
      <c r="J273" s="15">
        <v>0</v>
      </c>
      <c r="K273" s="15">
        <v>0</v>
      </c>
    </row>
    <row r="274" spans="1:11" ht="15">
      <c r="A274" s="13"/>
      <c r="B274" s="27"/>
      <c r="C274" s="28"/>
      <c r="D274" s="28"/>
      <c r="E274" s="28"/>
      <c r="F274" s="28"/>
      <c r="G274" s="28"/>
      <c r="H274" s="28"/>
      <c r="I274" s="28"/>
      <c r="J274" s="15">
        <v>0</v>
      </c>
      <c r="K274" s="15">
        <v>0</v>
      </c>
    </row>
    <row r="275" spans="1:11" ht="15">
      <c r="A275" s="16">
        <v>2019120067</v>
      </c>
      <c r="B275" s="17" t="e">
        <v>#DIV/0!</v>
      </c>
      <c r="C275" s="18" t="e">
        <v>#DIV/0!</v>
      </c>
      <c r="D275" s="18" t="e">
        <v>#DIV/0!</v>
      </c>
      <c r="E275" s="18" t="e">
        <v>#DIV/0!</v>
      </c>
      <c r="F275" s="18" t="e">
        <v>#DIV/0!</v>
      </c>
      <c r="G275" s="18" t="e">
        <v>#DIV/0!</v>
      </c>
      <c r="H275" s="18" t="e">
        <v>#DIV/0!</v>
      </c>
      <c r="I275" s="18" t="e">
        <v>#DIV/0!</v>
      </c>
      <c r="J275" s="19" t="e">
        <v>#DIV/0!</v>
      </c>
      <c r="K275" s="18" t="e">
        <v>#DIV/0!</v>
      </c>
    </row>
    <row r="276" spans="1:11" ht="15">
      <c r="A276" s="10"/>
      <c r="B276" s="20" t="s">
        <v>134</v>
      </c>
      <c r="C276" s="21" t="s">
        <v>135</v>
      </c>
      <c r="D276" s="21" t="s">
        <v>136</v>
      </c>
      <c r="E276" s="21" t="s">
        <v>137</v>
      </c>
      <c r="F276" s="21" t="s">
        <v>138</v>
      </c>
      <c r="G276" s="21" t="s">
        <v>139</v>
      </c>
      <c r="H276" s="21" t="s">
        <v>140</v>
      </c>
      <c r="I276" s="21" t="s">
        <v>141</v>
      </c>
      <c r="J276" s="21" t="s">
        <v>142</v>
      </c>
      <c r="K276" s="21" t="s">
        <v>33</v>
      </c>
    </row>
    <row r="277" spans="1:11" ht="15">
      <c r="A277" s="13"/>
      <c r="B277" s="14">
        <v>173</v>
      </c>
      <c r="C277" s="15">
        <v>189</v>
      </c>
      <c r="D277" s="15">
        <v>204</v>
      </c>
      <c r="E277" s="15">
        <v>164</v>
      </c>
      <c r="F277" s="15">
        <v>198</v>
      </c>
      <c r="G277" s="15">
        <v>207</v>
      </c>
      <c r="H277" s="15">
        <v>142</v>
      </c>
      <c r="I277" s="15">
        <v>148</v>
      </c>
      <c r="J277" s="15">
        <v>1425</v>
      </c>
      <c r="K277" s="15">
        <v>290</v>
      </c>
    </row>
    <row r="278" spans="1:11" ht="15">
      <c r="A278" s="13"/>
      <c r="B278" s="14">
        <v>20</v>
      </c>
      <c r="C278" s="15">
        <v>20</v>
      </c>
      <c r="D278" s="15">
        <v>21</v>
      </c>
      <c r="E278" s="15">
        <v>19</v>
      </c>
      <c r="F278" s="15">
        <v>21</v>
      </c>
      <c r="G278" s="15">
        <v>21</v>
      </c>
      <c r="H278" s="15">
        <v>16</v>
      </c>
      <c r="I278" s="15">
        <v>16</v>
      </c>
      <c r="J278" s="15">
        <v>154</v>
      </c>
      <c r="K278" s="15">
        <v>32</v>
      </c>
    </row>
    <row r="279" spans="1:11" ht="15">
      <c r="A279" s="16">
        <v>2019120068</v>
      </c>
      <c r="B279" s="17">
        <v>8.65</v>
      </c>
      <c r="C279" s="18">
        <v>9.4499999999999993</v>
      </c>
      <c r="D279" s="18">
        <v>9.7100000000000009</v>
      </c>
      <c r="E279" s="18">
        <v>8.6300000000000008</v>
      </c>
      <c r="F279" s="18">
        <v>9.43</v>
      </c>
      <c r="G279" s="18">
        <v>9.86</v>
      </c>
      <c r="H279" s="18">
        <v>8.8800000000000008</v>
      </c>
      <c r="I279" s="18">
        <v>9.25</v>
      </c>
      <c r="J279" s="19">
        <v>9.25</v>
      </c>
      <c r="K279" s="18">
        <v>9.06</v>
      </c>
    </row>
    <row r="280" spans="1:11" ht="15">
      <c r="A280" s="10"/>
      <c r="B280" s="20" t="s">
        <v>134</v>
      </c>
      <c r="C280" s="21" t="s">
        <v>135</v>
      </c>
      <c r="D280" s="21" t="s">
        <v>136</v>
      </c>
      <c r="E280" s="21" t="s">
        <v>137</v>
      </c>
      <c r="F280" s="21" t="s">
        <v>138</v>
      </c>
      <c r="G280" s="21" t="s">
        <v>139</v>
      </c>
      <c r="H280" s="21" t="s">
        <v>140</v>
      </c>
      <c r="I280" s="21" t="s">
        <v>141</v>
      </c>
      <c r="J280" s="21" t="s">
        <v>142</v>
      </c>
      <c r="K280" s="21" t="s">
        <v>33</v>
      </c>
    </row>
    <row r="281" spans="1:11" ht="15">
      <c r="A281" s="13"/>
      <c r="B281" s="14">
        <v>123</v>
      </c>
      <c r="C281" s="15">
        <v>117</v>
      </c>
      <c r="D281" s="15">
        <v>186</v>
      </c>
      <c r="E281" s="15">
        <v>125</v>
      </c>
      <c r="F281" s="15">
        <v>136</v>
      </c>
      <c r="G281" s="15">
        <v>109</v>
      </c>
      <c r="H281" s="28">
        <v>100</v>
      </c>
      <c r="I281" s="15">
        <v>160</v>
      </c>
      <c r="J281" s="15">
        <v>1056</v>
      </c>
      <c r="K281" s="15">
        <v>260</v>
      </c>
    </row>
    <row r="282" spans="1:11" ht="15">
      <c r="A282" s="13"/>
      <c r="B282" s="14">
        <v>23</v>
      </c>
      <c r="C282" s="15">
        <v>23</v>
      </c>
      <c r="D282" s="15">
        <v>21</v>
      </c>
      <c r="E282" s="15">
        <v>19</v>
      </c>
      <c r="F282" s="15">
        <v>21</v>
      </c>
      <c r="G282" s="15">
        <v>20</v>
      </c>
      <c r="H282" s="28">
        <v>16</v>
      </c>
      <c r="I282" s="15">
        <v>16</v>
      </c>
      <c r="J282" s="15">
        <v>159</v>
      </c>
      <c r="K282" s="15">
        <v>32</v>
      </c>
    </row>
    <row r="283" spans="1:11" ht="15">
      <c r="A283" s="16">
        <v>2018120014</v>
      </c>
      <c r="B283" s="17">
        <v>5.35</v>
      </c>
      <c r="C283" s="18">
        <v>5.09</v>
      </c>
      <c r="D283" s="18">
        <v>8.86</v>
      </c>
      <c r="E283" s="18">
        <v>6.58</v>
      </c>
      <c r="F283" s="18">
        <v>6.48</v>
      </c>
      <c r="G283" s="18">
        <v>5.45</v>
      </c>
      <c r="H283" s="18">
        <v>6.25</v>
      </c>
      <c r="I283" s="18">
        <v>10</v>
      </c>
      <c r="J283" s="19">
        <v>6.64</v>
      </c>
      <c r="K283" s="18">
        <v>8.1300000000000008</v>
      </c>
    </row>
    <row r="284" spans="1:11" ht="15">
      <c r="A284" s="10"/>
      <c r="B284" s="20" t="s">
        <v>134</v>
      </c>
      <c r="C284" s="21" t="s">
        <v>135</v>
      </c>
      <c r="D284" s="21" t="s">
        <v>136</v>
      </c>
      <c r="E284" s="21" t="s">
        <v>137</v>
      </c>
      <c r="F284" s="21" t="s">
        <v>138</v>
      </c>
      <c r="G284" s="21" t="s">
        <v>139</v>
      </c>
      <c r="H284" s="21" t="s">
        <v>140</v>
      </c>
      <c r="I284" s="21" t="s">
        <v>141</v>
      </c>
      <c r="J284" s="21" t="s">
        <v>142</v>
      </c>
      <c r="K284" s="21" t="s">
        <v>33</v>
      </c>
    </row>
    <row r="285" spans="1:11" ht="15">
      <c r="A285" s="13"/>
      <c r="B285" s="14">
        <v>107</v>
      </c>
      <c r="C285" s="15">
        <v>122</v>
      </c>
      <c r="D285" s="15">
        <v>160</v>
      </c>
      <c r="E285" s="15">
        <v>122</v>
      </c>
      <c r="F285" s="15">
        <v>134</v>
      </c>
      <c r="G285" s="15">
        <v>103</v>
      </c>
      <c r="H285" s="15">
        <v>96</v>
      </c>
      <c r="I285" s="15">
        <v>158</v>
      </c>
      <c r="J285" s="15">
        <v>1002</v>
      </c>
      <c r="K285" s="15">
        <v>254</v>
      </c>
    </row>
    <row r="286" spans="1:11" ht="15">
      <c r="A286" s="13"/>
      <c r="B286" s="14">
        <v>23</v>
      </c>
      <c r="C286" s="15">
        <v>23</v>
      </c>
      <c r="D286" s="15">
        <v>21</v>
      </c>
      <c r="E286" s="15">
        <v>19</v>
      </c>
      <c r="F286" s="15">
        <v>21</v>
      </c>
      <c r="G286" s="15">
        <v>20</v>
      </c>
      <c r="H286" s="15">
        <v>16</v>
      </c>
      <c r="I286" s="15">
        <v>16</v>
      </c>
      <c r="J286" s="15">
        <v>159</v>
      </c>
      <c r="K286" s="15">
        <v>32</v>
      </c>
    </row>
    <row r="287" spans="1:11" ht="15">
      <c r="A287" s="16">
        <v>2018120016</v>
      </c>
      <c r="B287" s="17">
        <v>4.6500000000000004</v>
      </c>
      <c r="C287" s="18">
        <v>5.3</v>
      </c>
      <c r="D287" s="18">
        <v>7.62</v>
      </c>
      <c r="E287" s="18">
        <v>6.42</v>
      </c>
      <c r="F287" s="18">
        <v>6.38</v>
      </c>
      <c r="G287" s="18">
        <v>5.15</v>
      </c>
      <c r="H287" s="18">
        <v>6</v>
      </c>
      <c r="I287" s="18">
        <v>9.8800000000000008</v>
      </c>
      <c r="J287" s="19">
        <v>6.3</v>
      </c>
      <c r="K287" s="18">
        <v>7.94</v>
      </c>
    </row>
    <row r="288" spans="1:11" ht="15">
      <c r="A288" s="10"/>
      <c r="B288" s="20" t="s">
        <v>134</v>
      </c>
      <c r="C288" s="21" t="s">
        <v>135</v>
      </c>
      <c r="D288" s="21" t="s">
        <v>136</v>
      </c>
      <c r="E288" s="21" t="s">
        <v>137</v>
      </c>
      <c r="F288" s="21" t="s">
        <v>138</v>
      </c>
      <c r="G288" s="21" t="s">
        <v>139</v>
      </c>
      <c r="H288" s="21" t="s">
        <v>140</v>
      </c>
      <c r="I288" s="21" t="s">
        <v>141</v>
      </c>
      <c r="J288" s="21" t="s">
        <v>142</v>
      </c>
      <c r="K288" s="21" t="s">
        <v>33</v>
      </c>
    </row>
    <row r="289" spans="1:11" ht="15">
      <c r="A289" s="13"/>
      <c r="B289" s="14">
        <v>121</v>
      </c>
      <c r="C289" s="15">
        <v>123</v>
      </c>
      <c r="D289" s="15">
        <v>167</v>
      </c>
      <c r="E289" s="15">
        <v>143</v>
      </c>
      <c r="F289" s="15">
        <v>158</v>
      </c>
      <c r="G289" s="15">
        <v>157</v>
      </c>
      <c r="H289" s="15">
        <v>130</v>
      </c>
      <c r="I289" s="15">
        <v>160</v>
      </c>
      <c r="J289" s="15">
        <v>1159</v>
      </c>
      <c r="K289" s="15">
        <v>290</v>
      </c>
    </row>
    <row r="290" spans="1:11" ht="15">
      <c r="A290" s="13"/>
      <c r="B290" s="14">
        <v>23</v>
      </c>
      <c r="C290" s="15">
        <v>23</v>
      </c>
      <c r="D290" s="15">
        <v>21</v>
      </c>
      <c r="E290" s="15">
        <v>19</v>
      </c>
      <c r="F290" s="15">
        <v>21</v>
      </c>
      <c r="G290" s="15">
        <v>20</v>
      </c>
      <c r="H290" s="15">
        <v>16</v>
      </c>
      <c r="I290" s="15">
        <v>16</v>
      </c>
      <c r="J290" s="15">
        <v>159</v>
      </c>
      <c r="K290" s="15">
        <v>32</v>
      </c>
    </row>
    <row r="291" spans="1:11" ht="15">
      <c r="A291" s="16">
        <v>2018120018</v>
      </c>
      <c r="B291" s="17">
        <v>5.26</v>
      </c>
      <c r="C291" s="18">
        <v>5.35</v>
      </c>
      <c r="D291" s="18">
        <v>7.95</v>
      </c>
      <c r="E291" s="18">
        <v>7.53</v>
      </c>
      <c r="F291" s="18">
        <v>7.52</v>
      </c>
      <c r="G291" s="18">
        <v>7.85</v>
      </c>
      <c r="H291" s="18">
        <v>8.1300000000000008</v>
      </c>
      <c r="I291" s="18">
        <v>10</v>
      </c>
      <c r="J291" s="19">
        <v>7.29</v>
      </c>
      <c r="K291" s="18">
        <v>9.06</v>
      </c>
    </row>
    <row r="292" spans="1:11" ht="15">
      <c r="A292" s="10"/>
      <c r="B292" s="20" t="s">
        <v>134</v>
      </c>
      <c r="C292" s="21" t="s">
        <v>135</v>
      </c>
      <c r="D292" s="21" t="s">
        <v>136</v>
      </c>
      <c r="E292" s="21" t="s">
        <v>137</v>
      </c>
      <c r="F292" s="21" t="s">
        <v>138</v>
      </c>
      <c r="G292" s="21" t="s">
        <v>139</v>
      </c>
      <c r="H292" s="21" t="s">
        <v>140</v>
      </c>
      <c r="I292" s="21" t="s">
        <v>141</v>
      </c>
      <c r="J292" s="21" t="s">
        <v>142</v>
      </c>
      <c r="K292" s="21" t="s">
        <v>33</v>
      </c>
    </row>
    <row r="293" spans="1:11" ht="15">
      <c r="A293" s="13"/>
      <c r="B293" s="14">
        <v>119</v>
      </c>
      <c r="C293" s="15">
        <v>129</v>
      </c>
      <c r="D293" s="15">
        <v>169</v>
      </c>
      <c r="E293" s="15">
        <v>137</v>
      </c>
      <c r="F293" s="15">
        <v>150</v>
      </c>
      <c r="G293" s="15">
        <v>144</v>
      </c>
      <c r="H293" s="15">
        <v>121</v>
      </c>
      <c r="I293" s="15">
        <v>160</v>
      </c>
      <c r="J293" s="15">
        <v>1129</v>
      </c>
      <c r="K293" s="15">
        <v>281</v>
      </c>
    </row>
    <row r="294" spans="1:11" ht="15">
      <c r="A294" s="13"/>
      <c r="B294" s="14">
        <v>23</v>
      </c>
      <c r="C294" s="15">
        <v>23</v>
      </c>
      <c r="D294" s="15">
        <v>21</v>
      </c>
      <c r="E294" s="15">
        <v>19</v>
      </c>
      <c r="F294" s="15">
        <v>21</v>
      </c>
      <c r="G294" s="15">
        <v>20</v>
      </c>
      <c r="H294" s="15">
        <v>16</v>
      </c>
      <c r="I294" s="15">
        <v>16</v>
      </c>
      <c r="J294" s="15">
        <v>159</v>
      </c>
      <c r="K294" s="15">
        <v>32</v>
      </c>
    </row>
    <row r="295" spans="1:11" ht="15">
      <c r="A295" s="16">
        <v>2018120047</v>
      </c>
      <c r="B295" s="17">
        <v>5.17</v>
      </c>
      <c r="C295" s="18">
        <v>5.61</v>
      </c>
      <c r="D295" s="18">
        <v>8.0500000000000007</v>
      </c>
      <c r="E295" s="18">
        <v>7.21</v>
      </c>
      <c r="F295" s="18">
        <v>7.14</v>
      </c>
      <c r="G295" s="18">
        <v>7.2</v>
      </c>
      <c r="H295" s="18">
        <v>7.56</v>
      </c>
      <c r="I295" s="18">
        <v>10</v>
      </c>
      <c r="J295" s="19">
        <v>7.1</v>
      </c>
      <c r="K295" s="18">
        <v>8.7799999999999994</v>
      </c>
    </row>
    <row r="296" spans="1:11" ht="15">
      <c r="A296" s="10"/>
      <c r="B296" s="20" t="s">
        <v>134</v>
      </c>
      <c r="C296" s="21" t="s">
        <v>135</v>
      </c>
      <c r="D296" s="21" t="s">
        <v>136</v>
      </c>
      <c r="E296" s="21" t="s">
        <v>137</v>
      </c>
      <c r="F296" s="21" t="s">
        <v>138</v>
      </c>
      <c r="G296" s="21" t="s">
        <v>139</v>
      </c>
      <c r="H296" s="21" t="s">
        <v>140</v>
      </c>
      <c r="I296" s="21" t="s">
        <v>141</v>
      </c>
      <c r="J296" s="21" t="s">
        <v>142</v>
      </c>
      <c r="K296" s="21" t="s">
        <v>33</v>
      </c>
    </row>
    <row r="297" spans="1:11" ht="15">
      <c r="A297" s="13"/>
      <c r="B297" s="14">
        <v>104</v>
      </c>
      <c r="C297" s="15">
        <v>112</v>
      </c>
      <c r="D297" s="15">
        <v>183</v>
      </c>
      <c r="E297" s="15">
        <v>141</v>
      </c>
      <c r="F297" s="15">
        <v>152</v>
      </c>
      <c r="G297" s="15">
        <v>180</v>
      </c>
      <c r="H297" s="15">
        <v>103</v>
      </c>
      <c r="I297" s="15">
        <v>124</v>
      </c>
      <c r="J297" s="15">
        <v>1099</v>
      </c>
      <c r="K297" s="15">
        <v>227</v>
      </c>
    </row>
    <row r="298" spans="1:11" ht="15">
      <c r="A298" s="13"/>
      <c r="B298" s="14">
        <v>23</v>
      </c>
      <c r="C298" s="15">
        <v>23</v>
      </c>
      <c r="D298" s="15">
        <v>21</v>
      </c>
      <c r="E298" s="15">
        <v>19</v>
      </c>
      <c r="F298" s="15">
        <v>21</v>
      </c>
      <c r="G298" s="15">
        <v>21</v>
      </c>
      <c r="H298" s="15">
        <v>16</v>
      </c>
      <c r="I298" s="15">
        <v>16</v>
      </c>
      <c r="J298" s="15">
        <v>160</v>
      </c>
      <c r="K298" s="15">
        <v>32</v>
      </c>
    </row>
    <row r="299" spans="1:11" ht="15">
      <c r="A299" s="16">
        <v>2018120059</v>
      </c>
      <c r="B299" s="17">
        <v>4.5199999999999996</v>
      </c>
      <c r="C299" s="18">
        <v>4.87</v>
      </c>
      <c r="D299" s="18">
        <v>8.7100000000000009</v>
      </c>
      <c r="E299" s="18">
        <v>7.42</v>
      </c>
      <c r="F299" s="18">
        <v>7.24</v>
      </c>
      <c r="G299" s="18">
        <v>8.57</v>
      </c>
      <c r="H299" s="18">
        <v>6.44</v>
      </c>
      <c r="I299" s="18">
        <v>7.75</v>
      </c>
      <c r="J299" s="19">
        <v>6.87</v>
      </c>
      <c r="K299" s="18">
        <v>7.09</v>
      </c>
    </row>
    <row r="300" spans="1:11" ht="15">
      <c r="A300" s="10"/>
      <c r="B300" s="20" t="s">
        <v>134</v>
      </c>
      <c r="C300" s="21" t="s">
        <v>135</v>
      </c>
      <c r="D300" s="21" t="s">
        <v>136</v>
      </c>
      <c r="E300" s="21" t="s">
        <v>137</v>
      </c>
      <c r="F300" s="21" t="s">
        <v>138</v>
      </c>
      <c r="G300" s="21" t="s">
        <v>139</v>
      </c>
      <c r="H300" s="21" t="s">
        <v>140</v>
      </c>
      <c r="I300" s="21" t="s">
        <v>141</v>
      </c>
      <c r="J300" s="21" t="s">
        <v>142</v>
      </c>
      <c r="K300" s="21" t="s">
        <v>33</v>
      </c>
    </row>
    <row r="301" spans="1:11" ht="15">
      <c r="A301" s="13"/>
      <c r="B301" s="14">
        <v>127</v>
      </c>
      <c r="C301" s="15">
        <v>115</v>
      </c>
      <c r="D301" s="15">
        <v>169</v>
      </c>
      <c r="E301" s="15">
        <v>152</v>
      </c>
      <c r="F301" s="15">
        <v>164</v>
      </c>
      <c r="G301" s="15">
        <v>159</v>
      </c>
      <c r="H301" s="15">
        <v>136</v>
      </c>
      <c r="I301" s="15">
        <v>159</v>
      </c>
      <c r="J301" s="15">
        <v>1181</v>
      </c>
      <c r="K301" s="15">
        <v>295</v>
      </c>
    </row>
    <row r="302" spans="1:11" ht="15">
      <c r="A302" s="13"/>
      <c r="B302" s="14">
        <v>23</v>
      </c>
      <c r="C302" s="15">
        <v>23</v>
      </c>
      <c r="D302" s="15">
        <v>21</v>
      </c>
      <c r="E302" s="15">
        <v>19</v>
      </c>
      <c r="F302" s="15">
        <v>21</v>
      </c>
      <c r="G302" s="15">
        <v>20</v>
      </c>
      <c r="H302" s="15">
        <v>16</v>
      </c>
      <c r="I302" s="15">
        <v>16</v>
      </c>
      <c r="J302" s="15">
        <v>159</v>
      </c>
      <c r="K302" s="15">
        <v>32</v>
      </c>
    </row>
    <row r="303" spans="1:11" ht="15">
      <c r="A303" s="16">
        <v>2018120062</v>
      </c>
      <c r="B303" s="17">
        <v>5.52</v>
      </c>
      <c r="C303" s="18">
        <v>5</v>
      </c>
      <c r="D303" s="18">
        <v>8.0500000000000007</v>
      </c>
      <c r="E303" s="18">
        <v>8</v>
      </c>
      <c r="F303" s="18">
        <v>7.81</v>
      </c>
      <c r="G303" s="18">
        <v>7.95</v>
      </c>
      <c r="H303" s="18">
        <v>8.5</v>
      </c>
      <c r="I303" s="18">
        <v>9.94</v>
      </c>
      <c r="J303" s="19">
        <v>7.43</v>
      </c>
      <c r="K303" s="18">
        <v>9.2200000000000006</v>
      </c>
    </row>
    <row r="304" spans="1:11" ht="15">
      <c r="A304" s="10"/>
      <c r="B304" s="20" t="s">
        <v>134</v>
      </c>
      <c r="C304" s="21" t="s">
        <v>135</v>
      </c>
      <c r="D304" s="21" t="s">
        <v>136</v>
      </c>
      <c r="E304" s="21" t="s">
        <v>137</v>
      </c>
      <c r="F304" s="21" t="s">
        <v>138</v>
      </c>
      <c r="G304" s="21" t="s">
        <v>139</v>
      </c>
      <c r="H304" s="21" t="s">
        <v>140</v>
      </c>
      <c r="I304" s="21" t="s">
        <v>141</v>
      </c>
      <c r="J304" s="21" t="s">
        <v>142</v>
      </c>
      <c r="K304" s="21" t="s">
        <v>33</v>
      </c>
    </row>
    <row r="305" spans="1:11" ht="15">
      <c r="A305" s="13"/>
      <c r="B305" s="27"/>
      <c r="C305" s="28"/>
      <c r="D305" s="15">
        <v>206</v>
      </c>
      <c r="E305" s="15">
        <v>225</v>
      </c>
      <c r="F305" s="15">
        <v>194</v>
      </c>
      <c r="G305" s="15">
        <v>201</v>
      </c>
      <c r="H305" s="15">
        <v>145</v>
      </c>
      <c r="I305" s="15">
        <v>136</v>
      </c>
      <c r="J305" s="15">
        <v>1107</v>
      </c>
      <c r="K305" s="15">
        <v>281</v>
      </c>
    </row>
    <row r="306" spans="1:11" ht="15">
      <c r="A306" s="13"/>
      <c r="B306" s="27"/>
      <c r="C306" s="28"/>
      <c r="D306" s="15">
        <v>21</v>
      </c>
      <c r="E306" s="15">
        <v>25</v>
      </c>
      <c r="F306" s="15">
        <v>21</v>
      </c>
      <c r="G306" s="15">
        <v>21</v>
      </c>
      <c r="H306" s="15">
        <v>16</v>
      </c>
      <c r="I306" s="15">
        <v>16</v>
      </c>
      <c r="J306" s="15">
        <v>120</v>
      </c>
      <c r="K306" s="15">
        <v>32</v>
      </c>
    </row>
    <row r="307" spans="1:11" ht="15">
      <c r="A307" s="16">
        <v>2020201063</v>
      </c>
      <c r="B307" s="17" t="e">
        <v>#DIV/0!</v>
      </c>
      <c r="C307" s="18" t="e">
        <v>#DIV/0!</v>
      </c>
      <c r="D307" s="18">
        <v>9.81</v>
      </c>
      <c r="E307" s="18">
        <v>9</v>
      </c>
      <c r="F307" s="18">
        <v>9.24</v>
      </c>
      <c r="G307" s="18">
        <v>9.57</v>
      </c>
      <c r="H307" s="18">
        <v>9.06</v>
      </c>
      <c r="I307" s="18">
        <v>8.5</v>
      </c>
      <c r="J307" s="19">
        <v>9.23</v>
      </c>
      <c r="K307" s="18">
        <v>8.7799999999999994</v>
      </c>
    </row>
    <row r="308" spans="1:11" ht="15">
      <c r="A308" s="10"/>
      <c r="B308" s="20" t="s">
        <v>134</v>
      </c>
      <c r="C308" s="21" t="s">
        <v>135</v>
      </c>
      <c r="D308" s="21" t="s">
        <v>136</v>
      </c>
      <c r="E308" s="21" t="s">
        <v>137</v>
      </c>
      <c r="F308" s="21" t="s">
        <v>138</v>
      </c>
      <c r="G308" s="21" t="s">
        <v>139</v>
      </c>
      <c r="H308" s="21" t="s">
        <v>140</v>
      </c>
      <c r="I308" s="21" t="s">
        <v>141</v>
      </c>
      <c r="J308" s="21" t="s">
        <v>142</v>
      </c>
      <c r="K308" s="21" t="s">
        <v>33</v>
      </c>
    </row>
    <row r="309" spans="1:11" ht="15">
      <c r="A309" s="13"/>
      <c r="B309" s="27"/>
      <c r="C309" s="28"/>
      <c r="D309" s="15">
        <v>206</v>
      </c>
      <c r="E309" s="15">
        <v>231</v>
      </c>
      <c r="F309" s="15">
        <v>186</v>
      </c>
      <c r="G309" s="15">
        <v>152</v>
      </c>
      <c r="H309" s="15">
        <v>135</v>
      </c>
      <c r="I309" s="15">
        <v>160</v>
      </c>
      <c r="J309" s="15">
        <v>1070</v>
      </c>
      <c r="K309" s="15">
        <v>295</v>
      </c>
    </row>
    <row r="310" spans="1:11" ht="15">
      <c r="A310" s="13"/>
      <c r="B310" s="27"/>
      <c r="C310" s="28"/>
      <c r="D310" s="15">
        <v>21</v>
      </c>
      <c r="E310" s="15">
        <v>25</v>
      </c>
      <c r="F310" s="15">
        <v>21</v>
      </c>
      <c r="G310" s="15">
        <v>20</v>
      </c>
      <c r="H310" s="15">
        <v>16</v>
      </c>
      <c r="I310" s="15">
        <v>16</v>
      </c>
      <c r="J310" s="15">
        <v>119</v>
      </c>
      <c r="K310" s="15">
        <v>32</v>
      </c>
    </row>
    <row r="311" spans="1:11" ht="15">
      <c r="A311" s="16">
        <v>2020201064</v>
      </c>
      <c r="B311" s="17" t="e">
        <v>#DIV/0!</v>
      </c>
      <c r="C311" s="18" t="e">
        <v>#DIV/0!</v>
      </c>
      <c r="D311" s="18">
        <v>9.81</v>
      </c>
      <c r="E311" s="18">
        <v>9.24</v>
      </c>
      <c r="F311" s="18">
        <v>8.86</v>
      </c>
      <c r="G311" s="18">
        <v>7.6</v>
      </c>
      <c r="H311" s="18">
        <v>8.44</v>
      </c>
      <c r="I311" s="18">
        <v>10</v>
      </c>
      <c r="J311" s="19">
        <v>8.99</v>
      </c>
      <c r="K311" s="18">
        <v>9.2200000000000006</v>
      </c>
    </row>
    <row r="312" spans="1:11" ht="15">
      <c r="A312" s="10"/>
      <c r="B312" s="20" t="s">
        <v>134</v>
      </c>
      <c r="C312" s="21" t="s">
        <v>135</v>
      </c>
      <c r="D312" s="21" t="s">
        <v>136</v>
      </c>
      <c r="E312" s="21" t="s">
        <v>137</v>
      </c>
      <c r="F312" s="21" t="s">
        <v>138</v>
      </c>
      <c r="G312" s="21" t="s">
        <v>139</v>
      </c>
      <c r="H312" s="21" t="s">
        <v>140</v>
      </c>
      <c r="I312" s="21" t="s">
        <v>141</v>
      </c>
      <c r="J312" s="21" t="s">
        <v>142</v>
      </c>
      <c r="K312" s="21" t="s">
        <v>33</v>
      </c>
    </row>
    <row r="313" spans="1:11" ht="15">
      <c r="A313" s="13"/>
      <c r="B313" s="27"/>
      <c r="C313" s="28"/>
      <c r="D313" s="28"/>
      <c r="E313" s="28"/>
      <c r="F313" s="28"/>
      <c r="G313" s="28"/>
      <c r="H313" s="28"/>
      <c r="I313" s="28"/>
      <c r="J313" s="15">
        <v>0</v>
      </c>
      <c r="K313" s="15">
        <v>0</v>
      </c>
    </row>
    <row r="314" spans="1:11" ht="15">
      <c r="A314" s="13"/>
      <c r="B314" s="27"/>
      <c r="C314" s="28"/>
      <c r="D314" s="28"/>
      <c r="E314" s="28"/>
      <c r="F314" s="28"/>
      <c r="G314" s="28"/>
      <c r="H314" s="28"/>
      <c r="I314" s="28"/>
      <c r="J314" s="15">
        <v>0</v>
      </c>
      <c r="K314" s="15">
        <v>0</v>
      </c>
    </row>
    <row r="315" spans="1:11" ht="15">
      <c r="A315" s="16">
        <v>2020201065</v>
      </c>
      <c r="B315" s="17" t="e">
        <v>#DIV/0!</v>
      </c>
      <c r="C315" s="18" t="e">
        <v>#DIV/0!</v>
      </c>
      <c r="D315" s="18" t="e">
        <v>#DIV/0!</v>
      </c>
      <c r="E315" s="18" t="e">
        <v>#DIV/0!</v>
      </c>
      <c r="F315" s="18" t="e">
        <v>#DIV/0!</v>
      </c>
      <c r="G315" s="18" t="e">
        <v>#DIV/0!</v>
      </c>
      <c r="H315" s="18" t="e">
        <v>#DIV/0!</v>
      </c>
      <c r="I315" s="18" t="e">
        <v>#DIV/0!</v>
      </c>
      <c r="J315" s="19" t="e">
        <v>#DIV/0!</v>
      </c>
      <c r="K315" s="18" t="e">
        <v>#DIV/0!</v>
      </c>
    </row>
    <row r="316" spans="1:11" ht="15">
      <c r="A316" s="10"/>
      <c r="B316" s="20" t="s">
        <v>134</v>
      </c>
      <c r="C316" s="21" t="s">
        <v>135</v>
      </c>
      <c r="D316" s="21" t="s">
        <v>136</v>
      </c>
      <c r="E316" s="21" t="s">
        <v>137</v>
      </c>
      <c r="F316" s="21" t="s">
        <v>138</v>
      </c>
      <c r="G316" s="21" t="s">
        <v>139</v>
      </c>
      <c r="H316" s="21" t="s">
        <v>140</v>
      </c>
      <c r="I316" s="21" t="s">
        <v>141</v>
      </c>
      <c r="J316" s="21" t="s">
        <v>142</v>
      </c>
      <c r="K316" s="21" t="s">
        <v>33</v>
      </c>
    </row>
    <row r="317" spans="1:11" ht="15">
      <c r="A317" s="13"/>
      <c r="B317" s="27"/>
      <c r="C317" s="28"/>
      <c r="D317" s="15">
        <v>168</v>
      </c>
      <c r="E317" s="15">
        <v>191</v>
      </c>
      <c r="F317" s="15">
        <v>154</v>
      </c>
      <c r="G317" s="15">
        <v>125</v>
      </c>
      <c r="H317" s="15">
        <v>113</v>
      </c>
      <c r="I317" s="15">
        <v>130</v>
      </c>
      <c r="J317" s="15">
        <v>881</v>
      </c>
      <c r="K317" s="15">
        <v>243</v>
      </c>
    </row>
    <row r="318" spans="1:11" ht="15">
      <c r="A318" s="13"/>
      <c r="B318" s="27"/>
      <c r="C318" s="28"/>
      <c r="D318" s="15">
        <v>21</v>
      </c>
      <c r="E318" s="15">
        <v>25</v>
      </c>
      <c r="F318" s="15">
        <v>21</v>
      </c>
      <c r="G318" s="15">
        <v>20</v>
      </c>
      <c r="H318" s="15">
        <v>16</v>
      </c>
      <c r="I318" s="15">
        <v>16</v>
      </c>
      <c r="J318" s="15">
        <v>119</v>
      </c>
      <c r="K318" s="15">
        <v>32</v>
      </c>
    </row>
    <row r="319" spans="1:11" ht="15">
      <c r="A319" s="16">
        <v>2020201066</v>
      </c>
      <c r="B319" s="17" t="e">
        <v>#DIV/0!</v>
      </c>
      <c r="C319" s="18" t="e">
        <v>#DIV/0!</v>
      </c>
      <c r="D319" s="18">
        <v>8</v>
      </c>
      <c r="E319" s="18">
        <v>7.64</v>
      </c>
      <c r="F319" s="18">
        <v>7.33</v>
      </c>
      <c r="G319" s="18">
        <v>6.25</v>
      </c>
      <c r="H319" s="18">
        <v>7.06</v>
      </c>
      <c r="I319" s="18">
        <v>8.1300000000000008</v>
      </c>
      <c r="J319" s="19">
        <v>7.4</v>
      </c>
      <c r="K319" s="18">
        <v>7.59</v>
      </c>
    </row>
    <row r="320" spans="1:11" ht="15">
      <c r="A320" s="10"/>
      <c r="B320" s="20" t="s">
        <v>134</v>
      </c>
      <c r="C320" s="21" t="s">
        <v>135</v>
      </c>
      <c r="D320" s="21" t="s">
        <v>136</v>
      </c>
      <c r="E320" s="21" t="s">
        <v>137</v>
      </c>
      <c r="F320" s="21" t="s">
        <v>138</v>
      </c>
      <c r="G320" s="21" t="s">
        <v>139</v>
      </c>
      <c r="H320" s="21" t="s">
        <v>140</v>
      </c>
      <c r="I320" s="21" t="s">
        <v>141</v>
      </c>
      <c r="J320" s="21" t="s">
        <v>142</v>
      </c>
      <c r="K320" s="21" t="s">
        <v>33</v>
      </c>
    </row>
    <row r="321" spans="1:11" ht="15">
      <c r="A321" s="13"/>
      <c r="B321" s="27"/>
      <c r="C321" s="28"/>
      <c r="D321" s="15">
        <v>202</v>
      </c>
      <c r="E321" s="15">
        <v>224</v>
      </c>
      <c r="F321" s="15">
        <v>188</v>
      </c>
      <c r="G321" s="15">
        <v>168</v>
      </c>
      <c r="H321" s="15">
        <v>151</v>
      </c>
      <c r="I321" s="15">
        <v>160</v>
      </c>
      <c r="J321" s="15">
        <v>1093</v>
      </c>
      <c r="K321" s="15">
        <v>311</v>
      </c>
    </row>
    <row r="322" spans="1:11" ht="15">
      <c r="A322" s="13"/>
      <c r="B322" s="27"/>
      <c r="C322" s="28"/>
      <c r="D322" s="15">
        <v>21</v>
      </c>
      <c r="E322" s="15">
        <v>25</v>
      </c>
      <c r="F322" s="15">
        <v>21</v>
      </c>
      <c r="G322" s="15">
        <v>20</v>
      </c>
      <c r="H322" s="15">
        <v>16</v>
      </c>
      <c r="I322" s="15">
        <v>16</v>
      </c>
      <c r="J322" s="15">
        <v>119</v>
      </c>
      <c r="K322" s="15">
        <v>32</v>
      </c>
    </row>
    <row r="323" spans="1:11" ht="15">
      <c r="A323" s="16">
        <v>2020201067</v>
      </c>
      <c r="B323" s="17" t="e">
        <v>#DIV/0!</v>
      </c>
      <c r="C323" s="18" t="e">
        <v>#DIV/0!</v>
      </c>
      <c r="D323" s="18">
        <v>9.6199999999999992</v>
      </c>
      <c r="E323" s="18">
        <v>8.9600000000000009</v>
      </c>
      <c r="F323" s="18">
        <v>8.9499999999999993</v>
      </c>
      <c r="G323" s="18">
        <v>8.4</v>
      </c>
      <c r="H323" s="18">
        <v>9.44</v>
      </c>
      <c r="I323" s="18">
        <v>10</v>
      </c>
      <c r="J323" s="19">
        <v>9.18</v>
      </c>
      <c r="K323" s="18">
        <v>9.7200000000000006</v>
      </c>
    </row>
    <row r="324" spans="1:11" ht="15">
      <c r="A324" s="10"/>
      <c r="B324" s="20" t="s">
        <v>134</v>
      </c>
      <c r="C324" s="21" t="s">
        <v>135</v>
      </c>
      <c r="D324" s="21" t="s">
        <v>136</v>
      </c>
      <c r="E324" s="21" t="s">
        <v>137</v>
      </c>
      <c r="F324" s="21" t="s">
        <v>138</v>
      </c>
      <c r="G324" s="21" t="s">
        <v>139</v>
      </c>
      <c r="H324" s="21" t="s">
        <v>140</v>
      </c>
      <c r="I324" s="21" t="s">
        <v>141</v>
      </c>
      <c r="J324" s="21" t="s">
        <v>142</v>
      </c>
      <c r="K324" s="21" t="s">
        <v>33</v>
      </c>
    </row>
    <row r="325" spans="1:11" ht="15">
      <c r="A325" s="13"/>
      <c r="B325" s="27"/>
      <c r="C325" s="28"/>
      <c r="D325" s="15">
        <v>202</v>
      </c>
      <c r="E325" s="15">
        <v>223</v>
      </c>
      <c r="F325" s="15">
        <v>186</v>
      </c>
      <c r="G325" s="15">
        <v>157</v>
      </c>
      <c r="H325" s="15">
        <v>136</v>
      </c>
      <c r="I325" s="15">
        <v>145</v>
      </c>
      <c r="J325" s="15">
        <v>1049</v>
      </c>
      <c r="K325" s="15">
        <v>281</v>
      </c>
    </row>
    <row r="326" spans="1:11" ht="15">
      <c r="A326" s="13"/>
      <c r="B326" s="27"/>
      <c r="C326" s="28"/>
      <c r="D326" s="15">
        <v>21</v>
      </c>
      <c r="E326" s="15">
        <v>25</v>
      </c>
      <c r="F326" s="15">
        <v>21</v>
      </c>
      <c r="G326" s="15">
        <v>20</v>
      </c>
      <c r="H326" s="15">
        <v>16</v>
      </c>
      <c r="I326" s="15">
        <v>16</v>
      </c>
      <c r="J326" s="15">
        <v>119</v>
      </c>
      <c r="K326" s="15">
        <v>32</v>
      </c>
    </row>
    <row r="327" spans="1:11" ht="15">
      <c r="A327" s="16">
        <v>2020201068</v>
      </c>
      <c r="B327" s="17" t="e">
        <v>#DIV/0!</v>
      </c>
      <c r="C327" s="18" t="e">
        <v>#DIV/0!</v>
      </c>
      <c r="D327" s="18">
        <v>9.6199999999999992</v>
      </c>
      <c r="E327" s="18">
        <v>8.92</v>
      </c>
      <c r="F327" s="18">
        <v>8.86</v>
      </c>
      <c r="G327" s="18">
        <v>7.85</v>
      </c>
      <c r="H327" s="18">
        <v>8.5</v>
      </c>
      <c r="I327" s="18">
        <v>9.06</v>
      </c>
      <c r="J327" s="19">
        <v>8.82</v>
      </c>
      <c r="K327" s="18">
        <v>8.7799999999999994</v>
      </c>
    </row>
    <row r="328" spans="1:11" ht="15">
      <c r="A328" s="10"/>
      <c r="B328" s="20" t="s">
        <v>134</v>
      </c>
      <c r="C328" s="21" t="s">
        <v>135</v>
      </c>
      <c r="D328" s="21" t="s">
        <v>136</v>
      </c>
      <c r="E328" s="21" t="s">
        <v>137</v>
      </c>
      <c r="F328" s="21" t="s">
        <v>138</v>
      </c>
      <c r="G328" s="21" t="s">
        <v>139</v>
      </c>
      <c r="H328" s="21" t="s">
        <v>140</v>
      </c>
      <c r="I328" s="21" t="s">
        <v>141</v>
      </c>
      <c r="J328" s="21" t="s">
        <v>142</v>
      </c>
      <c r="K328" s="21" t="s">
        <v>33</v>
      </c>
    </row>
    <row r="329" spans="1:11" ht="15">
      <c r="A329" s="13"/>
      <c r="B329" s="27"/>
      <c r="C329" s="28"/>
      <c r="D329" s="15">
        <v>164</v>
      </c>
      <c r="E329" s="15">
        <v>180</v>
      </c>
      <c r="F329" s="15">
        <v>156</v>
      </c>
      <c r="G329" s="15">
        <v>155</v>
      </c>
      <c r="H329" s="15">
        <v>121</v>
      </c>
      <c r="I329" s="15">
        <v>145</v>
      </c>
      <c r="J329" s="15">
        <v>921</v>
      </c>
      <c r="K329" s="15">
        <v>266</v>
      </c>
    </row>
    <row r="330" spans="1:11" ht="15">
      <c r="A330" s="13"/>
      <c r="B330" s="27"/>
      <c r="C330" s="28"/>
      <c r="D330" s="15">
        <v>21</v>
      </c>
      <c r="E330" s="15">
        <v>25</v>
      </c>
      <c r="F330" s="15">
        <v>21</v>
      </c>
      <c r="G330" s="15">
        <v>20</v>
      </c>
      <c r="H330" s="15">
        <v>16</v>
      </c>
      <c r="I330" s="15">
        <v>16</v>
      </c>
      <c r="J330" s="15">
        <v>119</v>
      </c>
      <c r="K330" s="15">
        <v>32</v>
      </c>
    </row>
    <row r="331" spans="1:11" ht="15">
      <c r="A331" s="16">
        <v>2020201069</v>
      </c>
      <c r="B331" s="17" t="e">
        <v>#DIV/0!</v>
      </c>
      <c r="C331" s="18" t="e">
        <v>#DIV/0!</v>
      </c>
      <c r="D331" s="18">
        <v>7.81</v>
      </c>
      <c r="E331" s="18">
        <v>7.2</v>
      </c>
      <c r="F331" s="18">
        <v>7.43</v>
      </c>
      <c r="G331" s="18">
        <v>7.75</v>
      </c>
      <c r="H331" s="18">
        <v>7.56</v>
      </c>
      <c r="I331" s="18">
        <v>9.06</v>
      </c>
      <c r="J331" s="19">
        <v>7.74</v>
      </c>
      <c r="K331" s="18">
        <v>8.31</v>
      </c>
    </row>
    <row r="332" spans="1:11" ht="15">
      <c r="A332" s="10"/>
      <c r="B332" s="20" t="s">
        <v>134</v>
      </c>
      <c r="C332" s="21" t="s">
        <v>135</v>
      </c>
      <c r="D332" s="21" t="s">
        <v>136</v>
      </c>
      <c r="E332" s="21" t="s">
        <v>137</v>
      </c>
      <c r="F332" s="21" t="s">
        <v>138</v>
      </c>
      <c r="G332" s="21" t="s">
        <v>139</v>
      </c>
      <c r="H332" s="21" t="s">
        <v>140</v>
      </c>
      <c r="I332" s="21" t="s">
        <v>141</v>
      </c>
      <c r="J332" s="21" t="s">
        <v>142</v>
      </c>
      <c r="K332" s="21" t="s">
        <v>33</v>
      </c>
    </row>
    <row r="333" spans="1:11" ht="15">
      <c r="A333" s="13"/>
      <c r="B333" s="27"/>
      <c r="C333" s="28"/>
      <c r="D333" s="15">
        <v>206</v>
      </c>
      <c r="E333" s="15">
        <v>239</v>
      </c>
      <c r="F333" s="15">
        <v>186</v>
      </c>
      <c r="G333" s="15">
        <v>201</v>
      </c>
      <c r="H333" s="15">
        <v>133</v>
      </c>
      <c r="I333" s="15">
        <v>133</v>
      </c>
      <c r="J333" s="15">
        <v>1098</v>
      </c>
      <c r="K333" s="15">
        <v>266</v>
      </c>
    </row>
    <row r="334" spans="1:11" ht="15">
      <c r="A334" s="13"/>
      <c r="B334" s="27"/>
      <c r="C334" s="28"/>
      <c r="D334" s="15">
        <v>21</v>
      </c>
      <c r="E334" s="15">
        <v>25</v>
      </c>
      <c r="F334" s="15">
        <v>21</v>
      </c>
      <c r="G334" s="15">
        <v>21</v>
      </c>
      <c r="H334" s="15">
        <v>16</v>
      </c>
      <c r="I334" s="15">
        <v>16</v>
      </c>
      <c r="J334" s="15">
        <v>120</v>
      </c>
      <c r="K334" s="15">
        <v>32</v>
      </c>
    </row>
    <row r="335" spans="1:11" ht="15">
      <c r="A335" s="16">
        <v>2020201070</v>
      </c>
      <c r="B335" s="17" t="e">
        <v>#DIV/0!</v>
      </c>
      <c r="C335" s="18" t="e">
        <v>#DIV/0!</v>
      </c>
      <c r="D335" s="18">
        <v>9.81</v>
      </c>
      <c r="E335" s="18">
        <v>9.56</v>
      </c>
      <c r="F335" s="18">
        <v>8.86</v>
      </c>
      <c r="G335" s="18">
        <v>9.57</v>
      </c>
      <c r="H335" s="18">
        <v>8.31</v>
      </c>
      <c r="I335" s="18">
        <v>8.31</v>
      </c>
      <c r="J335" s="19">
        <v>9.15</v>
      </c>
      <c r="K335" s="18">
        <v>8.31</v>
      </c>
    </row>
    <row r="336" spans="1:11" ht="15">
      <c r="A336" s="10"/>
      <c r="B336" s="20" t="s">
        <v>134</v>
      </c>
      <c r="C336" s="21" t="s">
        <v>135</v>
      </c>
      <c r="D336" s="21" t="s">
        <v>136</v>
      </c>
      <c r="E336" s="21" t="s">
        <v>137</v>
      </c>
      <c r="F336" s="21" t="s">
        <v>138</v>
      </c>
      <c r="G336" s="21" t="s">
        <v>139</v>
      </c>
      <c r="H336" s="21" t="s">
        <v>140</v>
      </c>
      <c r="I336" s="21" t="s">
        <v>141</v>
      </c>
      <c r="J336" s="21" t="s">
        <v>142</v>
      </c>
      <c r="K336" s="21" t="s">
        <v>33</v>
      </c>
    </row>
    <row r="337" spans="1:11" ht="15">
      <c r="A337" s="13"/>
      <c r="B337" s="27"/>
      <c r="C337" s="28"/>
      <c r="D337" s="28"/>
      <c r="E337" s="28"/>
      <c r="F337" s="28"/>
      <c r="G337" s="28"/>
      <c r="H337" s="28"/>
      <c r="I337" s="28"/>
      <c r="J337" s="15">
        <v>0</v>
      </c>
      <c r="K337" s="15">
        <v>0</v>
      </c>
    </row>
    <row r="338" spans="1:11" ht="15">
      <c r="A338" s="13"/>
      <c r="B338" s="27"/>
      <c r="C338" s="28"/>
      <c r="D338" s="28"/>
      <c r="E338" s="28"/>
      <c r="F338" s="28"/>
      <c r="G338" s="28"/>
      <c r="H338" s="28"/>
      <c r="I338" s="28"/>
      <c r="J338" s="15">
        <v>0</v>
      </c>
      <c r="K338" s="15">
        <v>0</v>
      </c>
    </row>
    <row r="339" spans="1:11" ht="15">
      <c r="A339" s="16">
        <v>2020201071</v>
      </c>
      <c r="B339" s="17" t="e">
        <v>#DIV/0!</v>
      </c>
      <c r="C339" s="18" t="e">
        <v>#DIV/0!</v>
      </c>
      <c r="D339" s="18" t="e">
        <v>#DIV/0!</v>
      </c>
      <c r="E339" s="18" t="e">
        <v>#DIV/0!</v>
      </c>
      <c r="F339" s="18" t="e">
        <v>#DIV/0!</v>
      </c>
      <c r="G339" s="18" t="e">
        <v>#DIV/0!</v>
      </c>
      <c r="H339" s="18" t="e">
        <v>#DIV/0!</v>
      </c>
      <c r="I339" s="18" t="e">
        <v>#DIV/0!</v>
      </c>
      <c r="J339" s="19" t="e">
        <v>#DIV/0!</v>
      </c>
      <c r="K339" s="18" t="e">
        <v>#DIV/0!</v>
      </c>
    </row>
    <row r="340" spans="1:11" ht="15">
      <c r="A340" s="10"/>
      <c r="B340" s="20" t="s">
        <v>134</v>
      </c>
      <c r="C340" s="21" t="s">
        <v>135</v>
      </c>
      <c r="D340" s="21" t="s">
        <v>136</v>
      </c>
      <c r="E340" s="21" t="s">
        <v>137</v>
      </c>
      <c r="F340" s="21" t="s">
        <v>138</v>
      </c>
      <c r="G340" s="21" t="s">
        <v>139</v>
      </c>
      <c r="H340" s="21" t="s">
        <v>140</v>
      </c>
      <c r="I340" s="21" t="s">
        <v>141</v>
      </c>
      <c r="J340" s="21" t="s">
        <v>142</v>
      </c>
      <c r="K340" s="21" t="s">
        <v>33</v>
      </c>
    </row>
    <row r="341" spans="1:11" ht="15">
      <c r="A341" s="13"/>
      <c r="B341" s="27"/>
      <c r="C341" s="28"/>
      <c r="D341" s="15">
        <v>202</v>
      </c>
      <c r="E341" s="15">
        <v>218</v>
      </c>
      <c r="F341" s="15">
        <v>188</v>
      </c>
      <c r="G341" s="15">
        <v>183</v>
      </c>
      <c r="H341" s="15">
        <v>130</v>
      </c>
      <c r="I341" s="15">
        <v>136</v>
      </c>
      <c r="J341" s="15">
        <v>1057</v>
      </c>
      <c r="K341" s="15">
        <v>266</v>
      </c>
    </row>
    <row r="342" spans="1:11" ht="15">
      <c r="A342" s="13"/>
      <c r="B342" s="27"/>
      <c r="C342" s="28"/>
      <c r="D342" s="15">
        <v>21</v>
      </c>
      <c r="E342" s="15">
        <v>25</v>
      </c>
      <c r="F342" s="15">
        <v>21</v>
      </c>
      <c r="G342" s="15">
        <v>21</v>
      </c>
      <c r="H342" s="15">
        <v>16</v>
      </c>
      <c r="I342" s="15">
        <v>16</v>
      </c>
      <c r="J342" s="15">
        <v>120</v>
      </c>
      <c r="K342" s="15">
        <v>32</v>
      </c>
    </row>
    <row r="343" spans="1:11" ht="15">
      <c r="A343" s="16">
        <v>2020201072</v>
      </c>
      <c r="B343" s="17" t="e">
        <v>#DIV/0!</v>
      </c>
      <c r="C343" s="18" t="e">
        <v>#DIV/0!</v>
      </c>
      <c r="D343" s="18">
        <v>9.6199999999999992</v>
      </c>
      <c r="E343" s="18">
        <v>8.7200000000000006</v>
      </c>
      <c r="F343" s="18">
        <v>8.9499999999999993</v>
      </c>
      <c r="G343" s="18">
        <v>8.7100000000000009</v>
      </c>
      <c r="H343" s="18">
        <v>8.1300000000000008</v>
      </c>
      <c r="I343" s="18">
        <v>8.5</v>
      </c>
      <c r="J343" s="19">
        <v>8.81</v>
      </c>
      <c r="K343" s="18">
        <v>8.31</v>
      </c>
    </row>
    <row r="344" spans="1:11" ht="15">
      <c r="A344" s="10"/>
      <c r="B344" s="20" t="s">
        <v>134</v>
      </c>
      <c r="C344" s="21" t="s">
        <v>135</v>
      </c>
      <c r="D344" s="21" t="s">
        <v>136</v>
      </c>
      <c r="E344" s="21" t="s">
        <v>137</v>
      </c>
      <c r="F344" s="21" t="s">
        <v>138</v>
      </c>
      <c r="G344" s="21" t="s">
        <v>139</v>
      </c>
      <c r="H344" s="21" t="s">
        <v>140</v>
      </c>
      <c r="I344" s="21" t="s">
        <v>141</v>
      </c>
      <c r="J344" s="21" t="s">
        <v>142</v>
      </c>
      <c r="K344" s="21" t="s">
        <v>33</v>
      </c>
    </row>
    <row r="345" spans="1:11" ht="15">
      <c r="A345" s="13"/>
      <c r="B345" s="27"/>
      <c r="C345" s="28"/>
      <c r="D345" s="15">
        <v>202</v>
      </c>
      <c r="E345" s="15">
        <v>243</v>
      </c>
      <c r="F345" s="15">
        <v>186</v>
      </c>
      <c r="G345" s="15">
        <v>162</v>
      </c>
      <c r="H345" s="15">
        <v>142</v>
      </c>
      <c r="I345" s="15">
        <v>160</v>
      </c>
      <c r="J345" s="15">
        <v>1095</v>
      </c>
      <c r="K345" s="15">
        <v>302</v>
      </c>
    </row>
    <row r="346" spans="1:11" ht="15">
      <c r="A346" s="13"/>
      <c r="B346" s="27"/>
      <c r="C346" s="28"/>
      <c r="D346" s="15">
        <v>21</v>
      </c>
      <c r="E346" s="15">
        <v>25</v>
      </c>
      <c r="F346" s="15">
        <v>21</v>
      </c>
      <c r="G346" s="15">
        <v>20</v>
      </c>
      <c r="H346" s="15">
        <v>16</v>
      </c>
      <c r="I346" s="15">
        <v>16</v>
      </c>
      <c r="J346" s="15">
        <v>119</v>
      </c>
      <c r="K346" s="15">
        <v>32</v>
      </c>
    </row>
    <row r="347" spans="1:11" ht="15">
      <c r="A347" s="16">
        <v>2020201073</v>
      </c>
      <c r="B347" s="17" t="e">
        <v>#DIV/0!</v>
      </c>
      <c r="C347" s="18" t="e">
        <v>#DIV/0!</v>
      </c>
      <c r="D347" s="18">
        <v>9.6199999999999992</v>
      </c>
      <c r="E347" s="18">
        <v>9.7200000000000006</v>
      </c>
      <c r="F347" s="18">
        <v>8.86</v>
      </c>
      <c r="G347" s="18">
        <v>8.1</v>
      </c>
      <c r="H347" s="18">
        <v>8.8800000000000008</v>
      </c>
      <c r="I347" s="18">
        <v>10</v>
      </c>
      <c r="J347" s="19">
        <v>9.1999999999999993</v>
      </c>
      <c r="K347" s="18">
        <v>9.44</v>
      </c>
    </row>
    <row r="348" spans="1:11" ht="15">
      <c r="A348" s="10"/>
      <c r="B348" s="20" t="s">
        <v>134</v>
      </c>
      <c r="C348" s="21" t="s">
        <v>135</v>
      </c>
      <c r="D348" s="21" t="s">
        <v>136</v>
      </c>
      <c r="E348" s="21" t="s">
        <v>137</v>
      </c>
      <c r="F348" s="21" t="s">
        <v>138</v>
      </c>
      <c r="G348" s="21" t="s">
        <v>139</v>
      </c>
      <c r="H348" s="21" t="s">
        <v>140</v>
      </c>
      <c r="I348" s="21" t="s">
        <v>141</v>
      </c>
      <c r="J348" s="21" t="s">
        <v>142</v>
      </c>
      <c r="K348" s="21" t="s">
        <v>33</v>
      </c>
    </row>
    <row r="349" spans="1:11" ht="15">
      <c r="A349" s="13"/>
      <c r="B349" s="27"/>
      <c r="C349" s="28"/>
      <c r="D349" s="15">
        <v>202</v>
      </c>
      <c r="E349" s="15">
        <v>218</v>
      </c>
      <c r="F349" s="15">
        <v>176</v>
      </c>
      <c r="G349" s="15">
        <v>145</v>
      </c>
      <c r="H349" s="15">
        <v>133</v>
      </c>
      <c r="I349" s="15">
        <v>160</v>
      </c>
      <c r="J349" s="15">
        <v>1034</v>
      </c>
      <c r="K349" s="15">
        <v>293</v>
      </c>
    </row>
    <row r="350" spans="1:11" ht="15">
      <c r="A350" s="13"/>
      <c r="B350" s="27"/>
      <c r="C350" s="28"/>
      <c r="D350" s="15">
        <v>21</v>
      </c>
      <c r="E350" s="15">
        <v>25</v>
      </c>
      <c r="F350" s="15">
        <v>21</v>
      </c>
      <c r="G350" s="15">
        <v>20</v>
      </c>
      <c r="H350" s="15">
        <v>16</v>
      </c>
      <c r="I350" s="15">
        <v>16</v>
      </c>
      <c r="J350" s="15">
        <v>119</v>
      </c>
      <c r="K350" s="15">
        <v>32</v>
      </c>
    </row>
    <row r="351" spans="1:11" ht="15">
      <c r="A351" s="16">
        <v>2020201074</v>
      </c>
      <c r="B351" s="17" t="e">
        <v>#DIV/0!</v>
      </c>
      <c r="C351" s="18" t="e">
        <v>#DIV/0!</v>
      </c>
      <c r="D351" s="18">
        <v>9.6199999999999992</v>
      </c>
      <c r="E351" s="18">
        <v>8.7200000000000006</v>
      </c>
      <c r="F351" s="18">
        <v>8.3800000000000008</v>
      </c>
      <c r="G351" s="18">
        <v>7.25</v>
      </c>
      <c r="H351" s="18">
        <v>8.31</v>
      </c>
      <c r="I351" s="18">
        <v>10</v>
      </c>
      <c r="J351" s="19">
        <v>8.69</v>
      </c>
      <c r="K351" s="18">
        <v>9.16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346"/>
  <sheetViews>
    <sheetView workbookViewId="0"/>
  </sheetViews>
  <sheetFormatPr defaultColWidth="12.5703125" defaultRowHeight="15.75" customHeight="1"/>
  <sheetData>
    <row r="1" spans="1:11" ht="15.75" customHeight="1">
      <c r="A1" s="29">
        <v>2018120014</v>
      </c>
      <c r="B1" s="15">
        <v>5.35</v>
      </c>
      <c r="C1" s="15">
        <v>5.09</v>
      </c>
      <c r="D1" s="15">
        <v>8.86</v>
      </c>
      <c r="E1" s="15">
        <v>6.58</v>
      </c>
      <c r="F1" s="15">
        <v>6.48</v>
      </c>
      <c r="G1" s="15">
        <v>5.45</v>
      </c>
      <c r="H1" s="15" t="e">
        <v>#DIV/0!</v>
      </c>
      <c r="I1" s="15">
        <v>10</v>
      </c>
      <c r="J1" s="30"/>
      <c r="K1" s="15"/>
    </row>
    <row r="2" spans="1:11" ht="15.75" customHeight="1">
      <c r="A2" s="29">
        <v>2018120016</v>
      </c>
      <c r="B2" s="15">
        <v>4.6500000000000004</v>
      </c>
      <c r="C2" s="15">
        <v>5.3</v>
      </c>
      <c r="D2" s="15">
        <v>7.62</v>
      </c>
      <c r="E2" s="15">
        <v>6.42</v>
      </c>
      <c r="F2" s="15">
        <v>6.38</v>
      </c>
      <c r="G2" s="15">
        <v>5.15</v>
      </c>
      <c r="H2" s="15">
        <v>6</v>
      </c>
      <c r="I2" s="15">
        <v>9.8800000000000008</v>
      </c>
      <c r="J2" s="30">
        <v>6.3</v>
      </c>
      <c r="K2" s="15">
        <v>7.94</v>
      </c>
    </row>
    <row r="3" spans="1:11" ht="15.75" customHeight="1">
      <c r="A3" s="31">
        <v>2018120018</v>
      </c>
      <c r="B3" s="32">
        <v>5.26</v>
      </c>
      <c r="C3" s="33">
        <v>5.35</v>
      </c>
      <c r="D3" s="33">
        <v>7.95</v>
      </c>
      <c r="E3" s="33">
        <v>7.53</v>
      </c>
      <c r="F3" s="33">
        <v>7.52</v>
      </c>
      <c r="G3" s="33">
        <v>7.85</v>
      </c>
      <c r="H3" s="33">
        <v>8.1300000000000008</v>
      </c>
      <c r="I3" s="33">
        <v>10</v>
      </c>
      <c r="J3" s="34">
        <v>7.29</v>
      </c>
      <c r="K3" s="33">
        <v>9.06</v>
      </c>
    </row>
    <row r="4" spans="1:11" ht="15.75" customHeight="1">
      <c r="A4" s="35">
        <v>2018120047</v>
      </c>
      <c r="B4" s="14">
        <v>5.17</v>
      </c>
      <c r="C4" s="15">
        <v>5.61</v>
      </c>
      <c r="D4" s="15">
        <v>8.0500000000000007</v>
      </c>
      <c r="E4" s="15">
        <v>7.21</v>
      </c>
      <c r="F4" s="15">
        <v>7.14</v>
      </c>
      <c r="G4" s="15">
        <v>7.2</v>
      </c>
      <c r="H4" s="15">
        <v>7.56</v>
      </c>
      <c r="I4" s="15">
        <v>10</v>
      </c>
      <c r="J4" s="30">
        <v>7.1</v>
      </c>
      <c r="K4" s="15">
        <v>8.7799999999999994</v>
      </c>
    </row>
    <row r="5" spans="1:11" ht="15.75" customHeight="1">
      <c r="A5" s="35">
        <v>2018120059</v>
      </c>
      <c r="B5" s="14">
        <v>4.5199999999999996</v>
      </c>
      <c r="C5" s="15">
        <v>4.87</v>
      </c>
      <c r="D5" s="15">
        <v>8.7100000000000009</v>
      </c>
      <c r="E5" s="15">
        <v>7.42</v>
      </c>
      <c r="F5" s="15">
        <v>7.24</v>
      </c>
      <c r="G5" s="15">
        <v>8.57</v>
      </c>
      <c r="H5" s="15">
        <v>6.44</v>
      </c>
      <c r="I5" s="15" t="e">
        <v>#DIV/0!</v>
      </c>
      <c r="J5" s="30">
        <v>6.77</v>
      </c>
      <c r="K5" s="15">
        <v>6.44</v>
      </c>
    </row>
    <row r="6" spans="1:11" ht="15.75" customHeight="1">
      <c r="A6" s="16">
        <v>2018120062</v>
      </c>
      <c r="B6" s="17">
        <v>5.52</v>
      </c>
      <c r="C6" s="18">
        <v>5</v>
      </c>
      <c r="D6" s="18">
        <v>8.0500000000000007</v>
      </c>
      <c r="E6" s="18">
        <v>8</v>
      </c>
      <c r="F6" s="18">
        <v>7.81</v>
      </c>
      <c r="G6" s="18">
        <v>7.95</v>
      </c>
      <c r="H6" s="18">
        <v>8.5</v>
      </c>
      <c r="I6" s="18">
        <v>9.94</v>
      </c>
      <c r="J6" s="19">
        <v>7.43</v>
      </c>
      <c r="K6" s="18">
        <v>9.2200000000000006</v>
      </c>
    </row>
    <row r="7" spans="1:11" ht="15.75" customHeight="1">
      <c r="A7" s="31">
        <v>2019120001</v>
      </c>
      <c r="B7" s="14">
        <v>9.85</v>
      </c>
      <c r="C7" s="15">
        <v>9.75</v>
      </c>
      <c r="D7" s="15">
        <v>10</v>
      </c>
      <c r="E7" s="15">
        <v>9.4700000000000006</v>
      </c>
      <c r="F7" s="15">
        <v>9.6199999999999992</v>
      </c>
      <c r="G7" s="15">
        <v>10</v>
      </c>
      <c r="H7" s="15">
        <v>9.81</v>
      </c>
      <c r="I7" s="15">
        <v>10</v>
      </c>
      <c r="J7" s="30">
        <v>9.81</v>
      </c>
      <c r="K7" s="15">
        <v>9.91</v>
      </c>
    </row>
    <row r="8" spans="1:11" ht="15.75" customHeight="1">
      <c r="A8" s="35">
        <v>2019120002</v>
      </c>
      <c r="B8" s="14">
        <v>9.4</v>
      </c>
      <c r="C8" s="15">
        <v>9.4499999999999993</v>
      </c>
      <c r="D8" s="15">
        <v>10</v>
      </c>
      <c r="E8" s="15">
        <v>9.11</v>
      </c>
      <c r="F8" s="15">
        <v>8.86</v>
      </c>
      <c r="G8" s="15">
        <v>9.86</v>
      </c>
      <c r="H8" s="15">
        <v>9.3800000000000008</v>
      </c>
      <c r="I8" s="15">
        <v>9.6300000000000008</v>
      </c>
      <c r="J8" s="30">
        <v>9.4600000000000009</v>
      </c>
      <c r="K8" s="15">
        <v>9.5</v>
      </c>
    </row>
    <row r="9" spans="1:11" ht="15.75" customHeight="1">
      <c r="A9" s="35">
        <v>2019120003</v>
      </c>
      <c r="B9" s="14">
        <v>9.9499999999999993</v>
      </c>
      <c r="C9" s="15">
        <v>10</v>
      </c>
      <c r="D9" s="15">
        <v>9.81</v>
      </c>
      <c r="E9" s="15">
        <v>9.32</v>
      </c>
      <c r="F9" s="15">
        <v>9.0500000000000007</v>
      </c>
      <c r="G9" s="15">
        <v>9.8000000000000007</v>
      </c>
      <c r="H9" s="15">
        <v>9.81</v>
      </c>
      <c r="I9" s="15">
        <v>10</v>
      </c>
      <c r="J9" s="30">
        <v>9.7100000000000009</v>
      </c>
      <c r="K9" s="15">
        <v>9.91</v>
      </c>
    </row>
    <row r="10" spans="1:11" ht="15.75" customHeight="1">
      <c r="A10" s="16">
        <v>2019120004</v>
      </c>
      <c r="B10" s="17">
        <v>7.2</v>
      </c>
      <c r="C10" s="18">
        <v>8.0500000000000007</v>
      </c>
      <c r="D10" s="18">
        <v>9.81</v>
      </c>
      <c r="E10" s="18">
        <v>8.4700000000000006</v>
      </c>
      <c r="F10" s="18">
        <v>8.86</v>
      </c>
      <c r="G10" s="18">
        <v>8.4</v>
      </c>
      <c r="H10" s="18">
        <v>7.56</v>
      </c>
      <c r="I10" s="18">
        <v>10</v>
      </c>
      <c r="J10" s="19">
        <v>8.5399999999999991</v>
      </c>
      <c r="K10" s="18">
        <v>8.7799999999999994</v>
      </c>
    </row>
    <row r="11" spans="1:11" ht="15.75" customHeight="1">
      <c r="A11" s="31">
        <v>2019120005</v>
      </c>
      <c r="B11" s="14">
        <v>7.8</v>
      </c>
      <c r="C11" s="15">
        <v>8.5</v>
      </c>
      <c r="D11" s="15">
        <v>9.81</v>
      </c>
      <c r="E11" s="15">
        <v>9.26</v>
      </c>
      <c r="F11" s="15">
        <v>8.48</v>
      </c>
      <c r="G11" s="15">
        <v>7.43</v>
      </c>
      <c r="H11" s="15">
        <v>8.19</v>
      </c>
      <c r="I11" s="15">
        <v>7.94</v>
      </c>
      <c r="J11" s="30">
        <v>8.44</v>
      </c>
      <c r="K11" s="15">
        <v>8.06</v>
      </c>
    </row>
    <row r="12" spans="1:11" ht="15.75" customHeight="1">
      <c r="A12" s="35">
        <v>2019120006</v>
      </c>
      <c r="B12" s="14">
        <v>8.9</v>
      </c>
      <c r="C12" s="15">
        <v>9.8000000000000007</v>
      </c>
      <c r="D12" s="15">
        <v>9.6199999999999992</v>
      </c>
      <c r="E12" s="15">
        <v>9.32</v>
      </c>
      <c r="F12" s="15">
        <v>8.86</v>
      </c>
      <c r="G12" s="15">
        <v>8.8000000000000007</v>
      </c>
      <c r="H12" s="15">
        <v>8.75</v>
      </c>
      <c r="I12" s="15">
        <v>9.94</v>
      </c>
      <c r="J12" s="30">
        <v>9.24</v>
      </c>
      <c r="K12" s="15">
        <v>9.34</v>
      </c>
    </row>
    <row r="13" spans="1:11" ht="15.75" customHeight="1">
      <c r="A13" s="35">
        <v>2019120007</v>
      </c>
      <c r="B13" s="14">
        <v>7.1</v>
      </c>
      <c r="C13" s="15">
        <v>8.0500000000000007</v>
      </c>
      <c r="D13" s="15">
        <v>8.6199999999999992</v>
      </c>
      <c r="E13" s="15">
        <v>7.26</v>
      </c>
      <c r="F13" s="15">
        <v>6.19</v>
      </c>
      <c r="G13" s="15">
        <v>5.35</v>
      </c>
      <c r="H13" s="15">
        <v>6.31</v>
      </c>
      <c r="I13" s="15">
        <v>10</v>
      </c>
      <c r="J13" s="30">
        <v>7.32</v>
      </c>
      <c r="K13" s="15">
        <v>8.16</v>
      </c>
    </row>
    <row r="14" spans="1:11" ht="15.75" customHeight="1">
      <c r="A14" s="16">
        <v>2019120008</v>
      </c>
      <c r="B14" s="17">
        <v>6.65</v>
      </c>
      <c r="C14" s="18">
        <v>7.45</v>
      </c>
      <c r="D14" s="18">
        <v>9.7100000000000009</v>
      </c>
      <c r="E14" s="18">
        <v>9.26</v>
      </c>
      <c r="F14" s="18">
        <v>8.76</v>
      </c>
      <c r="G14" s="18">
        <v>9.57</v>
      </c>
      <c r="H14" s="18">
        <v>7.38</v>
      </c>
      <c r="I14" s="18">
        <v>7.75</v>
      </c>
      <c r="J14" s="19">
        <v>8.3699999999999992</v>
      </c>
      <c r="K14" s="18">
        <v>7.56</v>
      </c>
    </row>
    <row r="15" spans="1:11" ht="15.75" customHeight="1">
      <c r="A15" s="31">
        <v>2019120009</v>
      </c>
      <c r="B15" s="14">
        <v>8.25</v>
      </c>
      <c r="C15" s="15">
        <v>8.6</v>
      </c>
      <c r="D15" s="15">
        <v>9.24</v>
      </c>
      <c r="E15" s="15">
        <v>8.74</v>
      </c>
      <c r="F15" s="15">
        <v>9.24</v>
      </c>
      <c r="G15" s="15">
        <v>9.57</v>
      </c>
      <c r="H15" s="15">
        <v>8.69</v>
      </c>
      <c r="I15" s="15">
        <v>9.81</v>
      </c>
      <c r="J15" s="30">
        <v>9.01</v>
      </c>
      <c r="K15" s="15">
        <v>9.25</v>
      </c>
    </row>
    <row r="16" spans="1:11" ht="15.75" customHeight="1">
      <c r="A16" s="35">
        <v>2019120010</v>
      </c>
      <c r="B16" s="14">
        <v>8.25</v>
      </c>
      <c r="C16" s="15">
        <v>8.8000000000000007</v>
      </c>
      <c r="D16" s="15">
        <v>8.86</v>
      </c>
      <c r="E16" s="15">
        <v>8.32</v>
      </c>
      <c r="F16" s="15">
        <v>8.3800000000000008</v>
      </c>
      <c r="G16" s="15">
        <v>8.0500000000000007</v>
      </c>
      <c r="H16" s="15">
        <v>7.56</v>
      </c>
      <c r="I16" s="15">
        <v>10</v>
      </c>
      <c r="J16" s="30">
        <v>8.52</v>
      </c>
      <c r="K16" s="15">
        <v>8.7799999999999994</v>
      </c>
    </row>
    <row r="17" spans="1:11" ht="15.75" customHeight="1">
      <c r="A17" s="35">
        <v>2019120011</v>
      </c>
      <c r="B17" s="14">
        <v>7.85</v>
      </c>
      <c r="C17" s="15">
        <v>8.35</v>
      </c>
      <c r="D17" s="15">
        <v>9.6199999999999992</v>
      </c>
      <c r="E17" s="15">
        <v>8.0500000000000007</v>
      </c>
      <c r="F17" s="15">
        <v>8.86</v>
      </c>
      <c r="G17" s="15">
        <v>9.43</v>
      </c>
      <c r="H17" s="15">
        <v>7.94</v>
      </c>
      <c r="I17" s="15">
        <v>8.69</v>
      </c>
      <c r="J17" s="30">
        <v>8.6300000000000008</v>
      </c>
      <c r="K17" s="15">
        <v>8.31</v>
      </c>
    </row>
    <row r="18" spans="1:11" ht="15.75" customHeight="1">
      <c r="A18" s="16">
        <v>2019120012</v>
      </c>
      <c r="B18" s="17">
        <v>9</v>
      </c>
      <c r="C18" s="18">
        <v>9.85</v>
      </c>
      <c r="D18" s="18">
        <v>9.81</v>
      </c>
      <c r="E18" s="18">
        <v>9.11</v>
      </c>
      <c r="F18" s="18">
        <v>8.2899999999999991</v>
      </c>
      <c r="G18" s="18">
        <v>9.25</v>
      </c>
      <c r="H18" s="18">
        <v>8.06</v>
      </c>
      <c r="I18" s="18">
        <v>9.94</v>
      </c>
      <c r="J18" s="19">
        <v>9.17</v>
      </c>
      <c r="K18" s="18">
        <v>9</v>
      </c>
    </row>
    <row r="19" spans="1:11" ht="15.75" customHeight="1">
      <c r="A19" s="31">
        <v>2019120013</v>
      </c>
      <c r="B19" s="14">
        <v>8.35</v>
      </c>
      <c r="C19" s="15">
        <v>8.9499999999999993</v>
      </c>
      <c r="D19" s="15">
        <v>9.43</v>
      </c>
      <c r="E19" s="15">
        <v>8.7899999999999991</v>
      </c>
      <c r="F19" s="15">
        <v>9.0500000000000007</v>
      </c>
      <c r="G19" s="15">
        <v>9.2899999999999991</v>
      </c>
      <c r="H19" s="15">
        <v>7.38</v>
      </c>
      <c r="I19" s="25">
        <v>8.06</v>
      </c>
      <c r="J19" s="30">
        <v>8.7200000000000006</v>
      </c>
      <c r="K19" s="15">
        <v>7.72</v>
      </c>
    </row>
    <row r="20" spans="1:11" ht="15.75" customHeight="1">
      <c r="A20" s="35">
        <v>2019120014</v>
      </c>
      <c r="B20" s="14">
        <v>7.95</v>
      </c>
      <c r="C20" s="15">
        <v>9</v>
      </c>
      <c r="D20" s="15">
        <v>9.14</v>
      </c>
      <c r="E20" s="15">
        <v>8.2100000000000009</v>
      </c>
      <c r="F20" s="15">
        <v>7.9</v>
      </c>
      <c r="G20" s="15">
        <v>7.75</v>
      </c>
      <c r="H20" s="15">
        <v>8.25</v>
      </c>
      <c r="I20" s="15">
        <v>10</v>
      </c>
      <c r="J20" s="30">
        <v>8.5</v>
      </c>
      <c r="K20" s="15">
        <v>9.1300000000000008</v>
      </c>
    </row>
    <row r="21" spans="1:11" ht="15.75" customHeight="1">
      <c r="A21" s="35">
        <v>2019120015</v>
      </c>
      <c r="B21" s="14">
        <v>8.1999999999999993</v>
      </c>
      <c r="C21" s="15">
        <v>8.75</v>
      </c>
      <c r="D21" s="15">
        <v>9.33</v>
      </c>
      <c r="E21" s="15">
        <v>8.7899999999999991</v>
      </c>
      <c r="F21" s="15">
        <v>8.67</v>
      </c>
      <c r="G21" s="15">
        <v>9.43</v>
      </c>
      <c r="H21" s="15">
        <v>7.94</v>
      </c>
      <c r="I21" s="15">
        <v>7.56</v>
      </c>
      <c r="J21" s="30">
        <v>8.64</v>
      </c>
      <c r="K21" s="15">
        <v>7.75</v>
      </c>
    </row>
    <row r="22" spans="1:11" ht="15.75" customHeight="1">
      <c r="A22" s="16">
        <v>2019120016</v>
      </c>
      <c r="B22" s="17">
        <v>7.9</v>
      </c>
      <c r="C22" s="18">
        <v>8.4</v>
      </c>
      <c r="D22" s="18">
        <v>9.43</v>
      </c>
      <c r="E22" s="18">
        <v>8.68</v>
      </c>
      <c r="F22" s="18">
        <v>8.67</v>
      </c>
      <c r="G22" s="18">
        <v>8.5</v>
      </c>
      <c r="H22" s="18">
        <v>9.19</v>
      </c>
      <c r="I22" s="18">
        <v>10</v>
      </c>
      <c r="J22" s="19">
        <v>8.81</v>
      </c>
      <c r="K22" s="18">
        <v>9.59</v>
      </c>
    </row>
    <row r="23" spans="1:11" ht="15.75" customHeight="1">
      <c r="A23" s="31">
        <v>2019120017</v>
      </c>
      <c r="B23" s="14">
        <v>7.4</v>
      </c>
      <c r="C23" s="15">
        <v>8.75</v>
      </c>
      <c r="D23" s="15">
        <v>9.6199999999999992</v>
      </c>
      <c r="E23" s="15">
        <v>8.4700000000000006</v>
      </c>
      <c r="F23" s="15">
        <v>8.76</v>
      </c>
      <c r="G23" s="15">
        <v>9.57</v>
      </c>
      <c r="H23" s="15">
        <v>8.44</v>
      </c>
      <c r="I23" s="15">
        <v>9.81</v>
      </c>
      <c r="J23" s="30">
        <v>8.85</v>
      </c>
      <c r="K23" s="15">
        <v>9.1300000000000008</v>
      </c>
    </row>
    <row r="24" spans="1:11" ht="15.75" customHeight="1">
      <c r="A24" s="35">
        <v>2019120018</v>
      </c>
      <c r="B24" s="14">
        <v>9.75</v>
      </c>
      <c r="C24" s="15">
        <v>9.6999999999999993</v>
      </c>
      <c r="D24" s="15">
        <v>10</v>
      </c>
      <c r="E24" s="15">
        <v>8.84</v>
      </c>
      <c r="F24" s="15">
        <v>9.81</v>
      </c>
      <c r="G24" s="15">
        <v>9.86</v>
      </c>
      <c r="H24" s="15">
        <v>10</v>
      </c>
      <c r="I24" s="15">
        <v>9.6300000000000008</v>
      </c>
      <c r="J24" s="30">
        <v>9.6999999999999993</v>
      </c>
      <c r="K24" s="15">
        <v>9.81</v>
      </c>
    </row>
    <row r="25" spans="1:11" ht="15.75" customHeight="1">
      <c r="A25" s="35">
        <v>2019120019</v>
      </c>
      <c r="B25" s="14">
        <v>8.4</v>
      </c>
      <c r="C25" s="15">
        <v>8.4</v>
      </c>
      <c r="D25" s="15">
        <v>9.6199999999999992</v>
      </c>
      <c r="E25" s="15">
        <v>8.7899999999999991</v>
      </c>
      <c r="F25" s="15">
        <v>9.24</v>
      </c>
      <c r="G25" s="15">
        <v>8.85</v>
      </c>
      <c r="H25" s="15">
        <v>9</v>
      </c>
      <c r="I25" s="15">
        <v>9.06</v>
      </c>
      <c r="J25" s="30">
        <v>8.92</v>
      </c>
      <c r="K25" s="15">
        <v>9.0299999999999994</v>
      </c>
    </row>
    <row r="26" spans="1:11" ht="15">
      <c r="A26" s="16">
        <v>2019120020</v>
      </c>
      <c r="B26" s="17">
        <v>7.25</v>
      </c>
      <c r="C26" s="18">
        <v>8.15</v>
      </c>
      <c r="D26" s="18">
        <v>9.6199999999999992</v>
      </c>
      <c r="E26" s="18">
        <v>8.58</v>
      </c>
      <c r="F26" s="18">
        <v>8.19</v>
      </c>
      <c r="G26" s="18">
        <v>6.86</v>
      </c>
      <c r="H26" s="18">
        <v>7.88</v>
      </c>
      <c r="I26" s="18">
        <v>8.8800000000000008</v>
      </c>
      <c r="J26" s="19">
        <v>8.16</v>
      </c>
      <c r="K26" s="18">
        <v>8.3800000000000008</v>
      </c>
    </row>
    <row r="27" spans="1:11" ht="15">
      <c r="A27" s="31">
        <v>2019120021</v>
      </c>
      <c r="B27" s="14">
        <v>6.55</v>
      </c>
      <c r="C27" s="15">
        <v>6.5</v>
      </c>
      <c r="D27" s="15">
        <v>9.81</v>
      </c>
      <c r="E27" s="15">
        <v>8.89</v>
      </c>
      <c r="F27" s="15">
        <v>8.76</v>
      </c>
      <c r="G27" s="15">
        <v>9.2899999999999991</v>
      </c>
      <c r="H27" s="15">
        <v>6.44</v>
      </c>
      <c r="I27" s="15">
        <v>7.69</v>
      </c>
      <c r="J27" s="30">
        <v>8.06</v>
      </c>
      <c r="K27" s="15">
        <v>7.06</v>
      </c>
    </row>
    <row r="28" spans="1:11" ht="15">
      <c r="A28" s="35">
        <v>2019120022</v>
      </c>
      <c r="B28" s="14">
        <v>8.85</v>
      </c>
      <c r="C28" s="15">
        <v>8.8000000000000007</v>
      </c>
      <c r="D28" s="15">
        <v>9.48</v>
      </c>
      <c r="E28" s="15">
        <v>8.11</v>
      </c>
      <c r="F28" s="15">
        <v>8.1</v>
      </c>
      <c r="G28" s="15">
        <v>9</v>
      </c>
      <c r="H28" s="15">
        <v>8.56</v>
      </c>
      <c r="I28" s="15">
        <v>9.56</v>
      </c>
      <c r="J28" s="30">
        <v>8.8000000000000007</v>
      </c>
      <c r="K28" s="15">
        <v>9.06</v>
      </c>
    </row>
    <row r="29" spans="1:11" ht="15">
      <c r="A29" s="35">
        <v>2019120023</v>
      </c>
      <c r="B29" s="14">
        <v>8</v>
      </c>
      <c r="C29" s="15">
        <v>8.9</v>
      </c>
      <c r="D29" s="15">
        <v>9.33</v>
      </c>
      <c r="E29" s="15">
        <v>8.58</v>
      </c>
      <c r="F29" s="15">
        <v>8.67</v>
      </c>
      <c r="G29" s="15">
        <v>9.57</v>
      </c>
      <c r="H29" s="15">
        <v>9.06</v>
      </c>
      <c r="I29" s="15">
        <v>9.25</v>
      </c>
      <c r="J29" s="30">
        <v>8.92</v>
      </c>
      <c r="K29" s="15">
        <v>9.16</v>
      </c>
    </row>
    <row r="30" spans="1:11" ht="15">
      <c r="A30" s="16">
        <v>2019120024</v>
      </c>
      <c r="B30" s="17">
        <v>9.5500000000000007</v>
      </c>
      <c r="C30" s="18">
        <v>9.3000000000000007</v>
      </c>
      <c r="D30" s="18">
        <v>10</v>
      </c>
      <c r="E30" s="18">
        <v>8.7899999999999991</v>
      </c>
      <c r="F30" s="18">
        <v>9.7100000000000009</v>
      </c>
      <c r="G30" s="18">
        <v>9.86</v>
      </c>
      <c r="H30" s="18">
        <v>8.69</v>
      </c>
      <c r="I30" s="18">
        <v>10</v>
      </c>
      <c r="J30" s="19">
        <v>9.51</v>
      </c>
      <c r="K30" s="18">
        <v>9.34</v>
      </c>
    </row>
    <row r="31" spans="1:11" ht="15">
      <c r="A31" s="31">
        <v>2019120025</v>
      </c>
      <c r="B31" s="14">
        <v>9.8000000000000007</v>
      </c>
      <c r="C31" s="15">
        <v>9.85</v>
      </c>
      <c r="D31" s="15">
        <v>9.81</v>
      </c>
      <c r="E31" s="15">
        <v>9.42</v>
      </c>
      <c r="F31" s="15">
        <v>9.24</v>
      </c>
      <c r="G31" s="15">
        <v>9.7100000000000009</v>
      </c>
      <c r="H31" s="15">
        <v>8.1300000000000008</v>
      </c>
      <c r="I31" s="15">
        <v>9.25</v>
      </c>
      <c r="J31" s="30">
        <v>9.44</v>
      </c>
      <c r="K31" s="15">
        <v>8.69</v>
      </c>
    </row>
    <row r="32" spans="1:11" ht="15">
      <c r="A32" s="35">
        <v>2019120026</v>
      </c>
      <c r="B32" s="14" t="e">
        <v>#DIV/0!</v>
      </c>
      <c r="C32" s="15" t="e">
        <v>#DIV/0!</v>
      </c>
      <c r="D32" s="15" t="e">
        <v>#DIV/0!</v>
      </c>
      <c r="E32" s="15" t="e">
        <v>#DIV/0!</v>
      </c>
      <c r="F32" s="15" t="e">
        <v>#DIV/0!</v>
      </c>
      <c r="G32" s="15" t="e">
        <v>#DIV/0!</v>
      </c>
      <c r="H32" s="15" t="e">
        <v>#DIV/0!</v>
      </c>
      <c r="I32" s="15" t="e">
        <v>#DIV/0!</v>
      </c>
      <c r="J32" s="30" t="e">
        <v>#DIV/0!</v>
      </c>
      <c r="K32" s="15" t="e">
        <v>#DIV/0!</v>
      </c>
    </row>
    <row r="33" spans="1:11" ht="15">
      <c r="A33" s="35">
        <v>2019120027</v>
      </c>
      <c r="B33" s="14">
        <v>9.35</v>
      </c>
      <c r="C33" s="15">
        <v>9.5500000000000007</v>
      </c>
      <c r="D33" s="15">
        <v>10</v>
      </c>
      <c r="E33" s="15">
        <v>9.84</v>
      </c>
      <c r="F33" s="15">
        <v>9.52</v>
      </c>
      <c r="G33" s="15">
        <v>10</v>
      </c>
      <c r="H33" s="15">
        <v>9.81</v>
      </c>
      <c r="I33" s="15">
        <v>10</v>
      </c>
      <c r="J33" s="30">
        <v>9.75</v>
      </c>
      <c r="K33" s="15">
        <v>9.91</v>
      </c>
    </row>
    <row r="34" spans="1:11" ht="15">
      <c r="A34" s="16">
        <v>2019120028</v>
      </c>
      <c r="B34" s="17">
        <v>6.65</v>
      </c>
      <c r="C34" s="18">
        <v>6.75</v>
      </c>
      <c r="D34" s="18">
        <v>8.9</v>
      </c>
      <c r="E34" s="18">
        <v>8.32</v>
      </c>
      <c r="F34" s="18">
        <v>8.1</v>
      </c>
      <c r="G34" s="18">
        <v>7.55</v>
      </c>
      <c r="H34" s="18">
        <v>7.94</v>
      </c>
      <c r="I34" s="18" t="e">
        <v>#DIV/0!</v>
      </c>
      <c r="J34" s="19">
        <v>7.74</v>
      </c>
      <c r="K34" s="18">
        <v>7.94</v>
      </c>
    </row>
    <row r="35" spans="1:11" ht="15">
      <c r="A35" s="31">
        <v>2019120029</v>
      </c>
      <c r="B35" s="14">
        <v>7.25</v>
      </c>
      <c r="C35" s="15">
        <v>8.5</v>
      </c>
      <c r="D35" s="15">
        <v>8.86</v>
      </c>
      <c r="E35" s="15">
        <v>8.0500000000000007</v>
      </c>
      <c r="F35" s="15">
        <v>7.43</v>
      </c>
      <c r="G35" s="15">
        <v>7.8</v>
      </c>
      <c r="H35" s="15">
        <v>9.06</v>
      </c>
      <c r="I35" s="15">
        <v>9.06</v>
      </c>
      <c r="J35" s="30">
        <v>8.2100000000000009</v>
      </c>
      <c r="K35" s="15">
        <v>9.06</v>
      </c>
    </row>
    <row r="36" spans="1:11" ht="15">
      <c r="A36" s="35">
        <v>2019120030</v>
      </c>
      <c r="B36" s="14">
        <v>9.0500000000000007</v>
      </c>
      <c r="C36" s="15">
        <v>9.6999999999999993</v>
      </c>
      <c r="D36" s="15">
        <v>9.6199999999999992</v>
      </c>
      <c r="E36" s="15">
        <v>8.9499999999999993</v>
      </c>
      <c r="F36" s="15">
        <v>9.43</v>
      </c>
      <c r="G36" s="15">
        <v>9.6</v>
      </c>
      <c r="H36" s="15">
        <v>8.94</v>
      </c>
      <c r="I36" s="15" t="e">
        <v>#DIV/0!</v>
      </c>
      <c r="J36" s="30">
        <v>9.34</v>
      </c>
      <c r="K36" s="15">
        <v>8.94</v>
      </c>
    </row>
    <row r="37" spans="1:11" ht="15">
      <c r="A37" s="35">
        <v>2019120031</v>
      </c>
      <c r="B37" s="14">
        <v>7.6</v>
      </c>
      <c r="C37" s="15">
        <v>7.9</v>
      </c>
      <c r="D37" s="15">
        <v>9.43</v>
      </c>
      <c r="E37" s="15">
        <v>8.58</v>
      </c>
      <c r="F37" s="15">
        <v>8.3800000000000008</v>
      </c>
      <c r="G37" s="15">
        <v>8.5</v>
      </c>
      <c r="H37" s="15">
        <v>9.06</v>
      </c>
      <c r="I37" s="15">
        <v>10</v>
      </c>
      <c r="J37" s="30">
        <v>8.64</v>
      </c>
      <c r="K37" s="15">
        <v>9.5299999999999994</v>
      </c>
    </row>
    <row r="38" spans="1:11" ht="15">
      <c r="A38" s="16">
        <v>2019120032</v>
      </c>
      <c r="B38" s="17">
        <v>7.4</v>
      </c>
      <c r="C38" s="18">
        <v>8.35</v>
      </c>
      <c r="D38" s="18">
        <v>9.81</v>
      </c>
      <c r="E38" s="18">
        <v>9.0500000000000007</v>
      </c>
      <c r="F38" s="18">
        <v>9.0500000000000007</v>
      </c>
      <c r="G38" s="18">
        <v>9.14</v>
      </c>
      <c r="H38" s="18">
        <v>7.19</v>
      </c>
      <c r="I38" s="18">
        <v>8.69</v>
      </c>
      <c r="J38" s="19">
        <v>8.6300000000000008</v>
      </c>
      <c r="K38" s="18">
        <v>7.94</v>
      </c>
    </row>
    <row r="39" spans="1:11" ht="15">
      <c r="A39" s="31">
        <v>2019120033</v>
      </c>
      <c r="B39" s="14">
        <v>8.25</v>
      </c>
      <c r="C39" s="15">
        <v>9.1999999999999993</v>
      </c>
      <c r="D39" s="15">
        <v>9.9</v>
      </c>
      <c r="E39" s="15">
        <v>9.11</v>
      </c>
      <c r="F39" s="15">
        <v>9.6199999999999992</v>
      </c>
      <c r="G39" s="15">
        <v>9.7100000000000009</v>
      </c>
      <c r="H39" s="15">
        <v>8.31</v>
      </c>
      <c r="I39" s="15">
        <v>8.69</v>
      </c>
      <c r="J39" s="30">
        <v>9.14</v>
      </c>
      <c r="K39" s="15">
        <v>8.5</v>
      </c>
    </row>
    <row r="40" spans="1:11" ht="15">
      <c r="A40" s="35">
        <v>2019120034</v>
      </c>
      <c r="B40" s="14">
        <v>7.45</v>
      </c>
      <c r="C40" s="15">
        <v>8.65</v>
      </c>
      <c r="D40" s="15">
        <v>9.9</v>
      </c>
      <c r="E40" s="15">
        <v>9.42</v>
      </c>
      <c r="F40" s="15">
        <v>9.24</v>
      </c>
      <c r="G40" s="15">
        <v>9.57</v>
      </c>
      <c r="H40" s="15">
        <v>9.25</v>
      </c>
      <c r="I40" s="15">
        <v>9.44</v>
      </c>
      <c r="J40" s="30">
        <v>9.11</v>
      </c>
      <c r="K40" s="15">
        <v>9.34</v>
      </c>
    </row>
    <row r="41" spans="1:11" ht="15">
      <c r="A41" s="35">
        <v>2019120035</v>
      </c>
      <c r="B41" s="14">
        <v>7.45</v>
      </c>
      <c r="C41" s="15">
        <v>7.7</v>
      </c>
      <c r="D41" s="15">
        <v>8.86</v>
      </c>
      <c r="E41" s="15">
        <v>7.68</v>
      </c>
      <c r="F41" s="15">
        <v>8.57</v>
      </c>
      <c r="G41" s="15">
        <v>7.4</v>
      </c>
      <c r="H41" s="15">
        <v>7.56</v>
      </c>
      <c r="I41" s="15">
        <v>9.06</v>
      </c>
      <c r="J41" s="30">
        <v>8.0299999999999994</v>
      </c>
      <c r="K41" s="15">
        <v>8.31</v>
      </c>
    </row>
    <row r="42" spans="1:11" ht="15">
      <c r="A42" s="16">
        <v>2019120036</v>
      </c>
      <c r="B42" s="17" t="e">
        <v>#DIV/0!</v>
      </c>
      <c r="C42" s="18" t="e">
        <v>#DIV/0!</v>
      </c>
      <c r="D42" s="18" t="e">
        <v>#DIV/0!</v>
      </c>
      <c r="E42" s="18" t="e">
        <v>#DIV/0!</v>
      </c>
      <c r="F42" s="18" t="e">
        <v>#DIV/0!</v>
      </c>
      <c r="G42" s="18" t="e">
        <v>#DIV/0!</v>
      </c>
      <c r="H42" s="18" t="e">
        <v>#DIV/0!</v>
      </c>
      <c r="I42" s="18" t="e">
        <v>#DIV/0!</v>
      </c>
      <c r="J42" s="19" t="e">
        <v>#DIV/0!</v>
      </c>
      <c r="K42" s="18" t="e">
        <v>#DIV/0!</v>
      </c>
    </row>
    <row r="43" spans="1:11" ht="15">
      <c r="A43" s="31">
        <v>2019120037</v>
      </c>
      <c r="B43" s="14">
        <v>7.7</v>
      </c>
      <c r="C43" s="15">
        <v>8.25</v>
      </c>
      <c r="D43" s="15">
        <v>9.24</v>
      </c>
      <c r="E43" s="15">
        <v>8.6300000000000008</v>
      </c>
      <c r="F43" s="15">
        <v>9.14</v>
      </c>
      <c r="G43" s="15">
        <v>9.86</v>
      </c>
      <c r="H43" s="15">
        <v>7.94</v>
      </c>
      <c r="I43" s="15">
        <v>9.44</v>
      </c>
      <c r="J43" s="30">
        <v>8.7899999999999991</v>
      </c>
      <c r="K43" s="15">
        <v>8.69</v>
      </c>
    </row>
    <row r="44" spans="1:11" ht="15">
      <c r="A44" s="35">
        <v>2019120038</v>
      </c>
      <c r="B44" s="14">
        <v>8.4499999999999993</v>
      </c>
      <c r="C44" s="15">
        <v>9.0500000000000007</v>
      </c>
      <c r="D44" s="15">
        <v>9.43</v>
      </c>
      <c r="E44" s="15">
        <v>8.7899999999999991</v>
      </c>
      <c r="F44" s="15">
        <v>8.57</v>
      </c>
      <c r="G44" s="15">
        <v>9.57</v>
      </c>
      <c r="H44" s="15">
        <v>8.1300000000000008</v>
      </c>
      <c r="I44" s="15">
        <v>8.8800000000000008</v>
      </c>
      <c r="J44" s="30">
        <v>8.8800000000000008</v>
      </c>
      <c r="K44" s="15">
        <v>8.5</v>
      </c>
    </row>
    <row r="45" spans="1:11" ht="15">
      <c r="A45" s="35">
        <v>2019120039</v>
      </c>
      <c r="B45" s="14">
        <v>7.35</v>
      </c>
      <c r="C45" s="15">
        <v>7.95</v>
      </c>
      <c r="D45" s="15">
        <v>9.2899999999999991</v>
      </c>
      <c r="E45" s="15">
        <v>8.4700000000000006</v>
      </c>
      <c r="F45" s="15">
        <v>8.67</v>
      </c>
      <c r="G45" s="15">
        <v>8.86</v>
      </c>
      <c r="H45" s="15">
        <v>7.56</v>
      </c>
      <c r="I45" s="15">
        <v>8.31</v>
      </c>
      <c r="J45" s="30">
        <v>8.34</v>
      </c>
      <c r="K45" s="15">
        <v>7.94</v>
      </c>
    </row>
    <row r="46" spans="1:11" ht="15">
      <c r="A46" s="16">
        <v>2019120040</v>
      </c>
      <c r="B46" s="17">
        <v>8.6</v>
      </c>
      <c r="C46" s="18">
        <v>9.15</v>
      </c>
      <c r="D46" s="18">
        <v>9.81</v>
      </c>
      <c r="E46" s="18">
        <v>8.68</v>
      </c>
      <c r="F46" s="18">
        <v>8.86</v>
      </c>
      <c r="G46" s="18">
        <v>9.86</v>
      </c>
      <c r="H46" s="18">
        <v>8.5</v>
      </c>
      <c r="I46" s="18">
        <v>9.44</v>
      </c>
      <c r="J46" s="19">
        <v>9.1300000000000008</v>
      </c>
      <c r="K46" s="18">
        <v>8.9700000000000006</v>
      </c>
    </row>
    <row r="47" spans="1:11" ht="15">
      <c r="A47" s="31">
        <v>2019120041</v>
      </c>
      <c r="B47" s="14">
        <v>9</v>
      </c>
      <c r="C47" s="15">
        <v>9.5500000000000007</v>
      </c>
      <c r="D47" s="15">
        <v>9.81</v>
      </c>
      <c r="E47" s="15">
        <v>9.26</v>
      </c>
      <c r="F47" s="15">
        <v>9.43</v>
      </c>
      <c r="G47" s="15">
        <v>9.57</v>
      </c>
      <c r="H47" s="15">
        <v>9.81</v>
      </c>
      <c r="I47" s="15">
        <v>10</v>
      </c>
      <c r="J47" s="30">
        <v>9.5399999999999991</v>
      </c>
      <c r="K47" s="15">
        <v>9.91</v>
      </c>
    </row>
    <row r="48" spans="1:11" ht="15">
      <c r="A48" s="35">
        <v>2019120042</v>
      </c>
      <c r="B48" s="14">
        <v>9.1</v>
      </c>
      <c r="C48" s="15">
        <v>9.4</v>
      </c>
      <c r="D48" s="15">
        <v>9.7100000000000009</v>
      </c>
      <c r="E48" s="15">
        <v>9.42</v>
      </c>
      <c r="F48" s="15">
        <v>9.24</v>
      </c>
      <c r="G48" s="15">
        <v>9.7100000000000009</v>
      </c>
      <c r="H48" s="15">
        <v>9.06</v>
      </c>
      <c r="I48" s="15">
        <v>9.06</v>
      </c>
      <c r="J48" s="30">
        <v>9.36</v>
      </c>
      <c r="K48" s="15">
        <v>9.06</v>
      </c>
    </row>
    <row r="49" spans="1:11" ht="15">
      <c r="A49" s="35">
        <v>2019120043</v>
      </c>
      <c r="B49" s="14">
        <v>7.7</v>
      </c>
      <c r="C49" s="15">
        <v>9.1</v>
      </c>
      <c r="D49" s="15">
        <v>9.2899999999999991</v>
      </c>
      <c r="E49" s="15">
        <v>8.42</v>
      </c>
      <c r="F49" s="15">
        <v>9.0500000000000007</v>
      </c>
      <c r="G49" s="15">
        <v>9.43</v>
      </c>
      <c r="H49" s="15">
        <v>8.8800000000000008</v>
      </c>
      <c r="I49" s="15">
        <v>8.31</v>
      </c>
      <c r="J49" s="30">
        <v>8.7899999999999991</v>
      </c>
      <c r="K49" s="15">
        <v>8.59</v>
      </c>
    </row>
    <row r="50" spans="1:11" ht="15">
      <c r="A50" s="16">
        <v>2019120044</v>
      </c>
      <c r="B50" s="17">
        <v>8.65</v>
      </c>
      <c r="C50" s="18">
        <v>9.1999999999999993</v>
      </c>
      <c r="D50" s="18">
        <v>10</v>
      </c>
      <c r="E50" s="18">
        <v>9.5299999999999994</v>
      </c>
      <c r="F50" s="18">
        <v>9.81</v>
      </c>
      <c r="G50" s="18">
        <v>9.7100000000000009</v>
      </c>
      <c r="H50" s="18">
        <v>9.6300000000000008</v>
      </c>
      <c r="I50" s="18">
        <v>9.81</v>
      </c>
      <c r="J50" s="19">
        <v>9.5399999999999991</v>
      </c>
      <c r="K50" s="18">
        <v>9.7200000000000006</v>
      </c>
    </row>
    <row r="51" spans="1:11" ht="15">
      <c r="A51" s="31">
        <v>2019120045</v>
      </c>
      <c r="B51" s="14">
        <v>9.5</v>
      </c>
      <c r="C51" s="15">
        <v>9.4499999999999993</v>
      </c>
      <c r="D51" s="15">
        <v>9.57</v>
      </c>
      <c r="E51" s="15">
        <v>9</v>
      </c>
      <c r="F51" s="15">
        <v>9.43</v>
      </c>
      <c r="G51" s="15">
        <v>10</v>
      </c>
      <c r="H51" s="15">
        <v>8.8800000000000008</v>
      </c>
      <c r="I51" s="15">
        <v>8.8800000000000008</v>
      </c>
      <c r="J51" s="30">
        <v>9.3699999999999992</v>
      </c>
      <c r="K51" s="15">
        <v>8.8800000000000008</v>
      </c>
    </row>
    <row r="52" spans="1:11" ht="15">
      <c r="A52" s="35">
        <v>2019120046</v>
      </c>
      <c r="B52" s="14">
        <v>9</v>
      </c>
      <c r="C52" s="15">
        <v>8.8000000000000007</v>
      </c>
      <c r="D52" s="15">
        <v>9.6199999999999992</v>
      </c>
      <c r="E52" s="15">
        <v>8.5299999999999994</v>
      </c>
      <c r="F52" s="15">
        <v>9.43</v>
      </c>
      <c r="G52" s="15">
        <v>9.57</v>
      </c>
      <c r="H52" s="15">
        <v>7.75</v>
      </c>
      <c r="I52" s="15">
        <v>9.06</v>
      </c>
      <c r="J52" s="30">
        <v>9.01</v>
      </c>
      <c r="K52" s="15">
        <v>8.41</v>
      </c>
    </row>
    <row r="53" spans="1:11" ht="15">
      <c r="A53" s="35">
        <v>2019120047</v>
      </c>
      <c r="B53" s="14">
        <v>8.6</v>
      </c>
      <c r="C53" s="15">
        <v>9.4499999999999993</v>
      </c>
      <c r="D53" s="15">
        <v>10</v>
      </c>
      <c r="E53" s="15">
        <v>9.11</v>
      </c>
      <c r="F53" s="15">
        <v>9.6199999999999992</v>
      </c>
      <c r="G53" s="15">
        <v>9</v>
      </c>
      <c r="H53" s="15">
        <v>8.31</v>
      </c>
      <c r="I53" s="15">
        <v>9.25</v>
      </c>
      <c r="J53" s="30">
        <v>9.19</v>
      </c>
      <c r="K53" s="15">
        <v>8.7799999999999994</v>
      </c>
    </row>
    <row r="54" spans="1:11" ht="15">
      <c r="A54" s="16">
        <v>2019120048</v>
      </c>
      <c r="B54" s="17">
        <v>8.35</v>
      </c>
      <c r="C54" s="18">
        <v>8.8000000000000007</v>
      </c>
      <c r="D54" s="18">
        <v>9.81</v>
      </c>
      <c r="E54" s="18">
        <v>9.2100000000000009</v>
      </c>
      <c r="F54" s="18">
        <v>9.43</v>
      </c>
      <c r="G54" s="18">
        <v>8.9</v>
      </c>
      <c r="H54" s="18">
        <v>8.75</v>
      </c>
      <c r="I54" s="18">
        <v>9.06</v>
      </c>
      <c r="J54" s="19">
        <v>9.0500000000000007</v>
      </c>
      <c r="K54" s="18">
        <v>8.91</v>
      </c>
    </row>
    <row r="55" spans="1:11" ht="15">
      <c r="A55" s="31">
        <v>2019120049</v>
      </c>
      <c r="B55" s="14">
        <v>6.7</v>
      </c>
      <c r="C55" s="15">
        <v>7.55</v>
      </c>
      <c r="D55" s="15">
        <v>8.57</v>
      </c>
      <c r="E55" s="15">
        <v>7.95</v>
      </c>
      <c r="F55" s="15">
        <v>9.24</v>
      </c>
      <c r="G55" s="15">
        <v>7.55</v>
      </c>
      <c r="H55" s="15">
        <v>7.75</v>
      </c>
      <c r="I55" s="15">
        <v>9.06</v>
      </c>
      <c r="J55" s="30">
        <v>8.0399999999999991</v>
      </c>
      <c r="K55" s="15">
        <v>8.41</v>
      </c>
    </row>
    <row r="56" spans="1:11" ht="15">
      <c r="A56" s="35">
        <v>2019120050</v>
      </c>
      <c r="B56" s="14">
        <v>10</v>
      </c>
      <c r="C56" s="15">
        <v>10</v>
      </c>
      <c r="D56" s="15">
        <v>10</v>
      </c>
      <c r="E56" s="15">
        <v>9.4700000000000006</v>
      </c>
      <c r="F56" s="15">
        <v>9.24</v>
      </c>
      <c r="G56" s="15">
        <v>9.5</v>
      </c>
      <c r="H56" s="15">
        <v>9.25</v>
      </c>
      <c r="I56" s="15">
        <v>10</v>
      </c>
      <c r="J56" s="30">
        <v>9.69</v>
      </c>
      <c r="K56" s="15">
        <v>9.6300000000000008</v>
      </c>
    </row>
    <row r="57" spans="1:11" ht="15">
      <c r="A57" s="35">
        <v>2019120051</v>
      </c>
      <c r="B57" s="14">
        <v>6.85</v>
      </c>
      <c r="C57" s="15">
        <v>8.1999999999999993</v>
      </c>
      <c r="D57" s="15">
        <v>8.9499999999999993</v>
      </c>
      <c r="E57" s="15">
        <v>8.42</v>
      </c>
      <c r="F57" s="15">
        <v>8.2899999999999991</v>
      </c>
      <c r="G57" s="15">
        <v>7.5</v>
      </c>
      <c r="H57" s="15">
        <v>8.81</v>
      </c>
      <c r="I57" s="15">
        <v>10</v>
      </c>
      <c r="J57" s="30">
        <v>8.33</v>
      </c>
      <c r="K57" s="15">
        <v>9.41</v>
      </c>
    </row>
    <row r="58" spans="1:11" ht="15">
      <c r="A58" s="16">
        <v>2019120052</v>
      </c>
      <c r="B58" s="17">
        <v>8.4</v>
      </c>
      <c r="C58" s="18">
        <v>9.0500000000000007</v>
      </c>
      <c r="D58" s="18">
        <v>9</v>
      </c>
      <c r="E58" s="18">
        <v>8.3699999999999992</v>
      </c>
      <c r="F58" s="18">
        <v>8.48</v>
      </c>
      <c r="G58" s="18">
        <v>6.75</v>
      </c>
      <c r="H58" s="18">
        <v>7.56</v>
      </c>
      <c r="I58" s="18">
        <v>10</v>
      </c>
      <c r="J58" s="19">
        <v>8.44</v>
      </c>
      <c r="K58" s="18">
        <v>8.7799999999999994</v>
      </c>
    </row>
    <row r="59" spans="1:11" ht="15">
      <c r="A59" s="31">
        <v>2019120053</v>
      </c>
      <c r="B59" s="14">
        <v>6.1</v>
      </c>
      <c r="C59" s="15">
        <v>6.75</v>
      </c>
      <c r="D59" s="15">
        <v>9.6199999999999992</v>
      </c>
      <c r="E59" s="15">
        <v>8.4700000000000006</v>
      </c>
      <c r="F59" s="15">
        <v>8.76</v>
      </c>
      <c r="G59" s="15">
        <v>7.43</v>
      </c>
      <c r="H59" s="15">
        <v>6.25</v>
      </c>
      <c r="I59" s="15">
        <v>8.5</v>
      </c>
      <c r="J59" s="30">
        <v>7.77</v>
      </c>
      <c r="K59" s="15">
        <v>7.38</v>
      </c>
    </row>
    <row r="60" spans="1:11" ht="15">
      <c r="A60" s="35">
        <v>2019120054</v>
      </c>
      <c r="B60" s="14">
        <v>5.85</v>
      </c>
      <c r="C60" s="15">
        <v>6.5</v>
      </c>
      <c r="D60" s="15">
        <v>9.48</v>
      </c>
      <c r="E60" s="15">
        <v>8</v>
      </c>
      <c r="F60" s="15">
        <v>8.3800000000000008</v>
      </c>
      <c r="G60" s="15">
        <v>8.2899999999999991</v>
      </c>
      <c r="H60" s="15">
        <v>7.5</v>
      </c>
      <c r="I60" s="15">
        <v>7.94</v>
      </c>
      <c r="J60" s="30">
        <v>7.76</v>
      </c>
      <c r="K60" s="15">
        <v>7.72</v>
      </c>
    </row>
    <row r="61" spans="1:11" ht="15">
      <c r="A61" s="35">
        <v>2019120055</v>
      </c>
      <c r="B61" s="14">
        <v>7.6</v>
      </c>
      <c r="C61" s="15">
        <v>8.35</v>
      </c>
      <c r="D61" s="15">
        <v>9.6199999999999992</v>
      </c>
      <c r="E61" s="15">
        <v>8.74</v>
      </c>
      <c r="F61" s="15">
        <v>8.67</v>
      </c>
      <c r="G61" s="15">
        <v>7.75</v>
      </c>
      <c r="H61" s="15">
        <v>8.5</v>
      </c>
      <c r="I61" s="15">
        <v>8.1300000000000008</v>
      </c>
      <c r="J61" s="30">
        <v>8.43</v>
      </c>
      <c r="K61" s="15">
        <v>8.31</v>
      </c>
    </row>
    <row r="62" spans="1:11" ht="15">
      <c r="A62" s="16">
        <v>2019120056</v>
      </c>
      <c r="B62" s="17">
        <v>7.8</v>
      </c>
      <c r="C62" s="18">
        <v>8.35</v>
      </c>
      <c r="D62" s="18">
        <v>9.81</v>
      </c>
      <c r="E62" s="18">
        <v>9.26</v>
      </c>
      <c r="F62" s="18">
        <v>9.33</v>
      </c>
      <c r="G62" s="18">
        <v>9.7100000000000009</v>
      </c>
      <c r="H62" s="18">
        <v>7.44</v>
      </c>
      <c r="I62" s="18">
        <v>9.56</v>
      </c>
      <c r="J62" s="19">
        <v>8.94</v>
      </c>
      <c r="K62" s="18">
        <v>8.5</v>
      </c>
    </row>
    <row r="63" spans="1:11" ht="15">
      <c r="A63" s="31">
        <v>2019120057</v>
      </c>
      <c r="B63" s="14">
        <v>8</v>
      </c>
      <c r="C63" s="15">
        <v>8.15</v>
      </c>
      <c r="D63" s="15">
        <v>9.67</v>
      </c>
      <c r="E63" s="15">
        <v>8.74</v>
      </c>
      <c r="F63" s="15">
        <v>8.9499999999999993</v>
      </c>
      <c r="G63" s="15">
        <v>9.57</v>
      </c>
      <c r="H63" s="15">
        <v>8.8800000000000008</v>
      </c>
      <c r="I63" s="15">
        <v>8.1300000000000008</v>
      </c>
      <c r="J63" s="30">
        <v>8.7899999999999991</v>
      </c>
      <c r="K63" s="15">
        <v>8.5</v>
      </c>
    </row>
    <row r="64" spans="1:11" ht="15">
      <c r="A64" s="35">
        <v>2019120058</v>
      </c>
      <c r="B64" s="14">
        <v>7.35</v>
      </c>
      <c r="C64" s="15">
        <v>7.75</v>
      </c>
      <c r="D64" s="15">
        <v>9.81</v>
      </c>
      <c r="E64" s="15">
        <v>9.6300000000000008</v>
      </c>
      <c r="F64" s="15">
        <v>9.14</v>
      </c>
      <c r="G64" s="15">
        <v>9.2899999999999991</v>
      </c>
      <c r="H64" s="15">
        <v>7.75</v>
      </c>
      <c r="I64" s="15" t="e">
        <v>#DIV/0!</v>
      </c>
      <c r="J64" s="30">
        <v>8.7100000000000009</v>
      </c>
      <c r="K64" s="15">
        <v>7.75</v>
      </c>
    </row>
    <row r="65" spans="1:11" ht="15">
      <c r="A65" s="35">
        <v>2019120059</v>
      </c>
      <c r="B65" s="14">
        <v>9.15</v>
      </c>
      <c r="C65" s="15">
        <v>9.3000000000000007</v>
      </c>
      <c r="D65" s="15">
        <v>9.6199999999999992</v>
      </c>
      <c r="E65" s="15">
        <v>9.42</v>
      </c>
      <c r="F65" s="15">
        <v>9.43</v>
      </c>
      <c r="G65" s="15">
        <v>9.25</v>
      </c>
      <c r="H65" s="15">
        <v>9.81</v>
      </c>
      <c r="I65" s="15">
        <v>10</v>
      </c>
      <c r="J65" s="30">
        <v>9.48</v>
      </c>
      <c r="K65" s="15">
        <v>9.91</v>
      </c>
    </row>
    <row r="66" spans="1:11" ht="15">
      <c r="A66" s="16">
        <v>2019120060</v>
      </c>
      <c r="B66" s="17">
        <v>7.4</v>
      </c>
      <c r="C66" s="18">
        <v>8.3000000000000007</v>
      </c>
      <c r="D66" s="18">
        <v>9.81</v>
      </c>
      <c r="E66" s="18">
        <v>9.11</v>
      </c>
      <c r="F66" s="18">
        <v>9.6199999999999992</v>
      </c>
      <c r="G66" s="18">
        <v>9.86</v>
      </c>
      <c r="H66" s="18">
        <v>7.94</v>
      </c>
      <c r="I66" s="18">
        <v>9.06</v>
      </c>
      <c r="J66" s="19">
        <v>8.92</v>
      </c>
      <c r="K66" s="18">
        <v>8.5</v>
      </c>
    </row>
    <row r="67" spans="1:11" ht="15">
      <c r="A67" s="31">
        <v>2019120061</v>
      </c>
      <c r="B67" s="14">
        <v>7.1</v>
      </c>
      <c r="C67" s="15">
        <v>7.75</v>
      </c>
      <c r="D67" s="15">
        <v>8.48</v>
      </c>
      <c r="E67" s="15">
        <v>6.95</v>
      </c>
      <c r="F67" s="15">
        <v>6.19</v>
      </c>
      <c r="G67" s="15">
        <v>6.5</v>
      </c>
      <c r="H67" s="15">
        <v>7.75</v>
      </c>
      <c r="I67" s="15" t="e">
        <v>#DIV/0!</v>
      </c>
      <c r="J67" s="30">
        <v>7.23</v>
      </c>
      <c r="K67" s="15">
        <v>7.75</v>
      </c>
    </row>
    <row r="68" spans="1:11" ht="15">
      <c r="A68" s="35">
        <v>2019120062</v>
      </c>
      <c r="B68" s="14">
        <v>7.65</v>
      </c>
      <c r="C68" s="15">
        <v>8.3000000000000007</v>
      </c>
      <c r="D68" s="15">
        <v>9.52</v>
      </c>
      <c r="E68" s="15">
        <v>9</v>
      </c>
      <c r="F68" s="15">
        <v>9.43</v>
      </c>
      <c r="G68" s="15">
        <v>9.2899999999999991</v>
      </c>
      <c r="H68" s="15">
        <v>8.19</v>
      </c>
      <c r="I68" s="15">
        <v>9.06</v>
      </c>
      <c r="J68" s="30">
        <v>8.82</v>
      </c>
      <c r="K68" s="15">
        <v>8.6300000000000008</v>
      </c>
    </row>
    <row r="69" spans="1:11" ht="15">
      <c r="A69" s="35">
        <v>2019120063</v>
      </c>
      <c r="B69" s="14">
        <v>7.3</v>
      </c>
      <c r="C69" s="15">
        <v>8</v>
      </c>
      <c r="D69" s="15">
        <v>10</v>
      </c>
      <c r="E69" s="15">
        <v>9.6300000000000008</v>
      </c>
      <c r="F69" s="15">
        <v>9.14</v>
      </c>
      <c r="G69" s="15">
        <v>9.57</v>
      </c>
      <c r="H69" s="15">
        <v>7.94</v>
      </c>
      <c r="I69" s="15">
        <v>8.69</v>
      </c>
      <c r="J69" s="30">
        <v>8.82</v>
      </c>
      <c r="K69" s="15">
        <v>8.31</v>
      </c>
    </row>
    <row r="70" spans="1:11" ht="15">
      <c r="A70" s="16">
        <v>2019120064</v>
      </c>
      <c r="B70" s="17">
        <v>7.9</v>
      </c>
      <c r="C70" s="18">
        <v>8.3000000000000007</v>
      </c>
      <c r="D70" s="18">
        <v>9.7100000000000009</v>
      </c>
      <c r="E70" s="18">
        <v>8.42</v>
      </c>
      <c r="F70" s="18">
        <v>9.0500000000000007</v>
      </c>
      <c r="G70" s="18">
        <v>9.7100000000000009</v>
      </c>
      <c r="H70" s="18">
        <v>8.69</v>
      </c>
      <c r="I70" s="18">
        <v>9.25</v>
      </c>
      <c r="J70" s="19">
        <v>8.89</v>
      </c>
      <c r="K70" s="18">
        <v>8.9700000000000006</v>
      </c>
    </row>
    <row r="71" spans="1:11" ht="15">
      <c r="A71" s="31">
        <v>2019120065</v>
      </c>
      <c r="B71" s="14">
        <v>8.85</v>
      </c>
      <c r="C71" s="15">
        <v>9.4499999999999993</v>
      </c>
      <c r="D71" s="15">
        <v>9.43</v>
      </c>
      <c r="E71" s="15">
        <v>9.2100000000000009</v>
      </c>
      <c r="F71" s="15">
        <v>7.71</v>
      </c>
      <c r="G71" s="15">
        <v>8.3000000000000007</v>
      </c>
      <c r="H71" s="15">
        <v>9.44</v>
      </c>
      <c r="I71" s="15">
        <v>10</v>
      </c>
      <c r="J71" s="30">
        <v>9.01</v>
      </c>
      <c r="K71" s="15">
        <v>9.7200000000000006</v>
      </c>
    </row>
    <row r="72" spans="1:11" ht="15">
      <c r="A72" s="35">
        <v>2019120066</v>
      </c>
      <c r="B72" s="14">
        <v>6.15</v>
      </c>
      <c r="C72" s="15">
        <v>7.6</v>
      </c>
      <c r="D72" s="15">
        <v>9.14</v>
      </c>
      <c r="E72" s="15">
        <v>7.89</v>
      </c>
      <c r="F72" s="15">
        <v>7.81</v>
      </c>
      <c r="G72" s="15">
        <v>6.35</v>
      </c>
      <c r="H72" s="15" t="e">
        <v>#DIV/0!</v>
      </c>
      <c r="I72" s="15">
        <v>10</v>
      </c>
      <c r="J72" s="30"/>
      <c r="K72" s="15"/>
    </row>
    <row r="73" spans="1:11" ht="15">
      <c r="A73" s="35">
        <v>2019120067</v>
      </c>
      <c r="B73" s="14" t="e">
        <v>#DIV/0!</v>
      </c>
      <c r="C73" s="15" t="e">
        <v>#DIV/0!</v>
      </c>
      <c r="D73" s="15" t="e">
        <v>#DIV/0!</v>
      </c>
      <c r="E73" s="15" t="e">
        <v>#DIV/0!</v>
      </c>
      <c r="F73" s="15" t="e">
        <v>#DIV/0!</v>
      </c>
      <c r="G73" s="15" t="e">
        <v>#DIV/0!</v>
      </c>
      <c r="H73" s="15" t="e">
        <v>#DIV/0!</v>
      </c>
      <c r="I73" s="15" t="e">
        <v>#DIV/0!</v>
      </c>
      <c r="J73" s="30" t="e">
        <v>#DIV/0!</v>
      </c>
      <c r="K73" s="15" t="e">
        <v>#DIV/0!</v>
      </c>
    </row>
    <row r="74" spans="1:11" ht="15">
      <c r="A74" s="16">
        <v>2019120068</v>
      </c>
      <c r="B74" s="17">
        <v>8.65</v>
      </c>
      <c r="C74" s="18">
        <v>9.4499999999999993</v>
      </c>
      <c r="D74" s="18">
        <v>9.7100000000000009</v>
      </c>
      <c r="E74" s="18">
        <v>8.6300000000000008</v>
      </c>
      <c r="F74" s="18">
        <v>9.43</v>
      </c>
      <c r="G74" s="18">
        <v>9.86</v>
      </c>
      <c r="H74" s="18">
        <v>8.8800000000000008</v>
      </c>
      <c r="I74" s="18">
        <v>9.25</v>
      </c>
      <c r="J74" s="19">
        <v>9.25</v>
      </c>
      <c r="K74" s="18">
        <v>9.06</v>
      </c>
    </row>
    <row r="75" spans="1:11" ht="15">
      <c r="A75" s="31">
        <v>2020201063</v>
      </c>
      <c r="B75" s="14" t="e">
        <v>#DIV/0!</v>
      </c>
      <c r="C75" s="15" t="e">
        <v>#DIV/0!</v>
      </c>
      <c r="D75" s="15">
        <v>9.81</v>
      </c>
      <c r="E75" s="15">
        <v>9</v>
      </c>
      <c r="F75" s="15">
        <v>9.24</v>
      </c>
      <c r="G75" s="15">
        <v>9.57</v>
      </c>
      <c r="H75" s="15">
        <v>9.06</v>
      </c>
      <c r="I75" s="15">
        <v>8.5</v>
      </c>
      <c r="J75" s="30">
        <v>9.23</v>
      </c>
      <c r="K75" s="15">
        <v>8.7799999999999994</v>
      </c>
    </row>
    <row r="76" spans="1:11" ht="15">
      <c r="A76" s="35">
        <v>2020201064</v>
      </c>
      <c r="B76" s="14" t="e">
        <v>#DIV/0!</v>
      </c>
      <c r="C76" s="15" t="e">
        <v>#DIV/0!</v>
      </c>
      <c r="D76" s="15">
        <v>9.81</v>
      </c>
      <c r="E76" s="15">
        <v>9.24</v>
      </c>
      <c r="F76" s="15">
        <v>8.86</v>
      </c>
      <c r="G76" s="15">
        <v>7.6</v>
      </c>
      <c r="H76" s="15">
        <v>8.44</v>
      </c>
      <c r="I76" s="15">
        <v>10</v>
      </c>
      <c r="J76" s="30">
        <v>8.99</v>
      </c>
      <c r="K76" s="15">
        <v>9.2200000000000006</v>
      </c>
    </row>
    <row r="77" spans="1:11" ht="15">
      <c r="A77" s="35">
        <v>2020201065</v>
      </c>
      <c r="B77" s="14" t="e">
        <v>#DIV/0!</v>
      </c>
      <c r="C77" s="15" t="e">
        <v>#DIV/0!</v>
      </c>
      <c r="D77" s="15" t="e">
        <v>#DIV/0!</v>
      </c>
      <c r="E77" s="15" t="e">
        <v>#DIV/0!</v>
      </c>
      <c r="F77" s="15" t="e">
        <v>#DIV/0!</v>
      </c>
      <c r="G77" s="15" t="e">
        <v>#DIV/0!</v>
      </c>
      <c r="H77" s="15" t="e">
        <v>#DIV/0!</v>
      </c>
      <c r="I77" s="15" t="e">
        <v>#DIV/0!</v>
      </c>
      <c r="J77" s="30" t="e">
        <v>#DIV/0!</v>
      </c>
      <c r="K77" s="15" t="e">
        <v>#DIV/0!</v>
      </c>
    </row>
    <row r="78" spans="1:11" ht="15">
      <c r="A78" s="16">
        <v>2020201066</v>
      </c>
      <c r="B78" s="17" t="e">
        <v>#DIV/0!</v>
      </c>
      <c r="C78" s="18" t="e">
        <v>#DIV/0!</v>
      </c>
      <c r="D78" s="18">
        <v>8</v>
      </c>
      <c r="E78" s="18">
        <v>7.64</v>
      </c>
      <c r="F78" s="18">
        <v>7.33</v>
      </c>
      <c r="G78" s="18">
        <v>6.25</v>
      </c>
      <c r="H78" s="18">
        <v>7.06</v>
      </c>
      <c r="I78" s="18">
        <v>8.1300000000000008</v>
      </c>
      <c r="J78" s="19">
        <v>7.4</v>
      </c>
      <c r="K78" s="18">
        <v>7.59</v>
      </c>
    </row>
    <row r="79" spans="1:11" ht="15">
      <c r="A79" s="31">
        <v>2020201067</v>
      </c>
      <c r="B79" s="14" t="e">
        <v>#DIV/0!</v>
      </c>
      <c r="C79" s="15" t="e">
        <v>#DIV/0!</v>
      </c>
      <c r="D79" s="15">
        <v>9.6199999999999992</v>
      </c>
      <c r="E79" s="15">
        <v>8.9600000000000009</v>
      </c>
      <c r="F79" s="15">
        <v>8.9499999999999993</v>
      </c>
      <c r="G79" s="15">
        <v>8.4</v>
      </c>
      <c r="H79" s="15">
        <v>9.44</v>
      </c>
      <c r="I79" s="15">
        <v>10</v>
      </c>
      <c r="J79" s="30">
        <v>9.18</v>
      </c>
      <c r="K79" s="15">
        <v>9.7200000000000006</v>
      </c>
    </row>
    <row r="80" spans="1:11" ht="15">
      <c r="A80" s="35">
        <v>2020201068</v>
      </c>
      <c r="B80" s="14" t="e">
        <v>#DIV/0!</v>
      </c>
      <c r="C80" s="15" t="e">
        <v>#DIV/0!</v>
      </c>
      <c r="D80" s="15">
        <v>9.6199999999999992</v>
      </c>
      <c r="E80" s="15">
        <v>8.92</v>
      </c>
      <c r="F80" s="15">
        <v>8.86</v>
      </c>
      <c r="G80" s="15">
        <v>7.85</v>
      </c>
      <c r="H80" s="15">
        <v>8.5</v>
      </c>
      <c r="I80" s="15">
        <v>9.06</v>
      </c>
      <c r="J80" s="30">
        <v>8.82</v>
      </c>
      <c r="K80" s="15">
        <v>8.7799999999999994</v>
      </c>
    </row>
    <row r="81" spans="1:11" ht="15">
      <c r="A81" s="35">
        <v>2020201069</v>
      </c>
      <c r="B81" s="14" t="e">
        <v>#DIV/0!</v>
      </c>
      <c r="C81" s="15" t="e">
        <v>#DIV/0!</v>
      </c>
      <c r="D81" s="15">
        <v>7.81</v>
      </c>
      <c r="E81" s="15">
        <v>7.2</v>
      </c>
      <c r="F81" s="15">
        <v>7.43</v>
      </c>
      <c r="G81" s="15">
        <v>7.75</v>
      </c>
      <c r="H81" s="15">
        <v>7.56</v>
      </c>
      <c r="I81" s="15">
        <v>9.06</v>
      </c>
      <c r="J81" s="30">
        <v>7.74</v>
      </c>
      <c r="K81" s="15">
        <v>8.31</v>
      </c>
    </row>
    <row r="82" spans="1:11" ht="15">
      <c r="A82" s="16">
        <v>2020201070</v>
      </c>
      <c r="B82" s="17" t="e">
        <v>#DIV/0!</v>
      </c>
      <c r="C82" s="18" t="e">
        <v>#DIV/0!</v>
      </c>
      <c r="D82" s="18">
        <v>9.81</v>
      </c>
      <c r="E82" s="18">
        <v>9.56</v>
      </c>
      <c r="F82" s="18">
        <v>8.86</v>
      </c>
      <c r="G82" s="18">
        <v>9.57</v>
      </c>
      <c r="H82" s="18">
        <v>8.31</v>
      </c>
      <c r="I82" s="18">
        <v>8.31</v>
      </c>
      <c r="J82" s="19">
        <v>9.15</v>
      </c>
      <c r="K82" s="18">
        <v>8.31</v>
      </c>
    </row>
    <row r="83" spans="1:11" ht="15">
      <c r="A83" s="31">
        <v>2020201071</v>
      </c>
      <c r="B83" s="14" t="e">
        <v>#DIV/0!</v>
      </c>
      <c r="C83" s="15" t="e">
        <v>#DIV/0!</v>
      </c>
      <c r="D83" s="15" t="e">
        <v>#DIV/0!</v>
      </c>
      <c r="E83" s="15" t="e">
        <v>#DIV/0!</v>
      </c>
      <c r="F83" s="15" t="e">
        <v>#DIV/0!</v>
      </c>
      <c r="G83" s="15" t="e">
        <v>#DIV/0!</v>
      </c>
      <c r="H83" s="15" t="e">
        <v>#DIV/0!</v>
      </c>
      <c r="I83" s="15" t="e">
        <v>#DIV/0!</v>
      </c>
      <c r="J83" s="30" t="e">
        <v>#DIV/0!</v>
      </c>
      <c r="K83" s="15" t="e">
        <v>#DIV/0!</v>
      </c>
    </row>
    <row r="84" spans="1:11" ht="15">
      <c r="A84" s="35">
        <v>2020201072</v>
      </c>
      <c r="B84" s="14" t="e">
        <v>#DIV/0!</v>
      </c>
      <c r="C84" s="15" t="e">
        <v>#DIV/0!</v>
      </c>
      <c r="D84" s="15">
        <v>9.6199999999999992</v>
      </c>
      <c r="E84" s="15">
        <v>8.7200000000000006</v>
      </c>
      <c r="F84" s="15">
        <v>8.9499999999999993</v>
      </c>
      <c r="G84" s="15">
        <v>8.7100000000000009</v>
      </c>
      <c r="H84" s="15">
        <v>8.1300000000000008</v>
      </c>
      <c r="I84" s="15">
        <v>8.5</v>
      </c>
      <c r="J84" s="30">
        <v>8.81</v>
      </c>
      <c r="K84" s="15">
        <v>8.31</v>
      </c>
    </row>
    <row r="85" spans="1:11" ht="15">
      <c r="A85" s="35">
        <v>2020201073</v>
      </c>
      <c r="B85" s="14" t="e">
        <v>#DIV/0!</v>
      </c>
      <c r="C85" s="15" t="e">
        <v>#DIV/0!</v>
      </c>
      <c r="D85" s="15">
        <v>9.6199999999999992</v>
      </c>
      <c r="E85" s="15">
        <v>9.7200000000000006</v>
      </c>
      <c r="F85" s="15">
        <v>8.86</v>
      </c>
      <c r="G85" s="15">
        <v>8.1</v>
      </c>
      <c r="H85" s="15">
        <v>8.8800000000000008</v>
      </c>
      <c r="I85" s="15">
        <v>10</v>
      </c>
      <c r="J85" s="30">
        <v>9.1999999999999993</v>
      </c>
      <c r="K85" s="15">
        <v>9.44</v>
      </c>
    </row>
    <row r="86" spans="1:11" ht="15">
      <c r="A86" s="16">
        <v>2020201074</v>
      </c>
      <c r="B86" s="17" t="e">
        <v>#DIV/0!</v>
      </c>
      <c r="C86" s="18" t="e">
        <v>#DIV/0!</v>
      </c>
      <c r="D86" s="18">
        <v>9.6199999999999992</v>
      </c>
      <c r="E86" s="18">
        <v>8.7200000000000006</v>
      </c>
      <c r="F86" s="18">
        <v>8.3800000000000008</v>
      </c>
      <c r="G86" s="18">
        <v>7.25</v>
      </c>
      <c r="H86" s="18">
        <v>8.31</v>
      </c>
      <c r="I86" s="18">
        <v>10</v>
      </c>
      <c r="J86" s="19">
        <v>8.69</v>
      </c>
      <c r="K86" s="18">
        <v>9.16</v>
      </c>
    </row>
    <row r="87" spans="1:11" ht="12.75">
      <c r="A87" s="36"/>
      <c r="B87" s="37"/>
    </row>
    <row r="88" spans="1:11" ht="12.75">
      <c r="A88" s="37"/>
      <c r="B88" s="37"/>
    </row>
    <row r="89" spans="1:11" ht="15">
      <c r="A89" s="38"/>
      <c r="B89" s="20" t="s">
        <v>134</v>
      </c>
      <c r="C89" s="21" t="s">
        <v>135</v>
      </c>
      <c r="D89" s="21" t="s">
        <v>136</v>
      </c>
      <c r="E89" s="21" t="s">
        <v>137</v>
      </c>
      <c r="F89" s="21" t="s">
        <v>138</v>
      </c>
      <c r="G89" s="21" t="s">
        <v>139</v>
      </c>
      <c r="H89" s="21" t="s">
        <v>140</v>
      </c>
      <c r="I89" s="21" t="s">
        <v>141</v>
      </c>
      <c r="J89" s="21" t="s">
        <v>142</v>
      </c>
      <c r="K89" s="21" t="s">
        <v>33</v>
      </c>
    </row>
    <row r="90" spans="1:11" ht="15">
      <c r="A90" s="39"/>
      <c r="B90" s="17">
        <v>197</v>
      </c>
      <c r="C90" s="18">
        <v>195</v>
      </c>
      <c r="D90" s="18">
        <v>210</v>
      </c>
      <c r="E90" s="18">
        <v>180</v>
      </c>
      <c r="F90" s="18">
        <v>202</v>
      </c>
      <c r="G90" s="18">
        <v>210</v>
      </c>
      <c r="H90" s="18">
        <v>157</v>
      </c>
      <c r="I90" s="18">
        <v>160</v>
      </c>
      <c r="J90" s="18">
        <v>1511</v>
      </c>
      <c r="K90" s="18">
        <v>317</v>
      </c>
    </row>
    <row r="91" spans="1:11" ht="15">
      <c r="A91" s="40"/>
      <c r="B91" s="14">
        <v>20</v>
      </c>
      <c r="C91" s="15">
        <v>20</v>
      </c>
      <c r="D91" s="15">
        <v>21</v>
      </c>
      <c r="E91" s="15">
        <v>19</v>
      </c>
      <c r="F91" s="15">
        <v>21</v>
      </c>
      <c r="G91" s="15">
        <v>21</v>
      </c>
      <c r="H91" s="15">
        <v>16</v>
      </c>
      <c r="I91" s="15">
        <v>16</v>
      </c>
      <c r="J91" s="15">
        <v>154</v>
      </c>
      <c r="K91" s="15">
        <v>32</v>
      </c>
    </row>
    <row r="92" spans="1:11" ht="15">
      <c r="A92" s="38"/>
      <c r="B92" s="20" t="s">
        <v>134</v>
      </c>
      <c r="C92" s="21" t="s">
        <v>135</v>
      </c>
      <c r="D92" s="21" t="s">
        <v>136</v>
      </c>
      <c r="E92" s="21" t="s">
        <v>137</v>
      </c>
      <c r="F92" s="21" t="s">
        <v>138</v>
      </c>
      <c r="G92" s="21" t="s">
        <v>139</v>
      </c>
      <c r="H92" s="21" t="s">
        <v>140</v>
      </c>
      <c r="I92" s="21" t="s">
        <v>141</v>
      </c>
      <c r="J92" s="21" t="s">
        <v>142</v>
      </c>
      <c r="K92" s="21" t="s">
        <v>33</v>
      </c>
    </row>
    <row r="93" spans="1:11" ht="15">
      <c r="A93" s="13"/>
      <c r="B93" s="14">
        <v>188</v>
      </c>
      <c r="C93" s="15">
        <v>189</v>
      </c>
      <c r="D93" s="15">
        <v>210</v>
      </c>
      <c r="E93" s="15">
        <v>173</v>
      </c>
      <c r="F93" s="15">
        <v>186</v>
      </c>
      <c r="G93" s="15">
        <v>207</v>
      </c>
      <c r="H93" s="15">
        <v>150</v>
      </c>
      <c r="I93" s="15">
        <v>154</v>
      </c>
      <c r="J93" s="15">
        <v>1457</v>
      </c>
      <c r="K93" s="15">
        <v>304</v>
      </c>
    </row>
    <row r="94" spans="1:11" ht="15">
      <c r="A94" s="39"/>
      <c r="B94" s="17">
        <v>20</v>
      </c>
      <c r="C94" s="18">
        <v>20</v>
      </c>
      <c r="D94" s="18">
        <v>21</v>
      </c>
      <c r="E94" s="18">
        <v>19</v>
      </c>
      <c r="F94" s="18">
        <v>21</v>
      </c>
      <c r="G94" s="18">
        <v>21</v>
      </c>
      <c r="H94" s="18">
        <v>16</v>
      </c>
      <c r="I94" s="18">
        <v>16</v>
      </c>
      <c r="J94" s="18">
        <v>154</v>
      </c>
      <c r="K94" s="18">
        <v>32</v>
      </c>
    </row>
    <row r="95" spans="1:11" ht="15">
      <c r="A95" s="10"/>
      <c r="B95" s="20" t="s">
        <v>134</v>
      </c>
      <c r="C95" s="21" t="s">
        <v>135</v>
      </c>
      <c r="D95" s="21" t="s">
        <v>136</v>
      </c>
      <c r="E95" s="21" t="s">
        <v>137</v>
      </c>
      <c r="F95" s="21" t="s">
        <v>138</v>
      </c>
      <c r="G95" s="21" t="s">
        <v>139</v>
      </c>
      <c r="H95" s="21" t="s">
        <v>140</v>
      </c>
      <c r="I95" s="21" t="s">
        <v>141</v>
      </c>
      <c r="J95" s="21" t="s">
        <v>142</v>
      </c>
      <c r="K95" s="21" t="s">
        <v>33</v>
      </c>
    </row>
    <row r="96" spans="1:11" ht="15">
      <c r="A96" s="13"/>
      <c r="B96" s="14">
        <v>199</v>
      </c>
      <c r="C96" s="15">
        <v>200</v>
      </c>
      <c r="D96" s="15">
        <v>206</v>
      </c>
      <c r="E96" s="15">
        <v>177</v>
      </c>
      <c r="F96" s="15">
        <v>190</v>
      </c>
      <c r="G96" s="15">
        <v>196</v>
      </c>
      <c r="H96" s="15">
        <v>157</v>
      </c>
      <c r="I96" s="15">
        <v>160</v>
      </c>
      <c r="J96" s="15">
        <v>1485</v>
      </c>
      <c r="K96" s="15">
        <v>317</v>
      </c>
    </row>
    <row r="97" spans="1:11" ht="15">
      <c r="A97" s="13"/>
      <c r="B97" s="14">
        <v>20</v>
      </c>
      <c r="C97" s="15">
        <v>20</v>
      </c>
      <c r="D97" s="15">
        <v>21</v>
      </c>
      <c r="E97" s="15">
        <v>19</v>
      </c>
      <c r="F97" s="15">
        <v>21</v>
      </c>
      <c r="G97" s="15">
        <v>20</v>
      </c>
      <c r="H97" s="15">
        <v>16</v>
      </c>
      <c r="I97" s="15">
        <v>16</v>
      </c>
      <c r="J97" s="15">
        <v>153</v>
      </c>
      <c r="K97" s="15">
        <v>32</v>
      </c>
    </row>
    <row r="98" spans="1:11" ht="15">
      <c r="A98" s="41"/>
      <c r="B98" s="42" t="s">
        <v>134</v>
      </c>
      <c r="C98" s="43" t="s">
        <v>135</v>
      </c>
      <c r="D98" s="43" t="s">
        <v>136</v>
      </c>
      <c r="E98" s="43" t="s">
        <v>137</v>
      </c>
      <c r="F98" s="43" t="s">
        <v>138</v>
      </c>
      <c r="G98" s="43" t="s">
        <v>139</v>
      </c>
      <c r="H98" s="43" t="s">
        <v>140</v>
      </c>
      <c r="I98" s="43" t="s">
        <v>141</v>
      </c>
      <c r="J98" s="43" t="s">
        <v>142</v>
      </c>
      <c r="K98" s="43" t="s">
        <v>33</v>
      </c>
    </row>
    <row r="99" spans="1:11" ht="15">
      <c r="A99" s="40"/>
      <c r="B99" s="14">
        <v>144</v>
      </c>
      <c r="C99" s="15">
        <v>161</v>
      </c>
      <c r="D99" s="15">
        <v>206</v>
      </c>
      <c r="E99" s="15">
        <v>161</v>
      </c>
      <c r="F99" s="15">
        <v>186</v>
      </c>
      <c r="G99" s="15">
        <v>168</v>
      </c>
      <c r="H99" s="15">
        <v>121</v>
      </c>
      <c r="I99" s="15">
        <v>160</v>
      </c>
      <c r="J99" s="15">
        <v>1307</v>
      </c>
      <c r="K99" s="15">
        <v>281</v>
      </c>
    </row>
    <row r="100" spans="1:11" ht="15">
      <c r="A100" s="13"/>
      <c r="B100" s="14">
        <v>20</v>
      </c>
      <c r="C100" s="15">
        <v>20</v>
      </c>
      <c r="D100" s="15">
        <v>21</v>
      </c>
      <c r="E100" s="15">
        <v>19</v>
      </c>
      <c r="F100" s="15">
        <v>21</v>
      </c>
      <c r="G100" s="15">
        <v>20</v>
      </c>
      <c r="H100" s="15">
        <v>16</v>
      </c>
      <c r="I100" s="15">
        <v>16</v>
      </c>
      <c r="J100" s="15">
        <v>153</v>
      </c>
      <c r="K100" s="15">
        <v>32</v>
      </c>
    </row>
    <row r="101" spans="1:11" ht="15">
      <c r="A101" s="38"/>
      <c r="B101" s="20" t="s">
        <v>134</v>
      </c>
      <c r="C101" s="21" t="s">
        <v>135</v>
      </c>
      <c r="D101" s="21" t="s">
        <v>136</v>
      </c>
      <c r="E101" s="21" t="s">
        <v>137</v>
      </c>
      <c r="F101" s="21" t="s">
        <v>138</v>
      </c>
      <c r="G101" s="21" t="s">
        <v>139</v>
      </c>
      <c r="H101" s="21" t="s">
        <v>140</v>
      </c>
      <c r="I101" s="22" t="s">
        <v>141</v>
      </c>
      <c r="J101" s="21" t="s">
        <v>142</v>
      </c>
      <c r="K101" s="21" t="s">
        <v>33</v>
      </c>
    </row>
    <row r="102" spans="1:11" ht="15">
      <c r="A102" s="44"/>
      <c r="B102" s="17">
        <v>156</v>
      </c>
      <c r="C102" s="18">
        <v>170</v>
      </c>
      <c r="D102" s="18">
        <v>206</v>
      </c>
      <c r="E102" s="18">
        <v>176</v>
      </c>
      <c r="F102" s="18">
        <v>178</v>
      </c>
      <c r="G102" s="18">
        <v>156</v>
      </c>
      <c r="H102" s="18">
        <v>131</v>
      </c>
      <c r="I102" s="18">
        <v>127</v>
      </c>
      <c r="J102" s="18">
        <v>1300</v>
      </c>
      <c r="K102" s="18">
        <v>258</v>
      </c>
    </row>
    <row r="103" spans="1:11" ht="15">
      <c r="A103" s="45"/>
      <c r="B103" s="14">
        <v>20</v>
      </c>
      <c r="C103" s="15">
        <v>20</v>
      </c>
      <c r="D103" s="15">
        <v>21</v>
      </c>
      <c r="E103" s="15">
        <v>19</v>
      </c>
      <c r="F103" s="15">
        <v>21</v>
      </c>
      <c r="G103" s="15">
        <v>21</v>
      </c>
      <c r="H103" s="15">
        <v>16</v>
      </c>
      <c r="I103" s="15">
        <v>16</v>
      </c>
      <c r="J103" s="15">
        <v>154</v>
      </c>
      <c r="K103" s="15">
        <v>32</v>
      </c>
    </row>
    <row r="104" spans="1:11" ht="15">
      <c r="A104" s="38"/>
      <c r="B104" s="20" t="s">
        <v>134</v>
      </c>
      <c r="C104" s="21" t="s">
        <v>135</v>
      </c>
      <c r="D104" s="21" t="s">
        <v>136</v>
      </c>
      <c r="E104" s="21" t="s">
        <v>137</v>
      </c>
      <c r="F104" s="21" t="s">
        <v>138</v>
      </c>
      <c r="G104" s="21" t="s">
        <v>139</v>
      </c>
      <c r="H104" s="21" t="s">
        <v>140</v>
      </c>
      <c r="I104" s="21" t="s">
        <v>141</v>
      </c>
      <c r="J104" s="21" t="s">
        <v>142</v>
      </c>
      <c r="K104" s="21" t="s">
        <v>33</v>
      </c>
    </row>
    <row r="105" spans="1:11" ht="15">
      <c r="A105" s="13"/>
      <c r="B105" s="14">
        <v>178</v>
      </c>
      <c r="C105" s="15">
        <v>196</v>
      </c>
      <c r="D105" s="15">
        <v>202</v>
      </c>
      <c r="E105" s="15">
        <v>177</v>
      </c>
      <c r="F105" s="15">
        <v>186</v>
      </c>
      <c r="G105" s="15">
        <v>176</v>
      </c>
      <c r="H105" s="15">
        <v>140</v>
      </c>
      <c r="I105" s="15">
        <v>159</v>
      </c>
      <c r="J105" s="15">
        <v>1414</v>
      </c>
      <c r="K105" s="15">
        <v>299</v>
      </c>
    </row>
    <row r="106" spans="1:11" ht="15">
      <c r="A106" s="39"/>
      <c r="B106" s="17">
        <v>20</v>
      </c>
      <c r="C106" s="18">
        <v>20</v>
      </c>
      <c r="D106" s="18">
        <v>21</v>
      </c>
      <c r="E106" s="18">
        <v>19</v>
      </c>
      <c r="F106" s="18">
        <v>21</v>
      </c>
      <c r="G106" s="18">
        <v>20</v>
      </c>
      <c r="H106" s="18">
        <v>16</v>
      </c>
      <c r="I106" s="18">
        <v>16</v>
      </c>
      <c r="J106" s="18">
        <v>153</v>
      </c>
      <c r="K106" s="18">
        <v>32</v>
      </c>
    </row>
    <row r="107" spans="1:11" ht="15">
      <c r="A107" s="10"/>
      <c r="B107" s="20" t="s">
        <v>134</v>
      </c>
      <c r="C107" s="21" t="s">
        <v>135</v>
      </c>
      <c r="D107" s="21" t="s">
        <v>136</v>
      </c>
      <c r="E107" s="21" t="s">
        <v>137</v>
      </c>
      <c r="F107" s="21" t="s">
        <v>138</v>
      </c>
      <c r="G107" s="21" t="s">
        <v>139</v>
      </c>
      <c r="H107" s="21" t="s">
        <v>140</v>
      </c>
      <c r="I107" s="21" t="s">
        <v>141</v>
      </c>
      <c r="J107" s="21" t="s">
        <v>142</v>
      </c>
      <c r="K107" s="21" t="s">
        <v>33</v>
      </c>
    </row>
    <row r="108" spans="1:11" ht="15">
      <c r="A108" s="13"/>
      <c r="B108" s="14">
        <v>142</v>
      </c>
      <c r="C108" s="15">
        <v>161</v>
      </c>
      <c r="D108" s="15">
        <v>181</v>
      </c>
      <c r="E108" s="15">
        <v>138</v>
      </c>
      <c r="F108" s="15">
        <v>130</v>
      </c>
      <c r="G108" s="15">
        <v>107</v>
      </c>
      <c r="H108" s="15">
        <v>101</v>
      </c>
      <c r="I108" s="15">
        <v>160</v>
      </c>
      <c r="J108" s="15">
        <v>1120</v>
      </c>
      <c r="K108" s="15">
        <v>261</v>
      </c>
    </row>
    <row r="109" spans="1:11" ht="15">
      <c r="A109" s="13"/>
      <c r="B109" s="14">
        <v>20</v>
      </c>
      <c r="C109" s="15">
        <v>20</v>
      </c>
      <c r="D109" s="15">
        <v>21</v>
      </c>
      <c r="E109" s="15">
        <v>19</v>
      </c>
      <c r="F109" s="15">
        <v>21</v>
      </c>
      <c r="G109" s="15">
        <v>20</v>
      </c>
      <c r="H109" s="15">
        <v>16</v>
      </c>
      <c r="I109" s="15">
        <v>16</v>
      </c>
      <c r="J109" s="15">
        <v>153</v>
      </c>
      <c r="K109" s="15">
        <v>32</v>
      </c>
    </row>
    <row r="110" spans="1:11" ht="15">
      <c r="A110" s="41"/>
      <c r="B110" s="42" t="s">
        <v>134</v>
      </c>
      <c r="C110" s="43" t="s">
        <v>135</v>
      </c>
      <c r="D110" s="43" t="s">
        <v>136</v>
      </c>
      <c r="E110" s="43" t="s">
        <v>137</v>
      </c>
      <c r="F110" s="43" t="s">
        <v>138</v>
      </c>
      <c r="G110" s="43" t="s">
        <v>139</v>
      </c>
      <c r="H110" s="43" t="s">
        <v>140</v>
      </c>
      <c r="I110" s="46" t="s">
        <v>141</v>
      </c>
      <c r="J110" s="43" t="s">
        <v>142</v>
      </c>
      <c r="K110" s="43" t="s">
        <v>33</v>
      </c>
    </row>
    <row r="111" spans="1:11" ht="15">
      <c r="A111" s="45"/>
      <c r="B111" s="14">
        <v>133</v>
      </c>
      <c r="C111" s="15">
        <v>149</v>
      </c>
      <c r="D111" s="15">
        <v>204</v>
      </c>
      <c r="E111" s="15">
        <v>176</v>
      </c>
      <c r="F111" s="15">
        <v>184</v>
      </c>
      <c r="G111" s="15">
        <v>201</v>
      </c>
      <c r="H111" s="15">
        <v>118</v>
      </c>
      <c r="I111" s="15">
        <v>124</v>
      </c>
      <c r="J111" s="15">
        <v>1289</v>
      </c>
      <c r="K111" s="15">
        <v>242</v>
      </c>
    </row>
    <row r="112" spans="1:11" ht="15">
      <c r="A112" s="23"/>
      <c r="B112" s="14">
        <v>20</v>
      </c>
      <c r="C112" s="15">
        <v>20</v>
      </c>
      <c r="D112" s="15">
        <v>21</v>
      </c>
      <c r="E112" s="15">
        <v>19</v>
      </c>
      <c r="F112" s="15">
        <v>21</v>
      </c>
      <c r="G112" s="15">
        <v>21</v>
      </c>
      <c r="H112" s="15">
        <v>16</v>
      </c>
      <c r="I112" s="15">
        <v>16</v>
      </c>
      <c r="J112" s="15">
        <v>154</v>
      </c>
      <c r="K112" s="15">
        <v>32</v>
      </c>
    </row>
    <row r="113" spans="1:11" ht="15">
      <c r="A113" s="38"/>
      <c r="B113" s="20" t="s">
        <v>134</v>
      </c>
      <c r="C113" s="21" t="s">
        <v>135</v>
      </c>
      <c r="D113" s="21" t="s">
        <v>136</v>
      </c>
      <c r="E113" s="21" t="s">
        <v>137</v>
      </c>
      <c r="F113" s="21" t="s">
        <v>138</v>
      </c>
      <c r="G113" s="21" t="s">
        <v>139</v>
      </c>
      <c r="H113" s="21" t="s">
        <v>140</v>
      </c>
      <c r="I113" s="21" t="s">
        <v>141</v>
      </c>
      <c r="J113" s="21" t="s">
        <v>142</v>
      </c>
      <c r="K113" s="21" t="s">
        <v>33</v>
      </c>
    </row>
    <row r="114" spans="1:11" ht="15">
      <c r="A114" s="39"/>
      <c r="B114" s="17">
        <v>165</v>
      </c>
      <c r="C114" s="18">
        <v>172</v>
      </c>
      <c r="D114" s="18">
        <v>194</v>
      </c>
      <c r="E114" s="18">
        <v>166</v>
      </c>
      <c r="F114" s="18">
        <v>194</v>
      </c>
      <c r="G114" s="18">
        <v>201</v>
      </c>
      <c r="H114" s="18">
        <v>139</v>
      </c>
      <c r="I114" s="18">
        <v>157</v>
      </c>
      <c r="J114" s="18">
        <v>1388</v>
      </c>
      <c r="K114" s="18">
        <v>296</v>
      </c>
    </row>
    <row r="115" spans="1:11" ht="15">
      <c r="A115" s="40"/>
      <c r="B115" s="14">
        <v>20</v>
      </c>
      <c r="C115" s="15">
        <v>20</v>
      </c>
      <c r="D115" s="15">
        <v>21</v>
      </c>
      <c r="E115" s="15">
        <v>19</v>
      </c>
      <c r="F115" s="15">
        <v>21</v>
      </c>
      <c r="G115" s="15">
        <v>21</v>
      </c>
      <c r="H115" s="15">
        <v>16</v>
      </c>
      <c r="I115" s="15">
        <v>16</v>
      </c>
      <c r="J115" s="15">
        <v>154</v>
      </c>
      <c r="K115" s="15">
        <v>32</v>
      </c>
    </row>
    <row r="116" spans="1:11" ht="15">
      <c r="A116" s="38"/>
      <c r="B116" s="20" t="s">
        <v>134</v>
      </c>
      <c r="C116" s="21" t="s">
        <v>135</v>
      </c>
      <c r="D116" s="21" t="s">
        <v>136</v>
      </c>
      <c r="E116" s="21" t="s">
        <v>137</v>
      </c>
      <c r="F116" s="21" t="s">
        <v>138</v>
      </c>
      <c r="G116" s="21" t="s">
        <v>139</v>
      </c>
      <c r="H116" s="21" t="s">
        <v>140</v>
      </c>
      <c r="I116" s="21" t="s">
        <v>141</v>
      </c>
      <c r="J116" s="21" t="s">
        <v>142</v>
      </c>
      <c r="K116" s="21" t="s">
        <v>33</v>
      </c>
    </row>
    <row r="117" spans="1:11" ht="15">
      <c r="A117" s="13"/>
      <c r="B117" s="14">
        <v>165</v>
      </c>
      <c r="C117" s="15">
        <v>176</v>
      </c>
      <c r="D117" s="15">
        <v>186</v>
      </c>
      <c r="E117" s="15">
        <v>158</v>
      </c>
      <c r="F117" s="15">
        <v>176</v>
      </c>
      <c r="G117" s="15">
        <v>161</v>
      </c>
      <c r="H117" s="15">
        <v>121</v>
      </c>
      <c r="I117" s="15">
        <v>160</v>
      </c>
      <c r="J117" s="15">
        <v>1303</v>
      </c>
      <c r="K117" s="15">
        <v>281</v>
      </c>
    </row>
    <row r="118" spans="1:11" ht="15">
      <c r="A118" s="39"/>
      <c r="B118" s="17">
        <v>20</v>
      </c>
      <c r="C118" s="18">
        <v>20</v>
      </c>
      <c r="D118" s="18">
        <v>21</v>
      </c>
      <c r="E118" s="18">
        <v>19</v>
      </c>
      <c r="F118" s="18">
        <v>21</v>
      </c>
      <c r="G118" s="18">
        <v>20</v>
      </c>
      <c r="H118" s="18">
        <v>16</v>
      </c>
      <c r="I118" s="18">
        <v>16</v>
      </c>
      <c r="J118" s="18">
        <v>153</v>
      </c>
      <c r="K118" s="18">
        <v>32</v>
      </c>
    </row>
    <row r="119" spans="1:11" ht="15">
      <c r="A119" s="10"/>
      <c r="B119" s="20" t="s">
        <v>134</v>
      </c>
      <c r="C119" s="21" t="s">
        <v>135</v>
      </c>
      <c r="D119" s="21" t="s">
        <v>136</v>
      </c>
      <c r="E119" s="21" t="s">
        <v>137</v>
      </c>
      <c r="F119" s="21" t="s">
        <v>138</v>
      </c>
      <c r="G119" s="21" t="s">
        <v>139</v>
      </c>
      <c r="H119" s="21" t="s">
        <v>140</v>
      </c>
      <c r="I119" s="21" t="s">
        <v>141</v>
      </c>
      <c r="J119" s="21" t="s">
        <v>142</v>
      </c>
      <c r="K119" s="21" t="s">
        <v>33</v>
      </c>
    </row>
    <row r="120" spans="1:11" ht="15">
      <c r="A120" s="13"/>
      <c r="B120" s="14">
        <v>157</v>
      </c>
      <c r="C120" s="15">
        <v>167</v>
      </c>
      <c r="D120" s="15">
        <v>202</v>
      </c>
      <c r="E120" s="15">
        <v>153</v>
      </c>
      <c r="F120" s="15">
        <v>186</v>
      </c>
      <c r="G120" s="15">
        <v>198</v>
      </c>
      <c r="H120" s="15">
        <v>127</v>
      </c>
      <c r="I120" s="15">
        <v>139</v>
      </c>
      <c r="J120" s="15">
        <v>1329</v>
      </c>
      <c r="K120" s="15">
        <v>266</v>
      </c>
    </row>
    <row r="121" spans="1:11" ht="15">
      <c r="A121" s="13"/>
      <c r="B121" s="14">
        <v>20</v>
      </c>
      <c r="C121" s="15">
        <v>20</v>
      </c>
      <c r="D121" s="15">
        <v>21</v>
      </c>
      <c r="E121" s="15">
        <v>19</v>
      </c>
      <c r="F121" s="15">
        <v>21</v>
      </c>
      <c r="G121" s="15">
        <v>21</v>
      </c>
      <c r="H121" s="15">
        <v>16</v>
      </c>
      <c r="I121" s="15">
        <v>16</v>
      </c>
      <c r="J121" s="15">
        <v>154</v>
      </c>
      <c r="K121" s="15">
        <v>32</v>
      </c>
    </row>
    <row r="122" spans="1:11" ht="15">
      <c r="A122" s="41"/>
      <c r="B122" s="42" t="s">
        <v>134</v>
      </c>
      <c r="C122" s="43" t="s">
        <v>135</v>
      </c>
      <c r="D122" s="43" t="s">
        <v>136</v>
      </c>
      <c r="E122" s="43" t="s">
        <v>137</v>
      </c>
      <c r="F122" s="43" t="s">
        <v>138</v>
      </c>
      <c r="G122" s="43" t="s">
        <v>139</v>
      </c>
      <c r="H122" s="43" t="s">
        <v>140</v>
      </c>
      <c r="I122" s="43" t="s">
        <v>141</v>
      </c>
      <c r="J122" s="43" t="s">
        <v>142</v>
      </c>
      <c r="K122" s="43" t="s">
        <v>33</v>
      </c>
    </row>
    <row r="123" spans="1:11" ht="15">
      <c r="A123" s="40"/>
      <c r="B123" s="14">
        <v>180</v>
      </c>
      <c r="C123" s="15">
        <v>197</v>
      </c>
      <c r="D123" s="15">
        <v>206</v>
      </c>
      <c r="E123" s="15">
        <v>173</v>
      </c>
      <c r="F123" s="15">
        <v>174</v>
      </c>
      <c r="G123" s="15">
        <v>185</v>
      </c>
      <c r="H123" s="15">
        <v>129</v>
      </c>
      <c r="I123" s="15">
        <v>159</v>
      </c>
      <c r="J123" s="15">
        <v>1403</v>
      </c>
      <c r="K123" s="15">
        <v>288</v>
      </c>
    </row>
    <row r="124" spans="1:11" ht="15">
      <c r="A124" s="13"/>
      <c r="B124" s="14">
        <v>20</v>
      </c>
      <c r="C124" s="15">
        <v>20</v>
      </c>
      <c r="D124" s="15">
        <v>21</v>
      </c>
      <c r="E124" s="15">
        <v>19</v>
      </c>
      <c r="F124" s="15">
        <v>21</v>
      </c>
      <c r="G124" s="15">
        <v>20</v>
      </c>
      <c r="H124" s="15">
        <v>16</v>
      </c>
      <c r="I124" s="15">
        <v>16</v>
      </c>
      <c r="J124" s="15">
        <v>153</v>
      </c>
      <c r="K124" s="15">
        <v>32</v>
      </c>
    </row>
    <row r="125" spans="1:11" ht="15">
      <c r="A125" s="38"/>
      <c r="B125" s="20" t="s">
        <v>134</v>
      </c>
      <c r="C125" s="21" t="s">
        <v>135</v>
      </c>
      <c r="D125" s="21" t="s">
        <v>136</v>
      </c>
      <c r="E125" s="21" t="s">
        <v>137</v>
      </c>
      <c r="F125" s="21" t="s">
        <v>138</v>
      </c>
      <c r="G125" s="21" t="s">
        <v>139</v>
      </c>
      <c r="H125" s="21" t="s">
        <v>140</v>
      </c>
      <c r="I125" s="24" t="s">
        <v>141</v>
      </c>
      <c r="J125" s="21" t="s">
        <v>142</v>
      </c>
      <c r="K125" s="21" t="s">
        <v>33</v>
      </c>
    </row>
    <row r="126" spans="1:11" ht="15">
      <c r="A126" s="44"/>
      <c r="B126" s="17">
        <v>167</v>
      </c>
      <c r="C126" s="18">
        <v>179</v>
      </c>
      <c r="D126" s="18">
        <v>198</v>
      </c>
      <c r="E126" s="18">
        <v>167</v>
      </c>
      <c r="F126" s="18">
        <v>190</v>
      </c>
      <c r="G126" s="18">
        <v>195</v>
      </c>
      <c r="H126" s="18">
        <v>118</v>
      </c>
      <c r="I126" s="26">
        <v>129</v>
      </c>
      <c r="J126" s="18">
        <v>1343</v>
      </c>
      <c r="K126" s="18">
        <v>247</v>
      </c>
    </row>
    <row r="127" spans="1:11" ht="15">
      <c r="A127" s="45"/>
      <c r="B127" s="14">
        <v>20</v>
      </c>
      <c r="C127" s="15">
        <v>20</v>
      </c>
      <c r="D127" s="15">
        <v>21</v>
      </c>
      <c r="E127" s="15">
        <v>19</v>
      </c>
      <c r="F127" s="15">
        <v>21</v>
      </c>
      <c r="G127" s="15">
        <v>21</v>
      </c>
      <c r="H127" s="15">
        <v>16</v>
      </c>
      <c r="I127" s="25">
        <v>16</v>
      </c>
      <c r="J127" s="15">
        <v>154</v>
      </c>
      <c r="K127" s="15">
        <v>32</v>
      </c>
    </row>
    <row r="128" spans="1:11" ht="15">
      <c r="A128" s="38"/>
      <c r="B128" s="20" t="s">
        <v>134</v>
      </c>
      <c r="C128" s="21" t="s">
        <v>135</v>
      </c>
      <c r="D128" s="21" t="s">
        <v>136</v>
      </c>
      <c r="E128" s="21" t="s">
        <v>137</v>
      </c>
      <c r="F128" s="21" t="s">
        <v>138</v>
      </c>
      <c r="G128" s="21" t="s">
        <v>139</v>
      </c>
      <c r="H128" s="21" t="s">
        <v>140</v>
      </c>
      <c r="I128" s="21" t="s">
        <v>141</v>
      </c>
      <c r="J128" s="21" t="s">
        <v>142</v>
      </c>
      <c r="K128" s="21" t="s">
        <v>33</v>
      </c>
    </row>
    <row r="129" spans="1:11" ht="15">
      <c r="A129" s="13"/>
      <c r="B129" s="14">
        <v>159</v>
      </c>
      <c r="C129" s="15">
        <v>180</v>
      </c>
      <c r="D129" s="15">
        <v>192</v>
      </c>
      <c r="E129" s="15">
        <v>156</v>
      </c>
      <c r="F129" s="15">
        <v>166</v>
      </c>
      <c r="G129" s="15">
        <v>155</v>
      </c>
      <c r="H129" s="15">
        <v>132</v>
      </c>
      <c r="I129" s="15">
        <v>160</v>
      </c>
      <c r="J129" s="15">
        <v>1300</v>
      </c>
      <c r="K129" s="15">
        <v>292</v>
      </c>
    </row>
    <row r="130" spans="1:11" ht="15">
      <c r="A130" s="39"/>
      <c r="B130" s="17">
        <v>20</v>
      </c>
      <c r="C130" s="18">
        <v>20</v>
      </c>
      <c r="D130" s="18">
        <v>21</v>
      </c>
      <c r="E130" s="18">
        <v>19</v>
      </c>
      <c r="F130" s="18">
        <v>21</v>
      </c>
      <c r="G130" s="18">
        <v>20</v>
      </c>
      <c r="H130" s="18">
        <v>16</v>
      </c>
      <c r="I130" s="18">
        <v>16</v>
      </c>
      <c r="J130" s="18">
        <v>153</v>
      </c>
      <c r="K130" s="18">
        <v>32</v>
      </c>
    </row>
    <row r="131" spans="1:11" ht="15">
      <c r="A131" s="10"/>
      <c r="B131" s="20" t="s">
        <v>134</v>
      </c>
      <c r="C131" s="21" t="s">
        <v>135</v>
      </c>
      <c r="D131" s="21" t="s">
        <v>136</v>
      </c>
      <c r="E131" s="21" t="s">
        <v>137</v>
      </c>
      <c r="F131" s="21" t="s">
        <v>138</v>
      </c>
      <c r="G131" s="21" t="s">
        <v>139</v>
      </c>
      <c r="H131" s="21" t="s">
        <v>140</v>
      </c>
      <c r="I131" s="21" t="s">
        <v>141</v>
      </c>
      <c r="J131" s="21" t="s">
        <v>142</v>
      </c>
      <c r="K131" s="21" t="s">
        <v>33</v>
      </c>
    </row>
    <row r="132" spans="1:11" ht="15">
      <c r="A132" s="13"/>
      <c r="B132" s="14">
        <v>164</v>
      </c>
      <c r="C132" s="15">
        <v>175</v>
      </c>
      <c r="D132" s="15">
        <v>196</v>
      </c>
      <c r="E132" s="15">
        <v>167</v>
      </c>
      <c r="F132" s="15">
        <v>182</v>
      </c>
      <c r="G132" s="15">
        <v>198</v>
      </c>
      <c r="H132" s="15">
        <v>127</v>
      </c>
      <c r="I132" s="15">
        <v>121</v>
      </c>
      <c r="J132" s="15">
        <v>1330</v>
      </c>
      <c r="K132" s="15">
        <v>248</v>
      </c>
    </row>
    <row r="133" spans="1:11" ht="15">
      <c r="A133" s="13"/>
      <c r="B133" s="14">
        <v>20</v>
      </c>
      <c r="C133" s="15">
        <v>20</v>
      </c>
      <c r="D133" s="15">
        <v>21</v>
      </c>
      <c r="E133" s="15">
        <v>19</v>
      </c>
      <c r="F133" s="15">
        <v>21</v>
      </c>
      <c r="G133" s="15">
        <v>21</v>
      </c>
      <c r="H133" s="15">
        <v>16</v>
      </c>
      <c r="I133" s="15">
        <v>16</v>
      </c>
      <c r="J133" s="15">
        <v>154</v>
      </c>
      <c r="K133" s="15">
        <v>32</v>
      </c>
    </row>
    <row r="134" spans="1:11" ht="15">
      <c r="A134" s="41"/>
      <c r="B134" s="42" t="s">
        <v>134</v>
      </c>
      <c r="C134" s="43" t="s">
        <v>135</v>
      </c>
      <c r="D134" s="43" t="s">
        <v>136</v>
      </c>
      <c r="E134" s="43" t="s">
        <v>137</v>
      </c>
      <c r="F134" s="43" t="s">
        <v>138</v>
      </c>
      <c r="G134" s="43" t="s">
        <v>139</v>
      </c>
      <c r="H134" s="43" t="s">
        <v>140</v>
      </c>
      <c r="I134" s="43" t="s">
        <v>141</v>
      </c>
      <c r="J134" s="43" t="s">
        <v>142</v>
      </c>
      <c r="K134" s="43" t="s">
        <v>33</v>
      </c>
    </row>
    <row r="135" spans="1:11" ht="15">
      <c r="A135" s="40"/>
      <c r="B135" s="14">
        <v>158</v>
      </c>
      <c r="C135" s="15">
        <v>168</v>
      </c>
      <c r="D135" s="15">
        <v>198</v>
      </c>
      <c r="E135" s="15">
        <v>165</v>
      </c>
      <c r="F135" s="15">
        <v>182</v>
      </c>
      <c r="G135" s="15">
        <v>170</v>
      </c>
      <c r="H135" s="15">
        <v>147</v>
      </c>
      <c r="I135" s="15">
        <v>160</v>
      </c>
      <c r="J135" s="15">
        <v>1348</v>
      </c>
      <c r="K135" s="15">
        <v>307</v>
      </c>
    </row>
    <row r="136" spans="1:11" ht="15">
      <c r="A136" s="13"/>
      <c r="B136" s="14">
        <v>20</v>
      </c>
      <c r="C136" s="15">
        <v>20</v>
      </c>
      <c r="D136" s="15">
        <v>21</v>
      </c>
      <c r="E136" s="15">
        <v>19</v>
      </c>
      <c r="F136" s="15">
        <v>21</v>
      </c>
      <c r="G136" s="15">
        <v>20</v>
      </c>
      <c r="H136" s="15">
        <v>16</v>
      </c>
      <c r="I136" s="15">
        <v>16</v>
      </c>
      <c r="J136" s="15">
        <v>153</v>
      </c>
      <c r="K136" s="15">
        <v>32</v>
      </c>
    </row>
    <row r="137" spans="1:11" ht="15">
      <c r="A137" s="38"/>
      <c r="B137" s="20" t="s">
        <v>134</v>
      </c>
      <c r="C137" s="21" t="s">
        <v>135</v>
      </c>
      <c r="D137" s="21" t="s">
        <v>136</v>
      </c>
      <c r="E137" s="21" t="s">
        <v>137</v>
      </c>
      <c r="F137" s="21" t="s">
        <v>138</v>
      </c>
      <c r="G137" s="21" t="s">
        <v>139</v>
      </c>
      <c r="H137" s="21" t="s">
        <v>140</v>
      </c>
      <c r="I137" s="21" t="s">
        <v>141</v>
      </c>
      <c r="J137" s="21" t="s">
        <v>142</v>
      </c>
      <c r="K137" s="21" t="s">
        <v>33</v>
      </c>
    </row>
    <row r="138" spans="1:11" ht="15">
      <c r="A138" s="39"/>
      <c r="B138" s="17">
        <v>148</v>
      </c>
      <c r="C138" s="18">
        <v>175</v>
      </c>
      <c r="D138" s="18">
        <v>202</v>
      </c>
      <c r="E138" s="18">
        <v>161</v>
      </c>
      <c r="F138" s="18">
        <v>184</v>
      </c>
      <c r="G138" s="18">
        <v>201</v>
      </c>
      <c r="H138" s="18">
        <v>135</v>
      </c>
      <c r="I138" s="18">
        <v>157</v>
      </c>
      <c r="J138" s="18">
        <v>1363</v>
      </c>
      <c r="K138" s="18">
        <v>292</v>
      </c>
    </row>
    <row r="139" spans="1:11" ht="15">
      <c r="A139" s="40"/>
      <c r="B139" s="14">
        <v>20</v>
      </c>
      <c r="C139" s="15">
        <v>20</v>
      </c>
      <c r="D139" s="15">
        <v>21</v>
      </c>
      <c r="E139" s="15">
        <v>19</v>
      </c>
      <c r="F139" s="15">
        <v>21</v>
      </c>
      <c r="G139" s="15">
        <v>21</v>
      </c>
      <c r="H139" s="15">
        <v>16</v>
      </c>
      <c r="I139" s="15">
        <v>16</v>
      </c>
      <c r="J139" s="15">
        <v>154</v>
      </c>
      <c r="K139" s="15">
        <v>32</v>
      </c>
    </row>
    <row r="140" spans="1:11" ht="15">
      <c r="A140" s="38"/>
      <c r="B140" s="20" t="s">
        <v>134</v>
      </c>
      <c r="C140" s="21" t="s">
        <v>135</v>
      </c>
      <c r="D140" s="21" t="s">
        <v>136</v>
      </c>
      <c r="E140" s="21" t="s">
        <v>137</v>
      </c>
      <c r="F140" s="21" t="s">
        <v>138</v>
      </c>
      <c r="G140" s="21" t="s">
        <v>139</v>
      </c>
      <c r="H140" s="21" t="s">
        <v>140</v>
      </c>
      <c r="I140" s="21" t="s">
        <v>141</v>
      </c>
      <c r="J140" s="21" t="s">
        <v>142</v>
      </c>
      <c r="K140" s="21" t="s">
        <v>33</v>
      </c>
    </row>
    <row r="141" spans="1:11" ht="15">
      <c r="A141" s="13"/>
      <c r="B141" s="14">
        <v>195</v>
      </c>
      <c r="C141" s="15">
        <v>194</v>
      </c>
      <c r="D141" s="15">
        <v>210</v>
      </c>
      <c r="E141" s="15">
        <v>168</v>
      </c>
      <c r="F141" s="15">
        <v>206</v>
      </c>
      <c r="G141" s="15">
        <v>207</v>
      </c>
      <c r="H141" s="15">
        <v>160</v>
      </c>
      <c r="I141" s="15">
        <v>154</v>
      </c>
      <c r="J141" s="15">
        <v>1494</v>
      </c>
      <c r="K141" s="15">
        <v>314</v>
      </c>
    </row>
    <row r="142" spans="1:11" ht="15">
      <c r="A142" s="39"/>
      <c r="B142" s="17">
        <v>20</v>
      </c>
      <c r="C142" s="18">
        <v>20</v>
      </c>
      <c r="D142" s="18">
        <v>21</v>
      </c>
      <c r="E142" s="18">
        <v>19</v>
      </c>
      <c r="F142" s="18">
        <v>21</v>
      </c>
      <c r="G142" s="18">
        <v>21</v>
      </c>
      <c r="H142" s="18">
        <v>16</v>
      </c>
      <c r="I142" s="18">
        <v>16</v>
      </c>
      <c r="J142" s="18">
        <v>154</v>
      </c>
      <c r="K142" s="18">
        <v>32</v>
      </c>
    </row>
    <row r="143" spans="1:11" ht="15">
      <c r="A143" s="10"/>
      <c r="B143" s="20" t="s">
        <v>134</v>
      </c>
      <c r="C143" s="21" t="s">
        <v>135</v>
      </c>
      <c r="D143" s="21" t="s">
        <v>136</v>
      </c>
      <c r="E143" s="21" t="s">
        <v>137</v>
      </c>
      <c r="F143" s="21" t="s">
        <v>138</v>
      </c>
      <c r="G143" s="21" t="s">
        <v>139</v>
      </c>
      <c r="H143" s="21" t="s">
        <v>140</v>
      </c>
      <c r="I143" s="21" t="s">
        <v>141</v>
      </c>
      <c r="J143" s="21" t="s">
        <v>142</v>
      </c>
      <c r="K143" s="21" t="s">
        <v>33</v>
      </c>
    </row>
    <row r="144" spans="1:11" ht="15">
      <c r="A144" s="13"/>
      <c r="B144" s="14">
        <v>168</v>
      </c>
      <c r="C144" s="15">
        <v>168</v>
      </c>
      <c r="D144" s="15">
        <v>202</v>
      </c>
      <c r="E144" s="15">
        <v>167</v>
      </c>
      <c r="F144" s="15">
        <v>194</v>
      </c>
      <c r="G144" s="15">
        <v>177</v>
      </c>
      <c r="H144" s="15">
        <v>144</v>
      </c>
      <c r="I144" s="15">
        <v>145</v>
      </c>
      <c r="J144" s="15">
        <v>1365</v>
      </c>
      <c r="K144" s="15">
        <v>289</v>
      </c>
    </row>
    <row r="145" spans="1:11" ht="15">
      <c r="A145" s="13"/>
      <c r="B145" s="14">
        <v>20</v>
      </c>
      <c r="C145" s="15">
        <v>20</v>
      </c>
      <c r="D145" s="15">
        <v>21</v>
      </c>
      <c r="E145" s="15">
        <v>19</v>
      </c>
      <c r="F145" s="15">
        <v>21</v>
      </c>
      <c r="G145" s="15">
        <v>20</v>
      </c>
      <c r="H145" s="15">
        <v>16</v>
      </c>
      <c r="I145" s="15">
        <v>16</v>
      </c>
      <c r="J145" s="15">
        <v>153</v>
      </c>
      <c r="K145" s="15">
        <v>32</v>
      </c>
    </row>
    <row r="146" spans="1:11" ht="15">
      <c r="A146" s="41"/>
      <c r="B146" s="42" t="s">
        <v>134</v>
      </c>
      <c r="C146" s="43" t="s">
        <v>135</v>
      </c>
      <c r="D146" s="43" t="s">
        <v>136</v>
      </c>
      <c r="E146" s="43" t="s">
        <v>137</v>
      </c>
      <c r="F146" s="43" t="s">
        <v>138</v>
      </c>
      <c r="G146" s="43" t="s">
        <v>139</v>
      </c>
      <c r="H146" s="43" t="s">
        <v>140</v>
      </c>
      <c r="I146" s="43" t="s">
        <v>141</v>
      </c>
      <c r="J146" s="43" t="s">
        <v>142</v>
      </c>
      <c r="K146" s="43" t="s">
        <v>33</v>
      </c>
    </row>
    <row r="147" spans="1:11" ht="15">
      <c r="A147" s="40"/>
      <c r="B147" s="14">
        <v>145</v>
      </c>
      <c r="C147" s="15">
        <v>163</v>
      </c>
      <c r="D147" s="15">
        <v>202</v>
      </c>
      <c r="E147" s="15">
        <v>163</v>
      </c>
      <c r="F147" s="15">
        <v>172</v>
      </c>
      <c r="G147" s="15">
        <v>144</v>
      </c>
      <c r="H147" s="15">
        <v>126</v>
      </c>
      <c r="I147" s="15">
        <v>142</v>
      </c>
      <c r="J147" s="15">
        <v>1257</v>
      </c>
      <c r="K147" s="15">
        <v>268</v>
      </c>
    </row>
    <row r="148" spans="1:11" ht="15">
      <c r="A148" s="13"/>
      <c r="B148" s="14">
        <v>20</v>
      </c>
      <c r="C148" s="15">
        <v>20</v>
      </c>
      <c r="D148" s="15">
        <v>21</v>
      </c>
      <c r="E148" s="15">
        <v>19</v>
      </c>
      <c r="F148" s="15">
        <v>21</v>
      </c>
      <c r="G148" s="15">
        <v>21</v>
      </c>
      <c r="H148" s="15">
        <v>16</v>
      </c>
      <c r="I148" s="15">
        <v>16</v>
      </c>
      <c r="J148" s="15">
        <v>154</v>
      </c>
      <c r="K148" s="15">
        <v>32</v>
      </c>
    </row>
    <row r="149" spans="1:11" ht="15">
      <c r="A149" s="38"/>
      <c r="B149" s="20" t="s">
        <v>134</v>
      </c>
      <c r="C149" s="21" t="s">
        <v>135</v>
      </c>
      <c r="D149" s="21" t="s">
        <v>136</v>
      </c>
      <c r="E149" s="21" t="s">
        <v>137</v>
      </c>
      <c r="F149" s="21" t="s">
        <v>138</v>
      </c>
      <c r="G149" s="21" t="s">
        <v>139</v>
      </c>
      <c r="H149" s="21" t="s">
        <v>140</v>
      </c>
      <c r="I149" s="22" t="s">
        <v>141</v>
      </c>
      <c r="J149" s="21" t="s">
        <v>142</v>
      </c>
      <c r="K149" s="21" t="s">
        <v>33</v>
      </c>
    </row>
    <row r="150" spans="1:11" ht="15">
      <c r="A150" s="44"/>
      <c r="B150" s="17">
        <v>131</v>
      </c>
      <c r="C150" s="18">
        <v>130</v>
      </c>
      <c r="D150" s="18">
        <v>206</v>
      </c>
      <c r="E150" s="18">
        <v>169</v>
      </c>
      <c r="F150" s="18">
        <v>184</v>
      </c>
      <c r="G150" s="18">
        <v>195</v>
      </c>
      <c r="H150" s="18">
        <v>103</v>
      </c>
      <c r="I150" s="18">
        <v>123</v>
      </c>
      <c r="J150" s="18">
        <v>1241</v>
      </c>
      <c r="K150" s="18">
        <v>226</v>
      </c>
    </row>
    <row r="151" spans="1:11" ht="15">
      <c r="A151" s="45"/>
      <c r="B151" s="14">
        <v>20</v>
      </c>
      <c r="C151" s="15">
        <v>20</v>
      </c>
      <c r="D151" s="15">
        <v>21</v>
      </c>
      <c r="E151" s="15">
        <v>19</v>
      </c>
      <c r="F151" s="15">
        <v>21</v>
      </c>
      <c r="G151" s="15">
        <v>21</v>
      </c>
      <c r="H151" s="15">
        <v>16</v>
      </c>
      <c r="I151" s="15">
        <v>16</v>
      </c>
      <c r="J151" s="15">
        <v>154</v>
      </c>
      <c r="K151" s="15">
        <v>32</v>
      </c>
    </row>
    <row r="152" spans="1:11" ht="15">
      <c r="A152" s="38"/>
      <c r="B152" s="20" t="s">
        <v>134</v>
      </c>
      <c r="C152" s="21" t="s">
        <v>135</v>
      </c>
      <c r="D152" s="21" t="s">
        <v>136</v>
      </c>
      <c r="E152" s="21" t="s">
        <v>137</v>
      </c>
      <c r="F152" s="21" t="s">
        <v>138</v>
      </c>
      <c r="G152" s="21" t="s">
        <v>139</v>
      </c>
      <c r="H152" s="21" t="s">
        <v>140</v>
      </c>
      <c r="I152" s="21" t="s">
        <v>141</v>
      </c>
      <c r="J152" s="21" t="s">
        <v>142</v>
      </c>
      <c r="K152" s="21" t="s">
        <v>33</v>
      </c>
    </row>
    <row r="153" spans="1:11" ht="15">
      <c r="A153" s="13"/>
      <c r="B153" s="14">
        <v>177</v>
      </c>
      <c r="C153" s="15">
        <v>176</v>
      </c>
      <c r="D153" s="15">
        <v>199</v>
      </c>
      <c r="E153" s="15">
        <v>154</v>
      </c>
      <c r="F153" s="15">
        <v>170</v>
      </c>
      <c r="G153" s="15">
        <v>189</v>
      </c>
      <c r="H153" s="15">
        <v>137</v>
      </c>
      <c r="I153" s="15">
        <v>153</v>
      </c>
      <c r="J153" s="15">
        <v>1355</v>
      </c>
      <c r="K153" s="15">
        <v>290</v>
      </c>
    </row>
    <row r="154" spans="1:11" ht="15">
      <c r="A154" s="39"/>
      <c r="B154" s="17">
        <v>20</v>
      </c>
      <c r="C154" s="18">
        <v>20</v>
      </c>
      <c r="D154" s="18">
        <v>21</v>
      </c>
      <c r="E154" s="18">
        <v>19</v>
      </c>
      <c r="F154" s="18">
        <v>21</v>
      </c>
      <c r="G154" s="18">
        <v>21</v>
      </c>
      <c r="H154" s="18">
        <v>16</v>
      </c>
      <c r="I154" s="18">
        <v>16</v>
      </c>
      <c r="J154" s="18">
        <v>154</v>
      </c>
      <c r="K154" s="18">
        <v>32</v>
      </c>
    </row>
    <row r="155" spans="1:11" ht="15">
      <c r="A155" s="10"/>
      <c r="B155" s="20" t="s">
        <v>134</v>
      </c>
      <c r="C155" s="21" t="s">
        <v>135</v>
      </c>
      <c r="D155" s="21" t="s">
        <v>136</v>
      </c>
      <c r="E155" s="21" t="s">
        <v>137</v>
      </c>
      <c r="F155" s="21" t="s">
        <v>138</v>
      </c>
      <c r="G155" s="21" t="s">
        <v>139</v>
      </c>
      <c r="H155" s="21" t="s">
        <v>140</v>
      </c>
      <c r="I155" s="21" t="s">
        <v>141</v>
      </c>
      <c r="J155" s="21" t="s">
        <v>142</v>
      </c>
      <c r="K155" s="21" t="s">
        <v>33</v>
      </c>
    </row>
    <row r="156" spans="1:11" ht="15">
      <c r="A156" s="13"/>
      <c r="B156" s="14">
        <v>160</v>
      </c>
      <c r="C156" s="15">
        <v>178</v>
      </c>
      <c r="D156" s="15">
        <v>196</v>
      </c>
      <c r="E156" s="15">
        <v>163</v>
      </c>
      <c r="F156" s="15">
        <v>182</v>
      </c>
      <c r="G156" s="15">
        <v>201</v>
      </c>
      <c r="H156" s="15">
        <v>145</v>
      </c>
      <c r="I156" s="15">
        <v>148</v>
      </c>
      <c r="J156" s="15">
        <v>1373</v>
      </c>
      <c r="K156" s="15">
        <v>293</v>
      </c>
    </row>
    <row r="157" spans="1:11" ht="15">
      <c r="A157" s="13"/>
      <c r="B157" s="14">
        <v>20</v>
      </c>
      <c r="C157" s="15">
        <v>20</v>
      </c>
      <c r="D157" s="15">
        <v>21</v>
      </c>
      <c r="E157" s="15">
        <v>19</v>
      </c>
      <c r="F157" s="15">
        <v>21</v>
      </c>
      <c r="G157" s="15">
        <v>21</v>
      </c>
      <c r="H157" s="15">
        <v>16</v>
      </c>
      <c r="I157" s="15">
        <v>16</v>
      </c>
      <c r="J157" s="15">
        <v>154</v>
      </c>
      <c r="K157" s="15">
        <v>32</v>
      </c>
    </row>
    <row r="158" spans="1:11" ht="15">
      <c r="A158" s="41"/>
      <c r="B158" s="42" t="s">
        <v>134</v>
      </c>
      <c r="C158" s="43" t="s">
        <v>135</v>
      </c>
      <c r="D158" s="43" t="s">
        <v>136</v>
      </c>
      <c r="E158" s="43" t="s">
        <v>137</v>
      </c>
      <c r="F158" s="43" t="s">
        <v>138</v>
      </c>
      <c r="G158" s="43" t="s">
        <v>139</v>
      </c>
      <c r="H158" s="43" t="s">
        <v>140</v>
      </c>
      <c r="I158" s="43" t="s">
        <v>141</v>
      </c>
      <c r="J158" s="43" t="s">
        <v>142</v>
      </c>
      <c r="K158" s="43" t="s">
        <v>33</v>
      </c>
    </row>
    <row r="159" spans="1:11" ht="15">
      <c r="A159" s="40"/>
      <c r="B159" s="14">
        <v>191</v>
      </c>
      <c r="C159" s="15">
        <v>186</v>
      </c>
      <c r="D159" s="15">
        <v>210</v>
      </c>
      <c r="E159" s="15">
        <v>167</v>
      </c>
      <c r="F159" s="15">
        <v>204</v>
      </c>
      <c r="G159" s="15">
        <v>207</v>
      </c>
      <c r="H159" s="15">
        <v>139</v>
      </c>
      <c r="I159" s="15">
        <v>160</v>
      </c>
      <c r="J159" s="15">
        <v>1464</v>
      </c>
      <c r="K159" s="15">
        <v>299</v>
      </c>
    </row>
    <row r="160" spans="1:11" ht="15">
      <c r="A160" s="13"/>
      <c r="B160" s="14">
        <v>20</v>
      </c>
      <c r="C160" s="15">
        <v>20</v>
      </c>
      <c r="D160" s="15">
        <v>21</v>
      </c>
      <c r="E160" s="15">
        <v>19</v>
      </c>
      <c r="F160" s="15">
        <v>21</v>
      </c>
      <c r="G160" s="15">
        <v>21</v>
      </c>
      <c r="H160" s="15">
        <v>16</v>
      </c>
      <c r="I160" s="15">
        <v>16</v>
      </c>
      <c r="J160" s="15">
        <v>154</v>
      </c>
      <c r="K160" s="15">
        <v>32</v>
      </c>
    </row>
    <row r="161" spans="1:11" ht="15">
      <c r="A161" s="38"/>
      <c r="B161" s="20" t="s">
        <v>134</v>
      </c>
      <c r="C161" s="21" t="s">
        <v>135</v>
      </c>
      <c r="D161" s="21" t="s">
        <v>136</v>
      </c>
      <c r="E161" s="21" t="s">
        <v>137</v>
      </c>
      <c r="F161" s="21" t="s">
        <v>138</v>
      </c>
      <c r="G161" s="21" t="s">
        <v>139</v>
      </c>
      <c r="H161" s="21" t="s">
        <v>140</v>
      </c>
      <c r="I161" s="22" t="s">
        <v>141</v>
      </c>
      <c r="J161" s="21" t="s">
        <v>142</v>
      </c>
      <c r="K161" s="21" t="s">
        <v>33</v>
      </c>
    </row>
    <row r="162" spans="1:11" ht="15">
      <c r="A162" s="44"/>
      <c r="B162" s="17">
        <v>196</v>
      </c>
      <c r="C162" s="18">
        <v>197</v>
      </c>
      <c r="D162" s="18">
        <v>206</v>
      </c>
      <c r="E162" s="18">
        <v>179</v>
      </c>
      <c r="F162" s="18">
        <v>194</v>
      </c>
      <c r="G162" s="18">
        <v>204</v>
      </c>
      <c r="H162" s="18">
        <v>130</v>
      </c>
      <c r="I162" s="18">
        <v>148</v>
      </c>
      <c r="J162" s="18">
        <v>1454</v>
      </c>
      <c r="K162" s="18">
        <v>278</v>
      </c>
    </row>
    <row r="163" spans="1:11" ht="15">
      <c r="A163" s="45"/>
      <c r="B163" s="14">
        <v>20</v>
      </c>
      <c r="C163" s="15">
        <v>20</v>
      </c>
      <c r="D163" s="15">
        <v>21</v>
      </c>
      <c r="E163" s="15">
        <v>19</v>
      </c>
      <c r="F163" s="15">
        <v>21</v>
      </c>
      <c r="G163" s="15">
        <v>21</v>
      </c>
      <c r="H163" s="15">
        <v>16</v>
      </c>
      <c r="I163" s="15">
        <v>16</v>
      </c>
      <c r="J163" s="15">
        <v>154</v>
      </c>
      <c r="K163" s="15">
        <v>32</v>
      </c>
    </row>
    <row r="164" spans="1:11" ht="15">
      <c r="A164" s="38"/>
      <c r="B164" s="20" t="s">
        <v>134</v>
      </c>
      <c r="C164" s="21" t="s">
        <v>135</v>
      </c>
      <c r="D164" s="21" t="s">
        <v>136</v>
      </c>
      <c r="E164" s="21" t="s">
        <v>137</v>
      </c>
      <c r="F164" s="21" t="s">
        <v>138</v>
      </c>
      <c r="G164" s="21" t="s">
        <v>139</v>
      </c>
      <c r="H164" s="21" t="s">
        <v>140</v>
      </c>
      <c r="I164" s="21" t="s">
        <v>141</v>
      </c>
      <c r="J164" s="21" t="s">
        <v>142</v>
      </c>
      <c r="K164" s="21" t="s">
        <v>33</v>
      </c>
    </row>
    <row r="165" spans="1:11" ht="15">
      <c r="A165" s="13"/>
      <c r="B165" s="27"/>
      <c r="C165" s="28"/>
      <c r="D165" s="28"/>
      <c r="E165" s="28"/>
      <c r="F165" s="28"/>
      <c r="G165" s="28"/>
      <c r="H165" s="28"/>
      <c r="I165" s="28"/>
      <c r="J165" s="15">
        <v>0</v>
      </c>
      <c r="K165" s="15">
        <v>0</v>
      </c>
    </row>
    <row r="166" spans="1:11" ht="15">
      <c r="A166" s="39"/>
      <c r="B166" s="47"/>
      <c r="C166" s="48"/>
      <c r="D166" s="48"/>
      <c r="E166" s="48"/>
      <c r="F166" s="48"/>
      <c r="G166" s="48"/>
      <c r="H166" s="48"/>
      <c r="I166" s="48"/>
      <c r="J166" s="18">
        <v>0</v>
      </c>
      <c r="K166" s="18">
        <v>0</v>
      </c>
    </row>
    <row r="167" spans="1:11" ht="15">
      <c r="A167" s="10"/>
      <c r="B167" s="20" t="s">
        <v>134</v>
      </c>
      <c r="C167" s="21" t="s">
        <v>135</v>
      </c>
      <c r="D167" s="21" t="s">
        <v>136</v>
      </c>
      <c r="E167" s="21" t="s">
        <v>137</v>
      </c>
      <c r="F167" s="21" t="s">
        <v>138</v>
      </c>
      <c r="G167" s="21" t="s">
        <v>139</v>
      </c>
      <c r="H167" s="21" t="s">
        <v>140</v>
      </c>
      <c r="I167" s="21" t="s">
        <v>141</v>
      </c>
      <c r="J167" s="21" t="s">
        <v>142</v>
      </c>
      <c r="K167" s="21" t="s">
        <v>33</v>
      </c>
    </row>
    <row r="168" spans="1:11" ht="15">
      <c r="A168" s="13"/>
      <c r="B168" s="14">
        <v>187</v>
      </c>
      <c r="C168" s="15">
        <v>191</v>
      </c>
      <c r="D168" s="15">
        <v>210</v>
      </c>
      <c r="E168" s="15">
        <v>187</v>
      </c>
      <c r="F168" s="15">
        <v>200</v>
      </c>
      <c r="G168" s="15">
        <v>200</v>
      </c>
      <c r="H168" s="15">
        <v>157</v>
      </c>
      <c r="I168" s="15">
        <v>160</v>
      </c>
      <c r="J168" s="15">
        <v>1492</v>
      </c>
      <c r="K168" s="15">
        <v>317</v>
      </c>
    </row>
    <row r="169" spans="1:11" ht="15">
      <c r="A169" s="13"/>
      <c r="B169" s="14">
        <v>20</v>
      </c>
      <c r="C169" s="15">
        <v>20</v>
      </c>
      <c r="D169" s="15">
        <v>21</v>
      </c>
      <c r="E169" s="15">
        <v>19</v>
      </c>
      <c r="F169" s="15">
        <v>21</v>
      </c>
      <c r="G169" s="15">
        <v>20</v>
      </c>
      <c r="H169" s="15">
        <v>16</v>
      </c>
      <c r="I169" s="15">
        <v>16</v>
      </c>
      <c r="J169" s="15">
        <v>153</v>
      </c>
      <c r="K169" s="15">
        <v>32</v>
      </c>
    </row>
    <row r="170" spans="1:11" ht="15">
      <c r="A170" s="41"/>
      <c r="B170" s="42" t="s">
        <v>134</v>
      </c>
      <c r="C170" s="43" t="s">
        <v>135</v>
      </c>
      <c r="D170" s="43" t="s">
        <v>136</v>
      </c>
      <c r="E170" s="43" t="s">
        <v>137</v>
      </c>
      <c r="F170" s="43" t="s">
        <v>138</v>
      </c>
      <c r="G170" s="43" t="s">
        <v>139</v>
      </c>
      <c r="H170" s="43" t="s">
        <v>140</v>
      </c>
      <c r="I170" s="43" t="s">
        <v>141</v>
      </c>
      <c r="J170" s="43" t="s">
        <v>142</v>
      </c>
      <c r="K170" s="43" t="s">
        <v>33</v>
      </c>
    </row>
    <row r="171" spans="1:11" ht="15">
      <c r="A171" s="40"/>
      <c r="B171" s="14">
        <v>133</v>
      </c>
      <c r="C171" s="15">
        <v>135</v>
      </c>
      <c r="D171" s="15">
        <v>187</v>
      </c>
      <c r="E171" s="15">
        <v>158</v>
      </c>
      <c r="F171" s="15">
        <v>170</v>
      </c>
      <c r="G171" s="15">
        <v>151</v>
      </c>
      <c r="H171" s="15">
        <v>127</v>
      </c>
      <c r="I171" s="28"/>
      <c r="J171" s="15">
        <v>1061</v>
      </c>
      <c r="K171" s="15">
        <v>127</v>
      </c>
    </row>
    <row r="172" spans="1:11" ht="15">
      <c r="A172" s="13"/>
      <c r="B172" s="14">
        <v>20</v>
      </c>
      <c r="C172" s="15">
        <v>20</v>
      </c>
      <c r="D172" s="15">
        <v>21</v>
      </c>
      <c r="E172" s="15">
        <v>19</v>
      </c>
      <c r="F172" s="15">
        <v>21</v>
      </c>
      <c r="G172" s="15">
        <v>20</v>
      </c>
      <c r="H172" s="15">
        <v>16</v>
      </c>
      <c r="I172" s="28"/>
      <c r="J172" s="15">
        <v>137</v>
      </c>
      <c r="K172" s="15">
        <v>16</v>
      </c>
    </row>
    <row r="173" spans="1:11" ht="15">
      <c r="A173" s="38"/>
      <c r="B173" s="20" t="s">
        <v>134</v>
      </c>
      <c r="C173" s="21" t="s">
        <v>135</v>
      </c>
      <c r="D173" s="21" t="s">
        <v>136</v>
      </c>
      <c r="E173" s="21" t="s">
        <v>137</v>
      </c>
      <c r="F173" s="21" t="s">
        <v>138</v>
      </c>
      <c r="G173" s="21" t="s">
        <v>139</v>
      </c>
      <c r="H173" s="21" t="s">
        <v>140</v>
      </c>
      <c r="I173" s="21" t="s">
        <v>141</v>
      </c>
      <c r="J173" s="21" t="s">
        <v>142</v>
      </c>
      <c r="K173" s="21" t="s">
        <v>33</v>
      </c>
    </row>
    <row r="174" spans="1:11" ht="15">
      <c r="A174" s="39"/>
      <c r="B174" s="17">
        <v>145</v>
      </c>
      <c r="C174" s="18">
        <v>170</v>
      </c>
      <c r="D174" s="18">
        <v>186</v>
      </c>
      <c r="E174" s="18">
        <v>153</v>
      </c>
      <c r="F174" s="18">
        <v>156</v>
      </c>
      <c r="G174" s="18">
        <v>156</v>
      </c>
      <c r="H174" s="18">
        <v>145</v>
      </c>
      <c r="I174" s="18">
        <v>145</v>
      </c>
      <c r="J174" s="18">
        <v>1256</v>
      </c>
      <c r="K174" s="18">
        <v>290</v>
      </c>
    </row>
    <row r="175" spans="1:11" ht="15">
      <c r="A175" s="40"/>
      <c r="B175" s="14">
        <v>20</v>
      </c>
      <c r="C175" s="15">
        <v>20</v>
      </c>
      <c r="D175" s="15">
        <v>21</v>
      </c>
      <c r="E175" s="15">
        <v>19</v>
      </c>
      <c r="F175" s="15">
        <v>21</v>
      </c>
      <c r="G175" s="15">
        <v>20</v>
      </c>
      <c r="H175" s="15">
        <v>16</v>
      </c>
      <c r="I175" s="15">
        <v>16</v>
      </c>
      <c r="J175" s="15">
        <v>153</v>
      </c>
      <c r="K175" s="15">
        <v>32</v>
      </c>
    </row>
    <row r="176" spans="1:11" ht="15">
      <c r="A176" s="38"/>
      <c r="B176" s="20" t="s">
        <v>134</v>
      </c>
      <c r="C176" s="21" t="s">
        <v>135</v>
      </c>
      <c r="D176" s="21" t="s">
        <v>136</v>
      </c>
      <c r="E176" s="21" t="s">
        <v>137</v>
      </c>
      <c r="F176" s="21" t="s">
        <v>138</v>
      </c>
      <c r="G176" s="21" t="s">
        <v>139</v>
      </c>
      <c r="H176" s="21" t="s">
        <v>140</v>
      </c>
      <c r="I176" s="21" t="s">
        <v>141</v>
      </c>
      <c r="J176" s="21" t="s">
        <v>142</v>
      </c>
      <c r="K176" s="21" t="s">
        <v>33</v>
      </c>
    </row>
    <row r="177" spans="1:11" ht="15">
      <c r="A177" s="13"/>
      <c r="B177" s="14">
        <v>181</v>
      </c>
      <c r="C177" s="15">
        <v>194</v>
      </c>
      <c r="D177" s="15">
        <v>202</v>
      </c>
      <c r="E177" s="15">
        <v>170</v>
      </c>
      <c r="F177" s="15">
        <v>198</v>
      </c>
      <c r="G177" s="15">
        <v>192</v>
      </c>
      <c r="H177" s="15">
        <v>143</v>
      </c>
      <c r="I177" s="28"/>
      <c r="J177" s="15">
        <v>1280</v>
      </c>
      <c r="K177" s="15">
        <v>143</v>
      </c>
    </row>
    <row r="178" spans="1:11" ht="15">
      <c r="A178" s="39"/>
      <c r="B178" s="17">
        <v>20</v>
      </c>
      <c r="C178" s="18">
        <v>20</v>
      </c>
      <c r="D178" s="18">
        <v>21</v>
      </c>
      <c r="E178" s="18">
        <v>19</v>
      </c>
      <c r="F178" s="18">
        <v>21</v>
      </c>
      <c r="G178" s="18">
        <v>20</v>
      </c>
      <c r="H178" s="18">
        <v>16</v>
      </c>
      <c r="I178" s="48"/>
      <c r="J178" s="18">
        <v>137</v>
      </c>
      <c r="K178" s="18">
        <v>16</v>
      </c>
    </row>
    <row r="179" spans="1:11" ht="15">
      <c r="A179" s="10"/>
      <c r="B179" s="20" t="s">
        <v>134</v>
      </c>
      <c r="C179" s="21" t="s">
        <v>135</v>
      </c>
      <c r="D179" s="21" t="s">
        <v>136</v>
      </c>
      <c r="E179" s="21" t="s">
        <v>137</v>
      </c>
      <c r="F179" s="21" t="s">
        <v>138</v>
      </c>
      <c r="G179" s="21" t="s">
        <v>139</v>
      </c>
      <c r="H179" s="21" t="s">
        <v>140</v>
      </c>
      <c r="I179" s="21" t="s">
        <v>141</v>
      </c>
      <c r="J179" s="21" t="s">
        <v>142</v>
      </c>
      <c r="K179" s="21" t="s">
        <v>33</v>
      </c>
    </row>
    <row r="180" spans="1:11" ht="15">
      <c r="A180" s="13"/>
      <c r="B180" s="14">
        <v>152</v>
      </c>
      <c r="C180" s="15">
        <v>158</v>
      </c>
      <c r="D180" s="15">
        <v>198</v>
      </c>
      <c r="E180" s="15">
        <v>163</v>
      </c>
      <c r="F180" s="15">
        <v>176</v>
      </c>
      <c r="G180" s="15">
        <v>170</v>
      </c>
      <c r="H180" s="15">
        <v>145</v>
      </c>
      <c r="I180" s="15">
        <v>160</v>
      </c>
      <c r="J180" s="15">
        <v>1322</v>
      </c>
      <c r="K180" s="15">
        <v>305</v>
      </c>
    </row>
    <row r="181" spans="1:11" ht="15">
      <c r="A181" s="13"/>
      <c r="B181" s="14">
        <v>20</v>
      </c>
      <c r="C181" s="15">
        <v>20</v>
      </c>
      <c r="D181" s="15">
        <v>21</v>
      </c>
      <c r="E181" s="15">
        <v>19</v>
      </c>
      <c r="F181" s="15">
        <v>21</v>
      </c>
      <c r="G181" s="15">
        <v>20</v>
      </c>
      <c r="H181" s="15">
        <v>16</v>
      </c>
      <c r="I181" s="15">
        <v>16</v>
      </c>
      <c r="J181" s="15">
        <v>153</v>
      </c>
      <c r="K181" s="15">
        <v>32</v>
      </c>
    </row>
    <row r="182" spans="1:11" ht="15">
      <c r="A182" s="41"/>
      <c r="B182" s="42" t="s">
        <v>134</v>
      </c>
      <c r="C182" s="43" t="s">
        <v>135</v>
      </c>
      <c r="D182" s="43" t="s">
        <v>136</v>
      </c>
      <c r="E182" s="43" t="s">
        <v>137</v>
      </c>
      <c r="F182" s="43" t="s">
        <v>138</v>
      </c>
      <c r="G182" s="43" t="s">
        <v>139</v>
      </c>
      <c r="H182" s="43" t="s">
        <v>140</v>
      </c>
      <c r="I182" s="43" t="s">
        <v>141</v>
      </c>
      <c r="J182" s="43" t="s">
        <v>142</v>
      </c>
      <c r="K182" s="43" t="s">
        <v>33</v>
      </c>
    </row>
    <row r="183" spans="1:11" ht="15">
      <c r="A183" s="40"/>
      <c r="B183" s="14">
        <v>148</v>
      </c>
      <c r="C183" s="15">
        <v>167</v>
      </c>
      <c r="D183" s="15">
        <v>206</v>
      </c>
      <c r="E183" s="15">
        <v>172</v>
      </c>
      <c r="F183" s="15">
        <v>190</v>
      </c>
      <c r="G183" s="15">
        <v>192</v>
      </c>
      <c r="H183" s="15">
        <v>115</v>
      </c>
      <c r="I183" s="15">
        <v>139</v>
      </c>
      <c r="J183" s="15">
        <v>1329</v>
      </c>
      <c r="K183" s="15">
        <v>254</v>
      </c>
    </row>
    <row r="184" spans="1:11" ht="15">
      <c r="A184" s="13"/>
      <c r="B184" s="14">
        <v>20</v>
      </c>
      <c r="C184" s="15">
        <v>20</v>
      </c>
      <c r="D184" s="15">
        <v>21</v>
      </c>
      <c r="E184" s="15">
        <v>19</v>
      </c>
      <c r="F184" s="15">
        <v>21</v>
      </c>
      <c r="G184" s="15">
        <v>21</v>
      </c>
      <c r="H184" s="15">
        <v>16</v>
      </c>
      <c r="I184" s="15">
        <v>16</v>
      </c>
      <c r="J184" s="15">
        <v>154</v>
      </c>
      <c r="K184" s="15">
        <v>32</v>
      </c>
    </row>
    <row r="185" spans="1:11" ht="15">
      <c r="A185" s="38"/>
      <c r="B185" s="20" t="s">
        <v>134</v>
      </c>
      <c r="C185" s="21" t="s">
        <v>135</v>
      </c>
      <c r="D185" s="21" t="s">
        <v>136</v>
      </c>
      <c r="E185" s="21" t="s">
        <v>137</v>
      </c>
      <c r="F185" s="21" t="s">
        <v>138</v>
      </c>
      <c r="G185" s="21" t="s">
        <v>139</v>
      </c>
      <c r="H185" s="21" t="s">
        <v>140</v>
      </c>
      <c r="I185" s="21" t="s">
        <v>141</v>
      </c>
      <c r="J185" s="21" t="s">
        <v>142</v>
      </c>
      <c r="K185" s="21" t="s">
        <v>33</v>
      </c>
    </row>
    <row r="186" spans="1:11" ht="15">
      <c r="A186" s="39"/>
      <c r="B186" s="17">
        <v>165</v>
      </c>
      <c r="C186" s="18">
        <v>184</v>
      </c>
      <c r="D186" s="18">
        <v>208</v>
      </c>
      <c r="E186" s="18">
        <v>173</v>
      </c>
      <c r="F186" s="18">
        <v>202</v>
      </c>
      <c r="G186" s="18">
        <v>204</v>
      </c>
      <c r="H186" s="18">
        <v>133</v>
      </c>
      <c r="I186" s="18">
        <v>139</v>
      </c>
      <c r="J186" s="18">
        <v>1408</v>
      </c>
      <c r="K186" s="18">
        <v>272</v>
      </c>
    </row>
    <row r="187" spans="1:11" ht="15">
      <c r="A187" s="40"/>
      <c r="B187" s="14">
        <v>20</v>
      </c>
      <c r="C187" s="15">
        <v>20</v>
      </c>
      <c r="D187" s="15">
        <v>21</v>
      </c>
      <c r="E187" s="15">
        <v>19</v>
      </c>
      <c r="F187" s="15">
        <v>21</v>
      </c>
      <c r="G187" s="15">
        <v>21</v>
      </c>
      <c r="H187" s="15">
        <v>16</v>
      </c>
      <c r="I187" s="15">
        <v>16</v>
      </c>
      <c r="J187" s="15">
        <v>154</v>
      </c>
      <c r="K187" s="15">
        <v>32</v>
      </c>
    </row>
    <row r="188" spans="1:11" ht="15">
      <c r="A188" s="38"/>
      <c r="B188" s="20" t="s">
        <v>134</v>
      </c>
      <c r="C188" s="21" t="s">
        <v>135</v>
      </c>
      <c r="D188" s="21" t="s">
        <v>136</v>
      </c>
      <c r="E188" s="21" t="s">
        <v>137</v>
      </c>
      <c r="F188" s="21" t="s">
        <v>138</v>
      </c>
      <c r="G188" s="21" t="s">
        <v>139</v>
      </c>
      <c r="H188" s="21" t="s">
        <v>140</v>
      </c>
      <c r="I188" s="21" t="s">
        <v>141</v>
      </c>
      <c r="J188" s="21" t="s">
        <v>142</v>
      </c>
      <c r="K188" s="21" t="s">
        <v>33</v>
      </c>
    </row>
    <row r="189" spans="1:11" ht="15">
      <c r="A189" s="13"/>
      <c r="B189" s="14">
        <v>149</v>
      </c>
      <c r="C189" s="15">
        <v>173</v>
      </c>
      <c r="D189" s="15">
        <v>208</v>
      </c>
      <c r="E189" s="15">
        <v>179</v>
      </c>
      <c r="F189" s="15">
        <v>194</v>
      </c>
      <c r="G189" s="15">
        <v>201</v>
      </c>
      <c r="H189" s="15">
        <v>148</v>
      </c>
      <c r="I189" s="15">
        <v>151</v>
      </c>
      <c r="J189" s="15">
        <v>1403</v>
      </c>
      <c r="K189" s="15">
        <v>299</v>
      </c>
    </row>
    <row r="190" spans="1:11" ht="15">
      <c r="A190" s="39"/>
      <c r="B190" s="17">
        <v>20</v>
      </c>
      <c r="C190" s="18">
        <v>20</v>
      </c>
      <c r="D190" s="18">
        <v>21</v>
      </c>
      <c r="E190" s="18">
        <v>19</v>
      </c>
      <c r="F190" s="18">
        <v>21</v>
      </c>
      <c r="G190" s="18">
        <v>21</v>
      </c>
      <c r="H190" s="18">
        <v>16</v>
      </c>
      <c r="I190" s="18">
        <v>16</v>
      </c>
      <c r="J190" s="18">
        <v>154</v>
      </c>
      <c r="K190" s="18">
        <v>32</v>
      </c>
    </row>
    <row r="191" spans="1:11" ht="15">
      <c r="A191" s="10"/>
      <c r="B191" s="20" t="s">
        <v>134</v>
      </c>
      <c r="C191" s="21" t="s">
        <v>135</v>
      </c>
      <c r="D191" s="21" t="s">
        <v>136</v>
      </c>
      <c r="E191" s="21" t="s">
        <v>137</v>
      </c>
      <c r="F191" s="21" t="s">
        <v>138</v>
      </c>
      <c r="G191" s="21" t="s">
        <v>139</v>
      </c>
      <c r="H191" s="21" t="s">
        <v>140</v>
      </c>
      <c r="I191" s="21" t="s">
        <v>141</v>
      </c>
      <c r="J191" s="21" t="s">
        <v>142</v>
      </c>
      <c r="K191" s="21" t="s">
        <v>33</v>
      </c>
    </row>
    <row r="192" spans="1:11" ht="15">
      <c r="A192" s="13"/>
      <c r="B192" s="14">
        <v>149</v>
      </c>
      <c r="C192" s="15">
        <v>154</v>
      </c>
      <c r="D192" s="15">
        <v>186</v>
      </c>
      <c r="E192" s="15">
        <v>146</v>
      </c>
      <c r="F192" s="15">
        <v>180</v>
      </c>
      <c r="G192" s="15">
        <v>148</v>
      </c>
      <c r="H192" s="15">
        <v>121</v>
      </c>
      <c r="I192" s="15">
        <v>145</v>
      </c>
      <c r="J192" s="15">
        <v>1229</v>
      </c>
      <c r="K192" s="15">
        <v>266</v>
      </c>
    </row>
    <row r="193" spans="1:11" ht="15">
      <c r="A193" s="13"/>
      <c r="B193" s="14">
        <v>20</v>
      </c>
      <c r="C193" s="15">
        <v>20</v>
      </c>
      <c r="D193" s="15">
        <v>21</v>
      </c>
      <c r="E193" s="15">
        <v>19</v>
      </c>
      <c r="F193" s="15">
        <v>21</v>
      </c>
      <c r="G193" s="15">
        <v>20</v>
      </c>
      <c r="H193" s="15">
        <v>16</v>
      </c>
      <c r="I193" s="15">
        <v>16</v>
      </c>
      <c r="J193" s="15">
        <v>153</v>
      </c>
      <c r="K193" s="15">
        <v>32</v>
      </c>
    </row>
    <row r="194" spans="1:11" ht="15">
      <c r="A194" s="41"/>
      <c r="B194" s="42" t="s">
        <v>134</v>
      </c>
      <c r="C194" s="43" t="s">
        <v>135</v>
      </c>
      <c r="D194" s="43" t="s">
        <v>136</v>
      </c>
      <c r="E194" s="43" t="s">
        <v>137</v>
      </c>
      <c r="F194" s="43" t="s">
        <v>138</v>
      </c>
      <c r="G194" s="43" t="s">
        <v>139</v>
      </c>
      <c r="H194" s="43" t="s">
        <v>140</v>
      </c>
      <c r="I194" s="43" t="s">
        <v>141</v>
      </c>
      <c r="J194" s="43" t="s">
        <v>142</v>
      </c>
      <c r="K194" s="43" t="s">
        <v>33</v>
      </c>
    </row>
    <row r="195" spans="1:11" ht="15">
      <c r="A195" s="40"/>
      <c r="B195" s="27"/>
      <c r="C195" s="28"/>
      <c r="D195" s="28"/>
      <c r="E195" s="28"/>
      <c r="F195" s="28"/>
      <c r="G195" s="28"/>
      <c r="H195" s="28"/>
      <c r="I195" s="28"/>
      <c r="J195" s="15">
        <v>0</v>
      </c>
      <c r="K195" s="15">
        <v>0</v>
      </c>
    </row>
    <row r="196" spans="1:11" ht="15">
      <c r="A196" s="13"/>
      <c r="B196" s="27"/>
      <c r="C196" s="28"/>
      <c r="D196" s="28"/>
      <c r="E196" s="28"/>
      <c r="F196" s="28"/>
      <c r="G196" s="28"/>
      <c r="H196" s="28"/>
      <c r="I196" s="28"/>
      <c r="J196" s="15">
        <v>0</v>
      </c>
      <c r="K196" s="15">
        <v>0</v>
      </c>
    </row>
    <row r="197" spans="1:11" ht="15">
      <c r="A197" s="38"/>
      <c r="B197" s="20" t="s">
        <v>134</v>
      </c>
      <c r="C197" s="21" t="s">
        <v>135</v>
      </c>
      <c r="D197" s="21" t="s">
        <v>136</v>
      </c>
      <c r="E197" s="21" t="s">
        <v>137</v>
      </c>
      <c r="F197" s="21" t="s">
        <v>138</v>
      </c>
      <c r="G197" s="21" t="s">
        <v>139</v>
      </c>
      <c r="H197" s="21" t="s">
        <v>140</v>
      </c>
      <c r="I197" s="21" t="s">
        <v>141</v>
      </c>
      <c r="J197" s="21" t="s">
        <v>142</v>
      </c>
      <c r="K197" s="21" t="s">
        <v>33</v>
      </c>
    </row>
    <row r="198" spans="1:11" ht="15">
      <c r="A198" s="39"/>
      <c r="B198" s="17">
        <v>154</v>
      </c>
      <c r="C198" s="18">
        <v>165</v>
      </c>
      <c r="D198" s="18">
        <v>194</v>
      </c>
      <c r="E198" s="18">
        <v>164</v>
      </c>
      <c r="F198" s="18">
        <v>192</v>
      </c>
      <c r="G198" s="18">
        <v>207</v>
      </c>
      <c r="H198" s="18">
        <v>127</v>
      </c>
      <c r="I198" s="18">
        <v>151</v>
      </c>
      <c r="J198" s="18">
        <v>1354</v>
      </c>
      <c r="K198" s="18">
        <v>278</v>
      </c>
    </row>
    <row r="199" spans="1:11" ht="15">
      <c r="A199" s="40"/>
      <c r="B199" s="14">
        <v>20</v>
      </c>
      <c r="C199" s="15">
        <v>20</v>
      </c>
      <c r="D199" s="15">
        <v>21</v>
      </c>
      <c r="E199" s="15">
        <v>19</v>
      </c>
      <c r="F199" s="15">
        <v>21</v>
      </c>
      <c r="G199" s="15">
        <v>21</v>
      </c>
      <c r="H199" s="15">
        <v>16</v>
      </c>
      <c r="I199" s="15">
        <v>16</v>
      </c>
      <c r="J199" s="15">
        <v>154</v>
      </c>
      <c r="K199" s="15">
        <v>32</v>
      </c>
    </row>
    <row r="200" spans="1:11" ht="15">
      <c r="A200" s="38"/>
      <c r="B200" s="20" t="s">
        <v>134</v>
      </c>
      <c r="C200" s="21" t="s">
        <v>135</v>
      </c>
      <c r="D200" s="21" t="s">
        <v>136</v>
      </c>
      <c r="E200" s="21" t="s">
        <v>137</v>
      </c>
      <c r="F200" s="21" t="s">
        <v>138</v>
      </c>
      <c r="G200" s="21" t="s">
        <v>139</v>
      </c>
      <c r="H200" s="21" t="s">
        <v>140</v>
      </c>
      <c r="I200" s="21" t="s">
        <v>141</v>
      </c>
      <c r="J200" s="21" t="s">
        <v>142</v>
      </c>
      <c r="K200" s="21" t="s">
        <v>33</v>
      </c>
    </row>
    <row r="201" spans="1:11" ht="15">
      <c r="A201" s="13"/>
      <c r="B201" s="14">
        <v>169</v>
      </c>
      <c r="C201" s="15">
        <v>181</v>
      </c>
      <c r="D201" s="15">
        <v>198</v>
      </c>
      <c r="E201" s="15">
        <v>167</v>
      </c>
      <c r="F201" s="15">
        <v>180</v>
      </c>
      <c r="G201" s="15">
        <v>201</v>
      </c>
      <c r="H201" s="15">
        <v>130</v>
      </c>
      <c r="I201" s="15">
        <v>142</v>
      </c>
      <c r="J201" s="15">
        <v>1368</v>
      </c>
      <c r="K201" s="15">
        <v>272</v>
      </c>
    </row>
    <row r="202" spans="1:11" ht="15">
      <c r="A202" s="39"/>
      <c r="B202" s="17">
        <v>20</v>
      </c>
      <c r="C202" s="18">
        <v>20</v>
      </c>
      <c r="D202" s="18">
        <v>21</v>
      </c>
      <c r="E202" s="18">
        <v>19</v>
      </c>
      <c r="F202" s="18">
        <v>21</v>
      </c>
      <c r="G202" s="18">
        <v>21</v>
      </c>
      <c r="H202" s="18">
        <v>16</v>
      </c>
      <c r="I202" s="18">
        <v>16</v>
      </c>
      <c r="J202" s="18">
        <v>154</v>
      </c>
      <c r="K202" s="18">
        <v>32</v>
      </c>
    </row>
    <row r="203" spans="1:11" ht="15">
      <c r="A203" s="10"/>
      <c r="B203" s="20" t="s">
        <v>134</v>
      </c>
      <c r="C203" s="21" t="s">
        <v>135</v>
      </c>
      <c r="D203" s="21" t="s">
        <v>136</v>
      </c>
      <c r="E203" s="21" t="s">
        <v>137</v>
      </c>
      <c r="F203" s="21" t="s">
        <v>138</v>
      </c>
      <c r="G203" s="21" t="s">
        <v>139</v>
      </c>
      <c r="H203" s="21" t="s">
        <v>140</v>
      </c>
      <c r="I203" s="21" t="s">
        <v>141</v>
      </c>
      <c r="J203" s="21" t="s">
        <v>142</v>
      </c>
      <c r="K203" s="21" t="s">
        <v>33</v>
      </c>
    </row>
    <row r="204" spans="1:11" ht="15">
      <c r="A204" s="13"/>
      <c r="B204" s="14">
        <v>147</v>
      </c>
      <c r="C204" s="15">
        <v>159</v>
      </c>
      <c r="D204" s="15">
        <v>195</v>
      </c>
      <c r="E204" s="15">
        <v>161</v>
      </c>
      <c r="F204" s="15">
        <v>182</v>
      </c>
      <c r="G204" s="15">
        <v>186</v>
      </c>
      <c r="H204" s="15">
        <v>121</v>
      </c>
      <c r="I204" s="15">
        <v>133</v>
      </c>
      <c r="J204" s="15">
        <v>1284</v>
      </c>
      <c r="K204" s="15">
        <v>254</v>
      </c>
    </row>
    <row r="205" spans="1:11" ht="15">
      <c r="A205" s="13"/>
      <c r="B205" s="14">
        <v>20</v>
      </c>
      <c r="C205" s="15">
        <v>20</v>
      </c>
      <c r="D205" s="15">
        <v>21</v>
      </c>
      <c r="E205" s="15">
        <v>19</v>
      </c>
      <c r="F205" s="15">
        <v>21</v>
      </c>
      <c r="G205" s="15">
        <v>21</v>
      </c>
      <c r="H205" s="15">
        <v>16</v>
      </c>
      <c r="I205" s="15">
        <v>16</v>
      </c>
      <c r="J205" s="15">
        <v>154</v>
      </c>
      <c r="K205" s="15">
        <v>32</v>
      </c>
    </row>
    <row r="206" spans="1:11" ht="15">
      <c r="A206" s="41"/>
      <c r="B206" s="42" t="s">
        <v>134</v>
      </c>
      <c r="C206" s="43" t="s">
        <v>135</v>
      </c>
      <c r="D206" s="43" t="s">
        <v>136</v>
      </c>
      <c r="E206" s="43" t="s">
        <v>137</v>
      </c>
      <c r="F206" s="43" t="s">
        <v>138</v>
      </c>
      <c r="G206" s="43" t="s">
        <v>139</v>
      </c>
      <c r="H206" s="43" t="s">
        <v>140</v>
      </c>
      <c r="I206" s="43" t="s">
        <v>141</v>
      </c>
      <c r="J206" s="43" t="s">
        <v>142</v>
      </c>
      <c r="K206" s="43" t="s">
        <v>33</v>
      </c>
    </row>
    <row r="207" spans="1:11" ht="15">
      <c r="A207" s="40"/>
      <c r="B207" s="14">
        <v>172</v>
      </c>
      <c r="C207" s="15">
        <v>183</v>
      </c>
      <c r="D207" s="15">
        <v>206</v>
      </c>
      <c r="E207" s="15">
        <v>165</v>
      </c>
      <c r="F207" s="15">
        <v>186</v>
      </c>
      <c r="G207" s="15">
        <v>207</v>
      </c>
      <c r="H207" s="15">
        <v>136</v>
      </c>
      <c r="I207" s="15">
        <v>151</v>
      </c>
      <c r="J207" s="15">
        <v>1406</v>
      </c>
      <c r="K207" s="15">
        <v>287</v>
      </c>
    </row>
    <row r="208" spans="1:11" ht="15">
      <c r="A208" s="13"/>
      <c r="B208" s="14">
        <v>20</v>
      </c>
      <c r="C208" s="15">
        <v>20</v>
      </c>
      <c r="D208" s="15">
        <v>21</v>
      </c>
      <c r="E208" s="15">
        <v>19</v>
      </c>
      <c r="F208" s="15">
        <v>21</v>
      </c>
      <c r="G208" s="15">
        <v>21</v>
      </c>
      <c r="H208" s="15">
        <v>16</v>
      </c>
      <c r="I208" s="15">
        <v>16</v>
      </c>
      <c r="J208" s="15">
        <v>154</v>
      </c>
      <c r="K208" s="15">
        <v>32</v>
      </c>
    </row>
    <row r="209" spans="1:11" ht="15">
      <c r="A209" s="38"/>
      <c r="B209" s="20" t="s">
        <v>134</v>
      </c>
      <c r="C209" s="21" t="s">
        <v>135</v>
      </c>
      <c r="D209" s="21" t="s">
        <v>136</v>
      </c>
      <c r="E209" s="21" t="s">
        <v>137</v>
      </c>
      <c r="F209" s="21" t="s">
        <v>138</v>
      </c>
      <c r="G209" s="21" t="s">
        <v>139</v>
      </c>
      <c r="H209" s="21" t="s">
        <v>140</v>
      </c>
      <c r="I209" s="21" t="s">
        <v>141</v>
      </c>
      <c r="J209" s="21" t="s">
        <v>142</v>
      </c>
      <c r="K209" s="21" t="s">
        <v>33</v>
      </c>
    </row>
    <row r="210" spans="1:11" ht="15">
      <c r="A210" s="39"/>
      <c r="B210" s="17">
        <v>180</v>
      </c>
      <c r="C210" s="18">
        <v>191</v>
      </c>
      <c r="D210" s="18">
        <v>206</v>
      </c>
      <c r="E210" s="18">
        <v>176</v>
      </c>
      <c r="F210" s="18">
        <v>198</v>
      </c>
      <c r="G210" s="18">
        <v>201</v>
      </c>
      <c r="H210" s="18">
        <v>157</v>
      </c>
      <c r="I210" s="18">
        <v>160</v>
      </c>
      <c r="J210" s="18">
        <v>1469</v>
      </c>
      <c r="K210" s="18">
        <v>317</v>
      </c>
    </row>
    <row r="211" spans="1:11" ht="15">
      <c r="A211" s="40"/>
      <c r="B211" s="14">
        <v>20</v>
      </c>
      <c r="C211" s="15">
        <v>20</v>
      </c>
      <c r="D211" s="15">
        <v>21</v>
      </c>
      <c r="E211" s="15">
        <v>19</v>
      </c>
      <c r="F211" s="15">
        <v>21</v>
      </c>
      <c r="G211" s="15">
        <v>21</v>
      </c>
      <c r="H211" s="15">
        <v>16</v>
      </c>
      <c r="I211" s="15">
        <v>16</v>
      </c>
      <c r="J211" s="15">
        <v>154</v>
      </c>
      <c r="K211" s="15">
        <v>32</v>
      </c>
    </row>
    <row r="212" spans="1:11" ht="15">
      <c r="A212" s="38"/>
      <c r="B212" s="20" t="s">
        <v>134</v>
      </c>
      <c r="C212" s="21" t="s">
        <v>135</v>
      </c>
      <c r="D212" s="21" t="s">
        <v>136</v>
      </c>
      <c r="E212" s="21" t="s">
        <v>137</v>
      </c>
      <c r="F212" s="21" t="s">
        <v>138</v>
      </c>
      <c r="G212" s="21" t="s">
        <v>139</v>
      </c>
      <c r="H212" s="21" t="s">
        <v>140</v>
      </c>
      <c r="I212" s="21" t="s">
        <v>141</v>
      </c>
      <c r="J212" s="21" t="s">
        <v>142</v>
      </c>
      <c r="K212" s="21" t="s">
        <v>33</v>
      </c>
    </row>
    <row r="213" spans="1:11" ht="15">
      <c r="A213" s="13"/>
      <c r="B213" s="14">
        <v>182</v>
      </c>
      <c r="C213" s="15">
        <v>188</v>
      </c>
      <c r="D213" s="15">
        <v>204</v>
      </c>
      <c r="E213" s="15">
        <v>179</v>
      </c>
      <c r="F213" s="15">
        <v>194</v>
      </c>
      <c r="G213" s="15">
        <v>204</v>
      </c>
      <c r="H213" s="15">
        <v>145</v>
      </c>
      <c r="I213" s="15">
        <v>145</v>
      </c>
      <c r="J213" s="15">
        <v>1441</v>
      </c>
      <c r="K213" s="15">
        <v>290</v>
      </c>
    </row>
    <row r="214" spans="1:11" ht="15">
      <c r="A214" s="39"/>
      <c r="B214" s="17">
        <v>20</v>
      </c>
      <c r="C214" s="18">
        <v>20</v>
      </c>
      <c r="D214" s="18">
        <v>21</v>
      </c>
      <c r="E214" s="18">
        <v>19</v>
      </c>
      <c r="F214" s="18">
        <v>21</v>
      </c>
      <c r="G214" s="18">
        <v>21</v>
      </c>
      <c r="H214" s="18">
        <v>16</v>
      </c>
      <c r="I214" s="18">
        <v>16</v>
      </c>
      <c r="J214" s="18">
        <v>154</v>
      </c>
      <c r="K214" s="18">
        <v>32</v>
      </c>
    </row>
    <row r="215" spans="1:11" ht="15">
      <c r="A215" s="10"/>
      <c r="B215" s="20" t="s">
        <v>134</v>
      </c>
      <c r="C215" s="21" t="s">
        <v>135</v>
      </c>
      <c r="D215" s="21" t="s">
        <v>136</v>
      </c>
      <c r="E215" s="21" t="s">
        <v>137</v>
      </c>
      <c r="F215" s="21" t="s">
        <v>138</v>
      </c>
      <c r="G215" s="21" t="s">
        <v>139</v>
      </c>
      <c r="H215" s="21" t="s">
        <v>140</v>
      </c>
      <c r="I215" s="21" t="s">
        <v>141</v>
      </c>
      <c r="J215" s="21" t="s">
        <v>142</v>
      </c>
      <c r="K215" s="21" t="s">
        <v>33</v>
      </c>
    </row>
    <row r="216" spans="1:11" ht="15">
      <c r="A216" s="13"/>
      <c r="B216" s="14">
        <v>154</v>
      </c>
      <c r="C216" s="15">
        <v>182</v>
      </c>
      <c r="D216" s="15">
        <v>195</v>
      </c>
      <c r="E216" s="15">
        <v>160</v>
      </c>
      <c r="F216" s="15">
        <v>190</v>
      </c>
      <c r="G216" s="15">
        <v>198</v>
      </c>
      <c r="H216" s="15">
        <v>142</v>
      </c>
      <c r="I216" s="15">
        <v>133</v>
      </c>
      <c r="J216" s="15">
        <v>1354</v>
      </c>
      <c r="K216" s="15">
        <v>275</v>
      </c>
    </row>
    <row r="217" spans="1:11" ht="15">
      <c r="A217" s="13"/>
      <c r="B217" s="14">
        <v>20</v>
      </c>
      <c r="C217" s="15">
        <v>20</v>
      </c>
      <c r="D217" s="15">
        <v>21</v>
      </c>
      <c r="E217" s="15">
        <v>19</v>
      </c>
      <c r="F217" s="15">
        <v>21</v>
      </c>
      <c r="G217" s="15">
        <v>21</v>
      </c>
      <c r="H217" s="15">
        <v>16</v>
      </c>
      <c r="I217" s="15">
        <v>16</v>
      </c>
      <c r="J217" s="15">
        <v>154</v>
      </c>
      <c r="K217" s="15">
        <v>32</v>
      </c>
    </row>
    <row r="218" spans="1:11" ht="15">
      <c r="A218" s="41"/>
      <c r="B218" s="42" t="s">
        <v>134</v>
      </c>
      <c r="C218" s="43" t="s">
        <v>135</v>
      </c>
      <c r="D218" s="43" t="s">
        <v>136</v>
      </c>
      <c r="E218" s="43" t="s">
        <v>137</v>
      </c>
      <c r="F218" s="43" t="s">
        <v>138</v>
      </c>
      <c r="G218" s="43" t="s">
        <v>139</v>
      </c>
      <c r="H218" s="43" t="s">
        <v>140</v>
      </c>
      <c r="I218" s="43" t="s">
        <v>141</v>
      </c>
      <c r="J218" s="43" t="s">
        <v>142</v>
      </c>
      <c r="K218" s="43" t="s">
        <v>33</v>
      </c>
    </row>
    <row r="219" spans="1:11" ht="15">
      <c r="A219" s="40"/>
      <c r="B219" s="14">
        <v>173</v>
      </c>
      <c r="C219" s="15">
        <v>184</v>
      </c>
      <c r="D219" s="15">
        <v>210</v>
      </c>
      <c r="E219" s="15">
        <v>181</v>
      </c>
      <c r="F219" s="15">
        <v>206</v>
      </c>
      <c r="G219" s="15">
        <v>204</v>
      </c>
      <c r="H219" s="15">
        <v>154</v>
      </c>
      <c r="I219" s="15">
        <v>157</v>
      </c>
      <c r="J219" s="15">
        <v>1469</v>
      </c>
      <c r="K219" s="15">
        <v>311</v>
      </c>
    </row>
    <row r="220" spans="1:11" ht="15">
      <c r="A220" s="13"/>
      <c r="B220" s="14">
        <v>20</v>
      </c>
      <c r="C220" s="15">
        <v>20</v>
      </c>
      <c r="D220" s="15">
        <v>21</v>
      </c>
      <c r="E220" s="15">
        <v>19</v>
      </c>
      <c r="F220" s="15">
        <v>21</v>
      </c>
      <c r="G220" s="15">
        <v>21</v>
      </c>
      <c r="H220" s="15">
        <v>16</v>
      </c>
      <c r="I220" s="15">
        <v>16</v>
      </c>
      <c r="J220" s="15">
        <v>154</v>
      </c>
      <c r="K220" s="15">
        <v>32</v>
      </c>
    </row>
    <row r="221" spans="1:11" ht="15">
      <c r="A221" s="38"/>
      <c r="B221" s="20" t="s">
        <v>134</v>
      </c>
      <c r="C221" s="21" t="s">
        <v>135</v>
      </c>
      <c r="D221" s="21" t="s">
        <v>136</v>
      </c>
      <c r="E221" s="21" t="s">
        <v>137</v>
      </c>
      <c r="F221" s="21" t="s">
        <v>138</v>
      </c>
      <c r="G221" s="21" t="s">
        <v>139</v>
      </c>
      <c r="H221" s="21" t="s">
        <v>140</v>
      </c>
      <c r="I221" s="21" t="s">
        <v>141</v>
      </c>
      <c r="J221" s="21" t="s">
        <v>142</v>
      </c>
      <c r="K221" s="21" t="s">
        <v>33</v>
      </c>
    </row>
    <row r="222" spans="1:11" ht="15">
      <c r="A222" s="39"/>
      <c r="B222" s="17">
        <v>190</v>
      </c>
      <c r="C222" s="18">
        <v>189</v>
      </c>
      <c r="D222" s="18">
        <v>201</v>
      </c>
      <c r="E222" s="18">
        <v>171</v>
      </c>
      <c r="F222" s="18">
        <v>198</v>
      </c>
      <c r="G222" s="18">
        <v>210</v>
      </c>
      <c r="H222" s="18">
        <v>142</v>
      </c>
      <c r="I222" s="18">
        <v>142</v>
      </c>
      <c r="J222" s="18">
        <v>1443</v>
      </c>
      <c r="K222" s="18">
        <v>284</v>
      </c>
    </row>
    <row r="223" spans="1:11" ht="15">
      <c r="A223" s="40"/>
      <c r="B223" s="14">
        <v>20</v>
      </c>
      <c r="C223" s="15">
        <v>20</v>
      </c>
      <c r="D223" s="15">
        <v>21</v>
      </c>
      <c r="E223" s="15">
        <v>19</v>
      </c>
      <c r="F223" s="15">
        <v>21</v>
      </c>
      <c r="G223" s="15">
        <v>21</v>
      </c>
      <c r="H223" s="15">
        <v>16</v>
      </c>
      <c r="I223" s="15">
        <v>16</v>
      </c>
      <c r="J223" s="15">
        <v>154</v>
      </c>
      <c r="K223" s="15">
        <v>32</v>
      </c>
    </row>
    <row r="224" spans="1:11" ht="15">
      <c r="A224" s="38"/>
      <c r="B224" s="20" t="s">
        <v>134</v>
      </c>
      <c r="C224" s="21" t="s">
        <v>135</v>
      </c>
      <c r="D224" s="21" t="s">
        <v>136</v>
      </c>
      <c r="E224" s="21" t="s">
        <v>137</v>
      </c>
      <c r="F224" s="21" t="s">
        <v>138</v>
      </c>
      <c r="G224" s="21" t="s">
        <v>139</v>
      </c>
      <c r="H224" s="21" t="s">
        <v>140</v>
      </c>
      <c r="I224" s="21" t="s">
        <v>141</v>
      </c>
      <c r="J224" s="21" t="s">
        <v>142</v>
      </c>
      <c r="K224" s="21" t="s">
        <v>33</v>
      </c>
    </row>
    <row r="225" spans="1:11" ht="15">
      <c r="A225" s="13"/>
      <c r="B225" s="14">
        <v>180</v>
      </c>
      <c r="C225" s="15">
        <v>176</v>
      </c>
      <c r="D225" s="15">
        <v>202</v>
      </c>
      <c r="E225" s="15">
        <v>162</v>
      </c>
      <c r="F225" s="15">
        <v>198</v>
      </c>
      <c r="G225" s="15">
        <v>201</v>
      </c>
      <c r="H225" s="15">
        <v>124</v>
      </c>
      <c r="I225" s="15">
        <v>145</v>
      </c>
      <c r="J225" s="15">
        <v>1388</v>
      </c>
      <c r="K225" s="15">
        <v>269</v>
      </c>
    </row>
    <row r="226" spans="1:11" ht="15">
      <c r="A226" s="39"/>
      <c r="B226" s="17">
        <v>20</v>
      </c>
      <c r="C226" s="18">
        <v>20</v>
      </c>
      <c r="D226" s="18">
        <v>21</v>
      </c>
      <c r="E226" s="18">
        <v>19</v>
      </c>
      <c r="F226" s="18">
        <v>21</v>
      </c>
      <c r="G226" s="18">
        <v>21</v>
      </c>
      <c r="H226" s="18">
        <v>16</v>
      </c>
      <c r="I226" s="18">
        <v>16</v>
      </c>
      <c r="J226" s="18">
        <v>154</v>
      </c>
      <c r="K226" s="18">
        <v>32</v>
      </c>
    </row>
    <row r="227" spans="1:11" ht="15">
      <c r="A227" s="10"/>
      <c r="B227" s="20" t="s">
        <v>134</v>
      </c>
      <c r="C227" s="21" t="s">
        <v>135</v>
      </c>
      <c r="D227" s="21" t="s">
        <v>136</v>
      </c>
      <c r="E227" s="21" t="s">
        <v>137</v>
      </c>
      <c r="F227" s="21" t="s">
        <v>138</v>
      </c>
      <c r="G227" s="21" t="s">
        <v>139</v>
      </c>
      <c r="H227" s="21" t="s">
        <v>140</v>
      </c>
      <c r="I227" s="21" t="s">
        <v>141</v>
      </c>
      <c r="J227" s="21" t="s">
        <v>142</v>
      </c>
      <c r="K227" s="21" t="s">
        <v>33</v>
      </c>
    </row>
    <row r="228" spans="1:11" ht="15">
      <c r="A228" s="13"/>
      <c r="B228" s="14">
        <v>172</v>
      </c>
      <c r="C228" s="15">
        <v>189</v>
      </c>
      <c r="D228" s="15">
        <v>210</v>
      </c>
      <c r="E228" s="15">
        <v>173</v>
      </c>
      <c r="F228" s="15">
        <v>202</v>
      </c>
      <c r="G228" s="15">
        <v>189</v>
      </c>
      <c r="H228" s="15">
        <v>133</v>
      </c>
      <c r="I228" s="15">
        <v>148</v>
      </c>
      <c r="J228" s="15">
        <v>1416</v>
      </c>
      <c r="K228" s="15">
        <v>281</v>
      </c>
    </row>
    <row r="229" spans="1:11" ht="15">
      <c r="A229" s="13"/>
      <c r="B229" s="14">
        <v>20</v>
      </c>
      <c r="C229" s="15">
        <v>20</v>
      </c>
      <c r="D229" s="15">
        <v>21</v>
      </c>
      <c r="E229" s="15">
        <v>19</v>
      </c>
      <c r="F229" s="15">
        <v>21</v>
      </c>
      <c r="G229" s="15">
        <v>21</v>
      </c>
      <c r="H229" s="15">
        <v>16</v>
      </c>
      <c r="I229" s="15">
        <v>16</v>
      </c>
      <c r="J229" s="15">
        <v>154</v>
      </c>
      <c r="K229" s="15">
        <v>32</v>
      </c>
    </row>
    <row r="230" spans="1:11" ht="15">
      <c r="A230" s="41"/>
      <c r="B230" s="42" t="s">
        <v>134</v>
      </c>
      <c r="C230" s="43" t="s">
        <v>135</v>
      </c>
      <c r="D230" s="43" t="s">
        <v>136</v>
      </c>
      <c r="E230" s="43" t="s">
        <v>137</v>
      </c>
      <c r="F230" s="43" t="s">
        <v>138</v>
      </c>
      <c r="G230" s="43" t="s">
        <v>139</v>
      </c>
      <c r="H230" s="43" t="s">
        <v>140</v>
      </c>
      <c r="I230" s="43" t="s">
        <v>141</v>
      </c>
      <c r="J230" s="43" t="s">
        <v>142</v>
      </c>
      <c r="K230" s="43" t="s">
        <v>33</v>
      </c>
    </row>
    <row r="231" spans="1:11" ht="15">
      <c r="A231" s="40"/>
      <c r="B231" s="14">
        <v>167</v>
      </c>
      <c r="C231" s="15">
        <v>176</v>
      </c>
      <c r="D231" s="15">
        <v>206</v>
      </c>
      <c r="E231" s="15">
        <v>175</v>
      </c>
      <c r="F231" s="15">
        <v>198</v>
      </c>
      <c r="G231" s="15">
        <v>178</v>
      </c>
      <c r="H231" s="15">
        <v>140</v>
      </c>
      <c r="I231" s="15">
        <v>145</v>
      </c>
      <c r="J231" s="15">
        <v>1385</v>
      </c>
      <c r="K231" s="15">
        <v>285</v>
      </c>
    </row>
    <row r="232" spans="1:11" ht="15">
      <c r="A232" s="13"/>
      <c r="B232" s="14">
        <v>20</v>
      </c>
      <c r="C232" s="15">
        <v>20</v>
      </c>
      <c r="D232" s="15">
        <v>21</v>
      </c>
      <c r="E232" s="15">
        <v>19</v>
      </c>
      <c r="F232" s="15">
        <v>21</v>
      </c>
      <c r="G232" s="15">
        <v>20</v>
      </c>
      <c r="H232" s="15">
        <v>16</v>
      </c>
      <c r="I232" s="15">
        <v>16</v>
      </c>
      <c r="J232" s="15">
        <v>153</v>
      </c>
      <c r="K232" s="15">
        <v>32</v>
      </c>
    </row>
    <row r="233" spans="1:11" ht="15">
      <c r="A233" s="38"/>
      <c r="B233" s="20" t="s">
        <v>134</v>
      </c>
      <c r="C233" s="21" t="s">
        <v>135</v>
      </c>
      <c r="D233" s="21" t="s">
        <v>136</v>
      </c>
      <c r="E233" s="21" t="s">
        <v>137</v>
      </c>
      <c r="F233" s="21" t="s">
        <v>138</v>
      </c>
      <c r="G233" s="21" t="s">
        <v>139</v>
      </c>
      <c r="H233" s="21" t="s">
        <v>140</v>
      </c>
      <c r="I233" s="21" t="s">
        <v>141</v>
      </c>
      <c r="J233" s="21" t="s">
        <v>142</v>
      </c>
      <c r="K233" s="21" t="s">
        <v>33</v>
      </c>
    </row>
    <row r="234" spans="1:11" ht="15">
      <c r="A234" s="39"/>
      <c r="B234" s="17">
        <v>134</v>
      </c>
      <c r="C234" s="18">
        <v>151</v>
      </c>
      <c r="D234" s="18">
        <v>180</v>
      </c>
      <c r="E234" s="18">
        <v>151</v>
      </c>
      <c r="F234" s="18">
        <v>194</v>
      </c>
      <c r="G234" s="18">
        <v>151</v>
      </c>
      <c r="H234" s="18">
        <v>124</v>
      </c>
      <c r="I234" s="18">
        <v>145</v>
      </c>
      <c r="J234" s="18">
        <v>1230</v>
      </c>
      <c r="K234" s="18">
        <v>269</v>
      </c>
    </row>
    <row r="235" spans="1:11" ht="15">
      <c r="A235" s="40"/>
      <c r="B235" s="14">
        <v>20</v>
      </c>
      <c r="C235" s="15">
        <v>20</v>
      </c>
      <c r="D235" s="15">
        <v>21</v>
      </c>
      <c r="E235" s="15">
        <v>19</v>
      </c>
      <c r="F235" s="15">
        <v>21</v>
      </c>
      <c r="G235" s="15">
        <v>20</v>
      </c>
      <c r="H235" s="15">
        <v>16</v>
      </c>
      <c r="I235" s="15">
        <v>16</v>
      </c>
      <c r="J235" s="15">
        <v>153</v>
      </c>
      <c r="K235" s="15">
        <v>32</v>
      </c>
    </row>
    <row r="236" spans="1:11" ht="15">
      <c r="A236" s="38"/>
      <c r="B236" s="20" t="s">
        <v>134</v>
      </c>
      <c r="C236" s="21" t="s">
        <v>135</v>
      </c>
      <c r="D236" s="21" t="s">
        <v>136</v>
      </c>
      <c r="E236" s="21" t="s">
        <v>137</v>
      </c>
      <c r="F236" s="21" t="s">
        <v>138</v>
      </c>
      <c r="G236" s="21" t="s">
        <v>139</v>
      </c>
      <c r="H236" s="21" t="s">
        <v>140</v>
      </c>
      <c r="I236" s="21" t="s">
        <v>141</v>
      </c>
      <c r="J236" s="21" t="s">
        <v>142</v>
      </c>
      <c r="K236" s="21" t="s">
        <v>33</v>
      </c>
    </row>
    <row r="237" spans="1:11" ht="15">
      <c r="A237" s="13"/>
      <c r="B237" s="14">
        <v>200</v>
      </c>
      <c r="C237" s="15">
        <v>200</v>
      </c>
      <c r="D237" s="15">
        <v>210</v>
      </c>
      <c r="E237" s="15">
        <v>180</v>
      </c>
      <c r="F237" s="15">
        <v>194</v>
      </c>
      <c r="G237" s="15">
        <v>190</v>
      </c>
      <c r="H237" s="15">
        <v>148</v>
      </c>
      <c r="I237" s="15">
        <v>160</v>
      </c>
      <c r="J237" s="15">
        <v>1482</v>
      </c>
      <c r="K237" s="15">
        <v>308</v>
      </c>
    </row>
    <row r="238" spans="1:11" ht="15">
      <c r="A238" s="39"/>
      <c r="B238" s="17">
        <v>20</v>
      </c>
      <c r="C238" s="18">
        <v>20</v>
      </c>
      <c r="D238" s="18">
        <v>21</v>
      </c>
      <c r="E238" s="18">
        <v>19</v>
      </c>
      <c r="F238" s="18">
        <v>21</v>
      </c>
      <c r="G238" s="18">
        <v>20</v>
      </c>
      <c r="H238" s="18">
        <v>16</v>
      </c>
      <c r="I238" s="18">
        <v>16</v>
      </c>
      <c r="J238" s="18">
        <v>153</v>
      </c>
      <c r="K238" s="18">
        <v>32</v>
      </c>
    </row>
    <row r="239" spans="1:11" ht="15">
      <c r="A239" s="10"/>
      <c r="B239" s="20" t="s">
        <v>134</v>
      </c>
      <c r="C239" s="21" t="s">
        <v>135</v>
      </c>
      <c r="D239" s="21" t="s">
        <v>136</v>
      </c>
      <c r="E239" s="21" t="s">
        <v>137</v>
      </c>
      <c r="F239" s="21" t="s">
        <v>138</v>
      </c>
      <c r="G239" s="21" t="s">
        <v>139</v>
      </c>
      <c r="H239" s="21" t="s">
        <v>140</v>
      </c>
      <c r="I239" s="21" t="s">
        <v>141</v>
      </c>
      <c r="J239" s="21" t="s">
        <v>142</v>
      </c>
      <c r="K239" s="21" t="s">
        <v>33</v>
      </c>
    </row>
    <row r="240" spans="1:11" ht="15">
      <c r="A240" s="13"/>
      <c r="B240" s="14">
        <v>137</v>
      </c>
      <c r="C240" s="15">
        <v>164</v>
      </c>
      <c r="D240" s="15">
        <v>188</v>
      </c>
      <c r="E240" s="15">
        <v>160</v>
      </c>
      <c r="F240" s="15">
        <v>174</v>
      </c>
      <c r="G240" s="15">
        <v>150</v>
      </c>
      <c r="H240" s="15">
        <v>141</v>
      </c>
      <c r="I240" s="15">
        <v>160</v>
      </c>
      <c r="J240" s="15">
        <v>1274</v>
      </c>
      <c r="K240" s="15">
        <v>301</v>
      </c>
    </row>
    <row r="241" spans="1:11" ht="15">
      <c r="A241" s="13"/>
      <c r="B241" s="14">
        <v>20</v>
      </c>
      <c r="C241" s="15">
        <v>20</v>
      </c>
      <c r="D241" s="15">
        <v>21</v>
      </c>
      <c r="E241" s="15">
        <v>19</v>
      </c>
      <c r="F241" s="15">
        <v>21</v>
      </c>
      <c r="G241" s="15">
        <v>20</v>
      </c>
      <c r="H241" s="15">
        <v>16</v>
      </c>
      <c r="I241" s="15">
        <v>16</v>
      </c>
      <c r="J241" s="15">
        <v>153</v>
      </c>
      <c r="K241" s="15">
        <v>32</v>
      </c>
    </row>
    <row r="242" spans="1:11" ht="15">
      <c r="A242" s="41"/>
      <c r="B242" s="42" t="s">
        <v>134</v>
      </c>
      <c r="C242" s="43" t="s">
        <v>135</v>
      </c>
      <c r="D242" s="43" t="s">
        <v>136</v>
      </c>
      <c r="E242" s="43" t="s">
        <v>137</v>
      </c>
      <c r="F242" s="43" t="s">
        <v>138</v>
      </c>
      <c r="G242" s="43" t="s">
        <v>139</v>
      </c>
      <c r="H242" s="43" t="s">
        <v>140</v>
      </c>
      <c r="I242" s="43" t="s">
        <v>141</v>
      </c>
      <c r="J242" s="43" t="s">
        <v>142</v>
      </c>
      <c r="K242" s="43" t="s">
        <v>33</v>
      </c>
    </row>
    <row r="243" spans="1:11" ht="15">
      <c r="A243" s="40"/>
      <c r="B243" s="14">
        <v>168</v>
      </c>
      <c r="C243" s="15">
        <v>181</v>
      </c>
      <c r="D243" s="15">
        <v>189</v>
      </c>
      <c r="E243" s="15">
        <v>159</v>
      </c>
      <c r="F243" s="15">
        <v>178</v>
      </c>
      <c r="G243" s="15">
        <v>135</v>
      </c>
      <c r="H243" s="15">
        <v>121</v>
      </c>
      <c r="I243" s="15">
        <v>160</v>
      </c>
      <c r="J243" s="15">
        <v>1291</v>
      </c>
      <c r="K243" s="15">
        <v>281</v>
      </c>
    </row>
    <row r="244" spans="1:11" ht="15">
      <c r="A244" s="13"/>
      <c r="B244" s="14">
        <v>20</v>
      </c>
      <c r="C244" s="15">
        <v>20</v>
      </c>
      <c r="D244" s="15">
        <v>21</v>
      </c>
      <c r="E244" s="15">
        <v>19</v>
      </c>
      <c r="F244" s="15">
        <v>21</v>
      </c>
      <c r="G244" s="15">
        <v>20</v>
      </c>
      <c r="H244" s="15">
        <v>16</v>
      </c>
      <c r="I244" s="15">
        <v>16</v>
      </c>
      <c r="J244" s="15">
        <v>153</v>
      </c>
      <c r="K244" s="15">
        <v>32</v>
      </c>
    </row>
    <row r="245" spans="1:11" ht="15">
      <c r="A245" s="38"/>
      <c r="B245" s="20" t="s">
        <v>134</v>
      </c>
      <c r="C245" s="21" t="s">
        <v>135</v>
      </c>
      <c r="D245" s="21" t="s">
        <v>136</v>
      </c>
      <c r="E245" s="21" t="s">
        <v>137</v>
      </c>
      <c r="F245" s="21" t="s">
        <v>138</v>
      </c>
      <c r="G245" s="21" t="s">
        <v>139</v>
      </c>
      <c r="H245" s="21" t="s">
        <v>140</v>
      </c>
      <c r="I245" s="22" t="s">
        <v>141</v>
      </c>
      <c r="J245" s="21" t="s">
        <v>142</v>
      </c>
      <c r="K245" s="21" t="s">
        <v>33</v>
      </c>
    </row>
    <row r="246" spans="1:11" ht="15">
      <c r="A246" s="44"/>
      <c r="B246" s="17">
        <v>122</v>
      </c>
      <c r="C246" s="18">
        <v>135</v>
      </c>
      <c r="D246" s="18">
        <v>202</v>
      </c>
      <c r="E246" s="18">
        <v>161</v>
      </c>
      <c r="F246" s="18">
        <v>184</v>
      </c>
      <c r="G246" s="18">
        <v>156</v>
      </c>
      <c r="H246" s="18">
        <v>100</v>
      </c>
      <c r="I246" s="18">
        <v>136</v>
      </c>
      <c r="J246" s="18">
        <v>1196</v>
      </c>
      <c r="K246" s="18">
        <v>236</v>
      </c>
    </row>
    <row r="247" spans="1:11" ht="15">
      <c r="A247" s="45"/>
      <c r="B247" s="14">
        <v>20</v>
      </c>
      <c r="C247" s="15">
        <v>20</v>
      </c>
      <c r="D247" s="15">
        <v>21</v>
      </c>
      <c r="E247" s="15">
        <v>19</v>
      </c>
      <c r="F247" s="15">
        <v>21</v>
      </c>
      <c r="G247" s="15">
        <v>21</v>
      </c>
      <c r="H247" s="15">
        <v>16</v>
      </c>
      <c r="I247" s="15">
        <v>16</v>
      </c>
      <c r="J247" s="15">
        <v>154</v>
      </c>
      <c r="K247" s="15">
        <v>32</v>
      </c>
    </row>
    <row r="248" spans="1:11" ht="15">
      <c r="A248" s="38"/>
      <c r="B248" s="20" t="s">
        <v>134</v>
      </c>
      <c r="C248" s="21" t="s">
        <v>135</v>
      </c>
      <c r="D248" s="21" t="s">
        <v>136</v>
      </c>
      <c r="E248" s="21" t="s">
        <v>137</v>
      </c>
      <c r="F248" s="21" t="s">
        <v>138</v>
      </c>
      <c r="G248" s="21" t="s">
        <v>139</v>
      </c>
      <c r="H248" s="21" t="s">
        <v>140</v>
      </c>
      <c r="I248" s="21" t="s">
        <v>141</v>
      </c>
      <c r="J248" s="21" t="s">
        <v>142</v>
      </c>
      <c r="K248" s="21" t="s">
        <v>33</v>
      </c>
    </row>
    <row r="249" spans="1:11" ht="15">
      <c r="A249" s="13"/>
      <c r="B249" s="14">
        <v>117</v>
      </c>
      <c r="C249" s="15">
        <v>130</v>
      </c>
      <c r="D249" s="15">
        <v>199</v>
      </c>
      <c r="E249" s="15">
        <v>152</v>
      </c>
      <c r="F249" s="15">
        <v>176</v>
      </c>
      <c r="G249" s="15">
        <v>174</v>
      </c>
      <c r="H249" s="15">
        <v>120</v>
      </c>
      <c r="I249" s="15">
        <v>127</v>
      </c>
      <c r="J249" s="15">
        <v>1195</v>
      </c>
      <c r="K249" s="15">
        <v>247</v>
      </c>
    </row>
    <row r="250" spans="1:11" ht="15">
      <c r="A250" s="39"/>
      <c r="B250" s="17">
        <v>20</v>
      </c>
      <c r="C250" s="18">
        <v>20</v>
      </c>
      <c r="D250" s="18">
        <v>21</v>
      </c>
      <c r="E250" s="18">
        <v>19</v>
      </c>
      <c r="F250" s="18">
        <v>21</v>
      </c>
      <c r="G250" s="18">
        <v>21</v>
      </c>
      <c r="H250" s="18">
        <v>16</v>
      </c>
      <c r="I250" s="18">
        <v>16</v>
      </c>
      <c r="J250" s="18">
        <v>154</v>
      </c>
      <c r="K250" s="18">
        <v>32</v>
      </c>
    </row>
    <row r="251" spans="1:11" ht="15">
      <c r="A251" s="10"/>
      <c r="B251" s="20" t="s">
        <v>134</v>
      </c>
      <c r="C251" s="21" t="s">
        <v>135</v>
      </c>
      <c r="D251" s="21" t="s">
        <v>136</v>
      </c>
      <c r="E251" s="21" t="s">
        <v>137</v>
      </c>
      <c r="F251" s="21" t="s">
        <v>138</v>
      </c>
      <c r="G251" s="21" t="s">
        <v>139</v>
      </c>
      <c r="H251" s="21" t="s">
        <v>140</v>
      </c>
      <c r="I251" s="21" t="s">
        <v>141</v>
      </c>
      <c r="J251" s="21" t="s">
        <v>142</v>
      </c>
      <c r="K251" s="21" t="s">
        <v>33</v>
      </c>
    </row>
    <row r="252" spans="1:11" ht="15">
      <c r="A252" s="13"/>
      <c r="B252" s="14">
        <v>152</v>
      </c>
      <c r="C252" s="15">
        <v>167</v>
      </c>
      <c r="D252" s="15">
        <v>202</v>
      </c>
      <c r="E252" s="15">
        <v>166</v>
      </c>
      <c r="F252" s="15">
        <v>182</v>
      </c>
      <c r="G252" s="15">
        <v>155</v>
      </c>
      <c r="H252" s="15">
        <v>136</v>
      </c>
      <c r="I252" s="15">
        <v>130</v>
      </c>
      <c r="J252" s="15">
        <v>1290</v>
      </c>
      <c r="K252" s="15">
        <v>266</v>
      </c>
    </row>
    <row r="253" spans="1:11" ht="15">
      <c r="A253" s="13"/>
      <c r="B253" s="14">
        <v>20</v>
      </c>
      <c r="C253" s="15">
        <v>20</v>
      </c>
      <c r="D253" s="15">
        <v>21</v>
      </c>
      <c r="E253" s="15">
        <v>19</v>
      </c>
      <c r="F253" s="15">
        <v>21</v>
      </c>
      <c r="G253" s="15">
        <v>20</v>
      </c>
      <c r="H253" s="15">
        <v>16</v>
      </c>
      <c r="I253" s="15">
        <v>16</v>
      </c>
      <c r="J253" s="15">
        <v>153</v>
      </c>
      <c r="K253" s="15">
        <v>32</v>
      </c>
    </row>
    <row r="254" spans="1:11" ht="15">
      <c r="A254" s="41"/>
      <c r="B254" s="42" t="s">
        <v>134</v>
      </c>
      <c r="C254" s="43" t="s">
        <v>135</v>
      </c>
      <c r="D254" s="43" t="s">
        <v>136</v>
      </c>
      <c r="E254" s="43" t="s">
        <v>137</v>
      </c>
      <c r="F254" s="43" t="s">
        <v>138</v>
      </c>
      <c r="G254" s="43" t="s">
        <v>139</v>
      </c>
      <c r="H254" s="43" t="s">
        <v>140</v>
      </c>
      <c r="I254" s="43" t="s">
        <v>141</v>
      </c>
      <c r="J254" s="43" t="s">
        <v>142</v>
      </c>
      <c r="K254" s="43" t="s">
        <v>33</v>
      </c>
    </row>
    <row r="255" spans="1:11" ht="15">
      <c r="A255" s="40"/>
      <c r="B255" s="14">
        <v>156</v>
      </c>
      <c r="C255" s="15">
        <v>167</v>
      </c>
      <c r="D255" s="15">
        <v>206</v>
      </c>
      <c r="E255" s="15">
        <v>176</v>
      </c>
      <c r="F255" s="15">
        <v>196</v>
      </c>
      <c r="G255" s="15">
        <v>204</v>
      </c>
      <c r="H255" s="15">
        <v>119</v>
      </c>
      <c r="I255" s="15">
        <v>153</v>
      </c>
      <c r="J255" s="15">
        <v>1377</v>
      </c>
      <c r="K255" s="15">
        <v>272</v>
      </c>
    </row>
    <row r="256" spans="1:11" ht="15">
      <c r="A256" s="13"/>
      <c r="B256" s="14">
        <v>20</v>
      </c>
      <c r="C256" s="15">
        <v>20</v>
      </c>
      <c r="D256" s="15">
        <v>21</v>
      </c>
      <c r="E256" s="15">
        <v>19</v>
      </c>
      <c r="F256" s="15">
        <v>21</v>
      </c>
      <c r="G256" s="15">
        <v>21</v>
      </c>
      <c r="H256" s="15">
        <v>16</v>
      </c>
      <c r="I256" s="15">
        <v>16</v>
      </c>
      <c r="J256" s="15">
        <v>154</v>
      </c>
      <c r="K256" s="15">
        <v>32</v>
      </c>
    </row>
    <row r="257" spans="1:11" ht="15">
      <c r="A257" s="38"/>
      <c r="B257" s="20" t="s">
        <v>134</v>
      </c>
      <c r="C257" s="21" t="s">
        <v>135</v>
      </c>
      <c r="D257" s="21" t="s">
        <v>136</v>
      </c>
      <c r="E257" s="21" t="s">
        <v>137</v>
      </c>
      <c r="F257" s="21" t="s">
        <v>138</v>
      </c>
      <c r="G257" s="21" t="s">
        <v>139</v>
      </c>
      <c r="H257" s="21" t="s">
        <v>140</v>
      </c>
      <c r="I257" s="21" t="s">
        <v>141</v>
      </c>
      <c r="J257" s="21" t="s">
        <v>142</v>
      </c>
      <c r="K257" s="21" t="s">
        <v>33</v>
      </c>
    </row>
    <row r="258" spans="1:11" ht="15">
      <c r="A258" s="39"/>
      <c r="B258" s="17">
        <v>160</v>
      </c>
      <c r="C258" s="18">
        <v>163</v>
      </c>
      <c r="D258" s="18">
        <v>203</v>
      </c>
      <c r="E258" s="18">
        <v>166</v>
      </c>
      <c r="F258" s="18">
        <v>188</v>
      </c>
      <c r="G258" s="18">
        <v>201</v>
      </c>
      <c r="H258" s="18">
        <v>142</v>
      </c>
      <c r="I258" s="18">
        <v>130</v>
      </c>
      <c r="J258" s="18">
        <v>1353</v>
      </c>
      <c r="K258" s="18">
        <v>272</v>
      </c>
    </row>
    <row r="259" spans="1:11" ht="15">
      <c r="A259" s="40"/>
      <c r="B259" s="14">
        <v>20</v>
      </c>
      <c r="C259" s="15">
        <v>20</v>
      </c>
      <c r="D259" s="15">
        <v>21</v>
      </c>
      <c r="E259" s="15">
        <v>19</v>
      </c>
      <c r="F259" s="15">
        <v>21</v>
      </c>
      <c r="G259" s="15">
        <v>21</v>
      </c>
      <c r="H259" s="15">
        <v>16</v>
      </c>
      <c r="I259" s="15">
        <v>16</v>
      </c>
      <c r="J259" s="15">
        <v>154</v>
      </c>
      <c r="K259" s="15">
        <v>32</v>
      </c>
    </row>
    <row r="260" spans="1:11" ht="15">
      <c r="A260" s="38"/>
      <c r="B260" s="20" t="s">
        <v>134</v>
      </c>
      <c r="C260" s="21" t="s">
        <v>135</v>
      </c>
      <c r="D260" s="21" t="s">
        <v>136</v>
      </c>
      <c r="E260" s="21" t="s">
        <v>137</v>
      </c>
      <c r="F260" s="21" t="s">
        <v>138</v>
      </c>
      <c r="G260" s="21" t="s">
        <v>139</v>
      </c>
      <c r="H260" s="21" t="s">
        <v>140</v>
      </c>
      <c r="I260" s="22" t="s">
        <v>141</v>
      </c>
      <c r="J260" s="21" t="s">
        <v>142</v>
      </c>
      <c r="K260" s="21" t="s">
        <v>33</v>
      </c>
    </row>
    <row r="261" spans="1:11" ht="15">
      <c r="A261" s="23"/>
      <c r="B261" s="14">
        <v>147</v>
      </c>
      <c r="C261" s="15">
        <v>155</v>
      </c>
      <c r="D261" s="15">
        <v>206</v>
      </c>
      <c r="E261" s="15">
        <v>183</v>
      </c>
      <c r="F261" s="15">
        <v>192</v>
      </c>
      <c r="G261" s="15">
        <v>195</v>
      </c>
      <c r="H261" s="15">
        <v>124</v>
      </c>
      <c r="I261" s="28"/>
      <c r="J261" s="15">
        <v>1202</v>
      </c>
      <c r="K261" s="15">
        <v>124</v>
      </c>
    </row>
    <row r="262" spans="1:11" ht="15">
      <c r="A262" s="44"/>
      <c r="B262" s="17">
        <v>20</v>
      </c>
      <c r="C262" s="18">
        <v>20</v>
      </c>
      <c r="D262" s="18">
        <v>21</v>
      </c>
      <c r="E262" s="18">
        <v>19</v>
      </c>
      <c r="F262" s="18">
        <v>21</v>
      </c>
      <c r="G262" s="18">
        <v>21</v>
      </c>
      <c r="H262" s="18">
        <v>16</v>
      </c>
      <c r="I262" s="48"/>
      <c r="J262" s="18">
        <v>138</v>
      </c>
      <c r="K262" s="18">
        <v>16</v>
      </c>
    </row>
    <row r="263" spans="1:11" ht="15">
      <c r="A263" s="10"/>
      <c r="B263" s="20" t="s">
        <v>134</v>
      </c>
      <c r="C263" s="21" t="s">
        <v>135</v>
      </c>
      <c r="D263" s="21" t="s">
        <v>136</v>
      </c>
      <c r="E263" s="21" t="s">
        <v>137</v>
      </c>
      <c r="F263" s="21" t="s">
        <v>138</v>
      </c>
      <c r="G263" s="21" t="s">
        <v>139</v>
      </c>
      <c r="H263" s="21" t="s">
        <v>140</v>
      </c>
      <c r="I263" s="21" t="s">
        <v>141</v>
      </c>
      <c r="J263" s="21" t="s">
        <v>142</v>
      </c>
      <c r="K263" s="21" t="s">
        <v>33</v>
      </c>
    </row>
    <row r="264" spans="1:11" ht="15">
      <c r="A264" s="13"/>
      <c r="B264" s="14">
        <v>183</v>
      </c>
      <c r="C264" s="15">
        <v>186</v>
      </c>
      <c r="D264" s="15">
        <v>202</v>
      </c>
      <c r="E264" s="15">
        <v>179</v>
      </c>
      <c r="F264" s="15">
        <v>198</v>
      </c>
      <c r="G264" s="15">
        <v>185</v>
      </c>
      <c r="H264" s="15">
        <v>157</v>
      </c>
      <c r="I264" s="15">
        <v>160</v>
      </c>
      <c r="J264" s="15">
        <v>1450</v>
      </c>
      <c r="K264" s="15">
        <v>317</v>
      </c>
    </row>
    <row r="265" spans="1:11" ht="15">
      <c r="A265" s="13"/>
      <c r="B265" s="14">
        <v>20</v>
      </c>
      <c r="C265" s="15">
        <v>20</v>
      </c>
      <c r="D265" s="15">
        <v>21</v>
      </c>
      <c r="E265" s="15">
        <v>19</v>
      </c>
      <c r="F265" s="15">
        <v>21</v>
      </c>
      <c r="G265" s="15">
        <v>20</v>
      </c>
      <c r="H265" s="15">
        <v>16</v>
      </c>
      <c r="I265" s="15">
        <v>16</v>
      </c>
      <c r="J265" s="15">
        <v>153</v>
      </c>
      <c r="K265" s="15">
        <v>32</v>
      </c>
    </row>
    <row r="266" spans="1:11" ht="15">
      <c r="A266" s="41"/>
      <c r="B266" s="42" t="s">
        <v>134</v>
      </c>
      <c r="C266" s="43" t="s">
        <v>135</v>
      </c>
      <c r="D266" s="43" t="s">
        <v>136</v>
      </c>
      <c r="E266" s="43" t="s">
        <v>137</v>
      </c>
      <c r="F266" s="43" t="s">
        <v>138</v>
      </c>
      <c r="G266" s="43" t="s">
        <v>139</v>
      </c>
      <c r="H266" s="43" t="s">
        <v>140</v>
      </c>
      <c r="I266" s="43" t="s">
        <v>141</v>
      </c>
      <c r="J266" s="43" t="s">
        <v>142</v>
      </c>
      <c r="K266" s="43" t="s">
        <v>33</v>
      </c>
    </row>
    <row r="267" spans="1:11" ht="15">
      <c r="A267" s="40"/>
      <c r="B267" s="14">
        <v>148</v>
      </c>
      <c r="C267" s="15">
        <v>166</v>
      </c>
      <c r="D267" s="15">
        <v>206</v>
      </c>
      <c r="E267" s="15">
        <v>173</v>
      </c>
      <c r="F267" s="15">
        <v>202</v>
      </c>
      <c r="G267" s="15">
        <v>207</v>
      </c>
      <c r="H267" s="15">
        <v>127</v>
      </c>
      <c r="I267" s="15">
        <v>145</v>
      </c>
      <c r="J267" s="15">
        <v>1374</v>
      </c>
      <c r="K267" s="15">
        <v>272</v>
      </c>
    </row>
    <row r="268" spans="1:11" ht="15">
      <c r="A268" s="13"/>
      <c r="B268" s="14">
        <v>20</v>
      </c>
      <c r="C268" s="15">
        <v>20</v>
      </c>
      <c r="D268" s="15">
        <v>21</v>
      </c>
      <c r="E268" s="15">
        <v>19</v>
      </c>
      <c r="F268" s="15">
        <v>21</v>
      </c>
      <c r="G268" s="15">
        <v>21</v>
      </c>
      <c r="H268" s="15">
        <v>16</v>
      </c>
      <c r="I268" s="15">
        <v>16</v>
      </c>
      <c r="J268" s="15">
        <v>154</v>
      </c>
      <c r="K268" s="15">
        <v>32</v>
      </c>
    </row>
    <row r="269" spans="1:11" ht="15">
      <c r="A269" s="38"/>
      <c r="B269" s="20" t="s">
        <v>134</v>
      </c>
      <c r="C269" s="21" t="s">
        <v>135</v>
      </c>
      <c r="D269" s="21" t="s">
        <v>136</v>
      </c>
      <c r="E269" s="21" t="s">
        <v>137</v>
      </c>
      <c r="F269" s="21" t="s">
        <v>138</v>
      </c>
      <c r="G269" s="21" t="s">
        <v>139</v>
      </c>
      <c r="H269" s="21" t="s">
        <v>140</v>
      </c>
      <c r="I269" s="21" t="s">
        <v>141</v>
      </c>
      <c r="J269" s="21" t="s">
        <v>142</v>
      </c>
      <c r="K269" s="21" t="s">
        <v>33</v>
      </c>
    </row>
    <row r="270" spans="1:11" ht="15">
      <c r="A270" s="39"/>
      <c r="B270" s="17">
        <v>142</v>
      </c>
      <c r="C270" s="18">
        <v>155</v>
      </c>
      <c r="D270" s="18">
        <v>178</v>
      </c>
      <c r="E270" s="18">
        <v>132</v>
      </c>
      <c r="F270" s="18">
        <v>130</v>
      </c>
      <c r="G270" s="18">
        <v>130</v>
      </c>
      <c r="H270" s="18">
        <v>124</v>
      </c>
      <c r="I270" s="48"/>
      <c r="J270" s="18">
        <v>991</v>
      </c>
      <c r="K270" s="18">
        <v>124</v>
      </c>
    </row>
    <row r="271" spans="1:11" ht="15">
      <c r="A271" s="40"/>
      <c r="B271" s="14">
        <v>20</v>
      </c>
      <c r="C271" s="15">
        <v>20</v>
      </c>
      <c r="D271" s="15">
        <v>21</v>
      </c>
      <c r="E271" s="15">
        <v>19</v>
      </c>
      <c r="F271" s="15">
        <v>21</v>
      </c>
      <c r="G271" s="15">
        <v>20</v>
      </c>
      <c r="H271" s="15">
        <v>16</v>
      </c>
      <c r="I271" s="28"/>
      <c r="J271" s="15">
        <v>137</v>
      </c>
      <c r="K271" s="15">
        <v>16</v>
      </c>
    </row>
    <row r="272" spans="1:11" ht="15">
      <c r="A272" s="38"/>
      <c r="B272" s="20" t="s">
        <v>134</v>
      </c>
      <c r="C272" s="21" t="s">
        <v>135</v>
      </c>
      <c r="D272" s="21" t="s">
        <v>136</v>
      </c>
      <c r="E272" s="21" t="s">
        <v>137</v>
      </c>
      <c r="F272" s="21" t="s">
        <v>138</v>
      </c>
      <c r="G272" s="21" t="s">
        <v>139</v>
      </c>
      <c r="H272" s="21" t="s">
        <v>140</v>
      </c>
      <c r="I272" s="21" t="s">
        <v>141</v>
      </c>
      <c r="J272" s="21" t="s">
        <v>142</v>
      </c>
      <c r="K272" s="21" t="s">
        <v>33</v>
      </c>
    </row>
    <row r="273" spans="1:11" ht="15">
      <c r="A273" s="13"/>
      <c r="B273" s="14">
        <v>153</v>
      </c>
      <c r="C273" s="15">
        <v>166</v>
      </c>
      <c r="D273" s="15">
        <v>200</v>
      </c>
      <c r="E273" s="15">
        <v>171</v>
      </c>
      <c r="F273" s="15">
        <v>198</v>
      </c>
      <c r="G273" s="15">
        <v>195</v>
      </c>
      <c r="H273" s="15">
        <v>131</v>
      </c>
      <c r="I273" s="15">
        <v>145</v>
      </c>
      <c r="J273" s="15">
        <v>1359</v>
      </c>
      <c r="K273" s="15">
        <v>276</v>
      </c>
    </row>
    <row r="274" spans="1:11" ht="15">
      <c r="A274" s="39"/>
      <c r="B274" s="17">
        <v>20</v>
      </c>
      <c r="C274" s="18">
        <v>20</v>
      </c>
      <c r="D274" s="18">
        <v>21</v>
      </c>
      <c r="E274" s="18">
        <v>19</v>
      </c>
      <c r="F274" s="18">
        <v>21</v>
      </c>
      <c r="G274" s="18">
        <v>21</v>
      </c>
      <c r="H274" s="18">
        <v>16</v>
      </c>
      <c r="I274" s="18">
        <v>16</v>
      </c>
      <c r="J274" s="18">
        <v>154</v>
      </c>
      <c r="K274" s="18">
        <v>32</v>
      </c>
    </row>
    <row r="275" spans="1:11" ht="15">
      <c r="A275" s="10"/>
      <c r="B275" s="20" t="s">
        <v>134</v>
      </c>
      <c r="C275" s="21" t="s">
        <v>135</v>
      </c>
      <c r="D275" s="21" t="s">
        <v>136</v>
      </c>
      <c r="E275" s="21" t="s">
        <v>137</v>
      </c>
      <c r="F275" s="21" t="s">
        <v>138</v>
      </c>
      <c r="G275" s="21" t="s">
        <v>139</v>
      </c>
      <c r="H275" s="21" t="s">
        <v>140</v>
      </c>
      <c r="I275" s="21" t="s">
        <v>141</v>
      </c>
      <c r="J275" s="21" t="s">
        <v>142</v>
      </c>
      <c r="K275" s="21" t="s">
        <v>33</v>
      </c>
    </row>
    <row r="276" spans="1:11" ht="15">
      <c r="A276" s="13"/>
      <c r="B276" s="14">
        <v>146</v>
      </c>
      <c r="C276" s="15">
        <v>160</v>
      </c>
      <c r="D276" s="15">
        <v>210</v>
      </c>
      <c r="E276" s="15">
        <v>183</v>
      </c>
      <c r="F276" s="15">
        <v>192</v>
      </c>
      <c r="G276" s="15">
        <v>201</v>
      </c>
      <c r="H276" s="15">
        <v>127</v>
      </c>
      <c r="I276" s="15">
        <v>139</v>
      </c>
      <c r="J276" s="15">
        <v>1358</v>
      </c>
      <c r="K276" s="15">
        <v>266</v>
      </c>
    </row>
    <row r="277" spans="1:11" ht="15">
      <c r="A277" s="13"/>
      <c r="B277" s="14">
        <v>20</v>
      </c>
      <c r="C277" s="15">
        <v>20</v>
      </c>
      <c r="D277" s="15">
        <v>21</v>
      </c>
      <c r="E277" s="15">
        <v>19</v>
      </c>
      <c r="F277" s="15">
        <v>21</v>
      </c>
      <c r="G277" s="15">
        <v>21</v>
      </c>
      <c r="H277" s="15">
        <v>16</v>
      </c>
      <c r="I277" s="15">
        <v>16</v>
      </c>
      <c r="J277" s="15">
        <v>154</v>
      </c>
      <c r="K277" s="15">
        <v>32</v>
      </c>
    </row>
    <row r="278" spans="1:11" ht="15">
      <c r="A278" s="41"/>
      <c r="B278" s="42" t="s">
        <v>134</v>
      </c>
      <c r="C278" s="43" t="s">
        <v>135</v>
      </c>
      <c r="D278" s="43" t="s">
        <v>136</v>
      </c>
      <c r="E278" s="43" t="s">
        <v>137</v>
      </c>
      <c r="F278" s="43" t="s">
        <v>138</v>
      </c>
      <c r="G278" s="43" t="s">
        <v>139</v>
      </c>
      <c r="H278" s="43" t="s">
        <v>140</v>
      </c>
      <c r="I278" s="43" t="s">
        <v>141</v>
      </c>
      <c r="J278" s="43" t="s">
        <v>142</v>
      </c>
      <c r="K278" s="43" t="s">
        <v>33</v>
      </c>
    </row>
    <row r="279" spans="1:11" ht="15">
      <c r="A279" s="40"/>
      <c r="B279" s="14">
        <v>158</v>
      </c>
      <c r="C279" s="15">
        <v>166</v>
      </c>
      <c r="D279" s="15">
        <v>204</v>
      </c>
      <c r="E279" s="15">
        <v>160</v>
      </c>
      <c r="F279" s="15">
        <v>190</v>
      </c>
      <c r="G279" s="15">
        <v>204</v>
      </c>
      <c r="H279" s="15">
        <v>139</v>
      </c>
      <c r="I279" s="15">
        <v>148</v>
      </c>
      <c r="J279" s="15">
        <v>1369</v>
      </c>
      <c r="K279" s="15">
        <v>287</v>
      </c>
    </row>
    <row r="280" spans="1:11" ht="15">
      <c r="A280" s="13"/>
      <c r="B280" s="14">
        <v>20</v>
      </c>
      <c r="C280" s="15">
        <v>20</v>
      </c>
      <c r="D280" s="15">
        <v>21</v>
      </c>
      <c r="E280" s="15">
        <v>19</v>
      </c>
      <c r="F280" s="15">
        <v>21</v>
      </c>
      <c r="G280" s="15">
        <v>21</v>
      </c>
      <c r="H280" s="15">
        <v>16</v>
      </c>
      <c r="I280" s="15">
        <v>16</v>
      </c>
      <c r="J280" s="15">
        <v>154</v>
      </c>
      <c r="K280" s="15">
        <v>32</v>
      </c>
    </row>
    <row r="281" spans="1:11" ht="15">
      <c r="A281" s="38"/>
      <c r="B281" s="20" t="s">
        <v>134</v>
      </c>
      <c r="C281" s="21" t="s">
        <v>135</v>
      </c>
      <c r="D281" s="21" t="s">
        <v>136</v>
      </c>
      <c r="E281" s="21" t="s">
        <v>137</v>
      </c>
      <c r="F281" s="21" t="s">
        <v>138</v>
      </c>
      <c r="G281" s="21" t="s">
        <v>139</v>
      </c>
      <c r="H281" s="21" t="s">
        <v>140</v>
      </c>
      <c r="I281" s="21" t="s">
        <v>141</v>
      </c>
      <c r="J281" s="21" t="s">
        <v>142</v>
      </c>
      <c r="K281" s="21" t="s">
        <v>33</v>
      </c>
    </row>
    <row r="282" spans="1:11" ht="15">
      <c r="A282" s="39"/>
      <c r="B282" s="17">
        <v>177</v>
      </c>
      <c r="C282" s="18">
        <v>189</v>
      </c>
      <c r="D282" s="18">
        <v>198</v>
      </c>
      <c r="E282" s="18">
        <v>175</v>
      </c>
      <c r="F282" s="18">
        <v>162</v>
      </c>
      <c r="G282" s="18">
        <v>166</v>
      </c>
      <c r="H282" s="18">
        <v>151</v>
      </c>
      <c r="I282" s="18">
        <v>160</v>
      </c>
      <c r="J282" s="18">
        <v>1378</v>
      </c>
      <c r="K282" s="18">
        <v>311</v>
      </c>
    </row>
    <row r="283" spans="1:11" ht="15">
      <c r="A283" s="40"/>
      <c r="B283" s="14">
        <v>20</v>
      </c>
      <c r="C283" s="15">
        <v>20</v>
      </c>
      <c r="D283" s="15">
        <v>21</v>
      </c>
      <c r="E283" s="15">
        <v>19</v>
      </c>
      <c r="F283" s="15">
        <v>21</v>
      </c>
      <c r="G283" s="15">
        <v>20</v>
      </c>
      <c r="H283" s="15">
        <v>16</v>
      </c>
      <c r="I283" s="15">
        <v>16</v>
      </c>
      <c r="J283" s="15">
        <v>153</v>
      </c>
      <c r="K283" s="15">
        <v>32</v>
      </c>
    </row>
    <row r="284" spans="1:11" ht="15">
      <c r="A284" s="38"/>
      <c r="B284" s="20" t="s">
        <v>134</v>
      </c>
      <c r="C284" s="21" t="s">
        <v>135</v>
      </c>
      <c r="D284" s="21" t="s">
        <v>136</v>
      </c>
      <c r="E284" s="21" t="s">
        <v>137</v>
      </c>
      <c r="F284" s="21" t="s">
        <v>138</v>
      </c>
      <c r="G284" s="21" t="s">
        <v>139</v>
      </c>
      <c r="H284" s="21" t="s">
        <v>140</v>
      </c>
      <c r="I284" s="21" t="s">
        <v>141</v>
      </c>
      <c r="J284" s="21" t="s">
        <v>142</v>
      </c>
      <c r="K284" s="21" t="s">
        <v>33</v>
      </c>
    </row>
    <row r="285" spans="1:11" ht="15">
      <c r="A285" s="13"/>
      <c r="B285" s="14">
        <v>123</v>
      </c>
      <c r="C285" s="15">
        <v>152</v>
      </c>
      <c r="D285" s="15">
        <v>192</v>
      </c>
      <c r="E285" s="15">
        <v>150</v>
      </c>
      <c r="F285" s="15">
        <v>164</v>
      </c>
      <c r="G285" s="15">
        <v>127</v>
      </c>
      <c r="H285" s="28"/>
      <c r="I285" s="15">
        <v>160</v>
      </c>
      <c r="J285" s="15"/>
      <c r="K285" s="15"/>
    </row>
    <row r="286" spans="1:11" ht="15">
      <c r="A286" s="39"/>
      <c r="B286" s="17">
        <v>20</v>
      </c>
      <c r="C286" s="18">
        <v>20</v>
      </c>
      <c r="D286" s="18">
        <v>21</v>
      </c>
      <c r="E286" s="18">
        <v>19</v>
      </c>
      <c r="F286" s="18">
        <v>21</v>
      </c>
      <c r="G286" s="18">
        <v>20</v>
      </c>
      <c r="H286" s="48"/>
      <c r="I286" s="18">
        <v>16</v>
      </c>
      <c r="J286" s="18"/>
      <c r="K286" s="18"/>
    </row>
    <row r="287" spans="1:11" ht="15">
      <c r="A287" s="10"/>
      <c r="B287" s="20" t="s">
        <v>134</v>
      </c>
      <c r="C287" s="21" t="s">
        <v>135</v>
      </c>
      <c r="D287" s="21" t="s">
        <v>136</v>
      </c>
      <c r="E287" s="21" t="s">
        <v>137</v>
      </c>
      <c r="F287" s="21" t="s">
        <v>138</v>
      </c>
      <c r="G287" s="21" t="s">
        <v>139</v>
      </c>
      <c r="H287" s="21" t="s">
        <v>140</v>
      </c>
      <c r="I287" s="21" t="s">
        <v>141</v>
      </c>
      <c r="J287" s="21" t="s">
        <v>142</v>
      </c>
      <c r="K287" s="21" t="s">
        <v>33</v>
      </c>
    </row>
    <row r="288" spans="1:11" ht="15">
      <c r="A288" s="13"/>
      <c r="B288" s="27"/>
      <c r="C288" s="28"/>
      <c r="D288" s="28"/>
      <c r="E288" s="28"/>
      <c r="F288" s="28"/>
      <c r="G288" s="28"/>
      <c r="H288" s="28"/>
      <c r="I288" s="28"/>
      <c r="J288" s="15">
        <v>0</v>
      </c>
      <c r="K288" s="15">
        <v>0</v>
      </c>
    </row>
    <row r="289" spans="1:11" ht="15">
      <c r="A289" s="13"/>
      <c r="B289" s="27"/>
      <c r="C289" s="28"/>
      <c r="D289" s="28"/>
      <c r="E289" s="28"/>
      <c r="F289" s="28"/>
      <c r="G289" s="28"/>
      <c r="H289" s="28"/>
      <c r="I289" s="28"/>
      <c r="J289" s="15">
        <v>0</v>
      </c>
      <c r="K289" s="15">
        <v>0</v>
      </c>
    </row>
    <row r="290" spans="1:11" ht="15">
      <c r="A290" s="41"/>
      <c r="B290" s="42" t="s">
        <v>134</v>
      </c>
      <c r="C290" s="43" t="s">
        <v>135</v>
      </c>
      <c r="D290" s="43" t="s">
        <v>136</v>
      </c>
      <c r="E290" s="43" t="s">
        <v>137</v>
      </c>
      <c r="F290" s="43" t="s">
        <v>138</v>
      </c>
      <c r="G290" s="43" t="s">
        <v>139</v>
      </c>
      <c r="H290" s="43" t="s">
        <v>140</v>
      </c>
      <c r="I290" s="43" t="s">
        <v>141</v>
      </c>
      <c r="J290" s="43" t="s">
        <v>142</v>
      </c>
      <c r="K290" s="43" t="s">
        <v>33</v>
      </c>
    </row>
    <row r="291" spans="1:11" ht="15">
      <c r="A291" s="40"/>
      <c r="B291" s="14">
        <v>173</v>
      </c>
      <c r="C291" s="15">
        <v>189</v>
      </c>
      <c r="D291" s="15">
        <v>204</v>
      </c>
      <c r="E291" s="15">
        <v>164</v>
      </c>
      <c r="F291" s="15">
        <v>198</v>
      </c>
      <c r="G291" s="15">
        <v>207</v>
      </c>
      <c r="H291" s="15">
        <v>142</v>
      </c>
      <c r="I291" s="15">
        <v>148</v>
      </c>
      <c r="J291" s="15">
        <v>1425</v>
      </c>
      <c r="K291" s="15">
        <v>290</v>
      </c>
    </row>
    <row r="292" spans="1:11" ht="15">
      <c r="A292" s="13"/>
      <c r="B292" s="14">
        <v>20</v>
      </c>
      <c r="C292" s="15">
        <v>20</v>
      </c>
      <c r="D292" s="15">
        <v>21</v>
      </c>
      <c r="E292" s="15">
        <v>19</v>
      </c>
      <c r="F292" s="15">
        <v>21</v>
      </c>
      <c r="G292" s="15">
        <v>21</v>
      </c>
      <c r="H292" s="15">
        <v>16</v>
      </c>
      <c r="I292" s="15">
        <v>16</v>
      </c>
      <c r="J292" s="15">
        <v>154</v>
      </c>
      <c r="K292" s="15">
        <v>32</v>
      </c>
    </row>
    <row r="293" spans="1:11" ht="15">
      <c r="A293" s="38"/>
      <c r="B293" s="20" t="s">
        <v>134</v>
      </c>
      <c r="C293" s="21" t="s">
        <v>135</v>
      </c>
      <c r="D293" s="21" t="s">
        <v>136</v>
      </c>
      <c r="E293" s="21" t="s">
        <v>137</v>
      </c>
      <c r="F293" s="21" t="s">
        <v>138</v>
      </c>
      <c r="G293" s="21" t="s">
        <v>139</v>
      </c>
      <c r="H293" s="21" t="s">
        <v>140</v>
      </c>
      <c r="I293" s="21" t="s">
        <v>141</v>
      </c>
      <c r="J293" s="21" t="s">
        <v>142</v>
      </c>
      <c r="K293" s="21" t="s">
        <v>33</v>
      </c>
    </row>
    <row r="294" spans="1:11" ht="15">
      <c r="A294" s="39"/>
      <c r="B294" s="17">
        <v>123</v>
      </c>
      <c r="C294" s="18">
        <v>117</v>
      </c>
      <c r="D294" s="18">
        <v>186</v>
      </c>
      <c r="E294" s="18">
        <v>125</v>
      </c>
      <c r="F294" s="18">
        <v>136</v>
      </c>
      <c r="G294" s="18">
        <v>109</v>
      </c>
      <c r="H294" s="48"/>
      <c r="I294" s="18">
        <v>160</v>
      </c>
      <c r="J294" s="18"/>
      <c r="K294" s="18"/>
    </row>
    <row r="295" spans="1:11" ht="15">
      <c r="A295" s="40"/>
      <c r="B295" s="14">
        <v>23</v>
      </c>
      <c r="C295" s="15">
        <v>23</v>
      </c>
      <c r="D295" s="15">
        <v>21</v>
      </c>
      <c r="E295" s="15">
        <v>19</v>
      </c>
      <c r="F295" s="15">
        <v>21</v>
      </c>
      <c r="G295" s="15">
        <v>20</v>
      </c>
      <c r="H295" s="28"/>
      <c r="I295" s="15">
        <v>16</v>
      </c>
      <c r="J295" s="15"/>
      <c r="K295" s="15"/>
    </row>
    <row r="296" spans="1:11" ht="15">
      <c r="A296" s="38"/>
      <c r="B296" s="20" t="s">
        <v>134</v>
      </c>
      <c r="C296" s="21" t="s">
        <v>135</v>
      </c>
      <c r="D296" s="21" t="s">
        <v>136</v>
      </c>
      <c r="E296" s="21" t="s">
        <v>137</v>
      </c>
      <c r="F296" s="21" t="s">
        <v>138</v>
      </c>
      <c r="G296" s="21" t="s">
        <v>139</v>
      </c>
      <c r="H296" s="21" t="s">
        <v>140</v>
      </c>
      <c r="I296" s="21" t="s">
        <v>141</v>
      </c>
      <c r="J296" s="21" t="s">
        <v>142</v>
      </c>
      <c r="K296" s="21" t="s">
        <v>33</v>
      </c>
    </row>
    <row r="297" spans="1:11" ht="15">
      <c r="A297" s="13"/>
      <c r="B297" s="14">
        <v>107</v>
      </c>
      <c r="C297" s="15">
        <v>122</v>
      </c>
      <c r="D297" s="15">
        <v>160</v>
      </c>
      <c r="E297" s="15">
        <v>122</v>
      </c>
      <c r="F297" s="15">
        <v>134</v>
      </c>
      <c r="G297" s="15">
        <v>103</v>
      </c>
      <c r="H297" s="15">
        <v>96</v>
      </c>
      <c r="I297" s="15">
        <v>158</v>
      </c>
      <c r="J297" s="15">
        <v>1002</v>
      </c>
      <c r="K297" s="15">
        <v>254</v>
      </c>
    </row>
    <row r="298" spans="1:11" ht="15">
      <c r="A298" s="39"/>
      <c r="B298" s="17">
        <v>23</v>
      </c>
      <c r="C298" s="18">
        <v>23</v>
      </c>
      <c r="D298" s="18">
        <v>21</v>
      </c>
      <c r="E298" s="18">
        <v>19</v>
      </c>
      <c r="F298" s="18">
        <v>21</v>
      </c>
      <c r="G298" s="18">
        <v>20</v>
      </c>
      <c r="H298" s="18">
        <v>16</v>
      </c>
      <c r="I298" s="18">
        <v>16</v>
      </c>
      <c r="J298" s="18">
        <v>159</v>
      </c>
      <c r="K298" s="18">
        <v>32</v>
      </c>
    </row>
    <row r="299" spans="1:11" ht="15">
      <c r="A299" s="10"/>
      <c r="B299" s="20" t="s">
        <v>134</v>
      </c>
      <c r="C299" s="21" t="s">
        <v>135</v>
      </c>
      <c r="D299" s="21" t="s">
        <v>136</v>
      </c>
      <c r="E299" s="21" t="s">
        <v>137</v>
      </c>
      <c r="F299" s="21" t="s">
        <v>138</v>
      </c>
      <c r="G299" s="21" t="s">
        <v>139</v>
      </c>
      <c r="H299" s="21" t="s">
        <v>140</v>
      </c>
      <c r="I299" s="21" t="s">
        <v>141</v>
      </c>
      <c r="J299" s="21" t="s">
        <v>142</v>
      </c>
      <c r="K299" s="21" t="s">
        <v>33</v>
      </c>
    </row>
    <row r="300" spans="1:11" ht="15">
      <c r="A300" s="13"/>
      <c r="B300" s="14">
        <v>121</v>
      </c>
      <c r="C300" s="15">
        <v>123</v>
      </c>
      <c r="D300" s="15">
        <v>167</v>
      </c>
      <c r="E300" s="15">
        <v>143</v>
      </c>
      <c r="F300" s="15">
        <v>158</v>
      </c>
      <c r="G300" s="15">
        <v>157</v>
      </c>
      <c r="H300" s="15">
        <v>130</v>
      </c>
      <c r="I300" s="15">
        <v>160</v>
      </c>
      <c r="J300" s="15">
        <v>1159</v>
      </c>
      <c r="K300" s="15">
        <v>290</v>
      </c>
    </row>
    <row r="301" spans="1:11" ht="15">
      <c r="A301" s="13"/>
      <c r="B301" s="14">
        <v>23</v>
      </c>
      <c r="C301" s="15">
        <v>23</v>
      </c>
      <c r="D301" s="15">
        <v>21</v>
      </c>
      <c r="E301" s="15">
        <v>19</v>
      </c>
      <c r="F301" s="15">
        <v>21</v>
      </c>
      <c r="G301" s="15">
        <v>20</v>
      </c>
      <c r="H301" s="15">
        <v>16</v>
      </c>
      <c r="I301" s="15">
        <v>16</v>
      </c>
      <c r="J301" s="15">
        <v>159</v>
      </c>
      <c r="K301" s="15">
        <v>32</v>
      </c>
    </row>
    <row r="302" spans="1:11" ht="15">
      <c r="A302" s="41"/>
      <c r="B302" s="42" t="s">
        <v>134</v>
      </c>
      <c r="C302" s="43" t="s">
        <v>135</v>
      </c>
      <c r="D302" s="43" t="s">
        <v>136</v>
      </c>
      <c r="E302" s="43" t="s">
        <v>137</v>
      </c>
      <c r="F302" s="43" t="s">
        <v>138</v>
      </c>
      <c r="G302" s="43" t="s">
        <v>139</v>
      </c>
      <c r="H302" s="43" t="s">
        <v>140</v>
      </c>
      <c r="I302" s="43" t="s">
        <v>141</v>
      </c>
      <c r="J302" s="43" t="s">
        <v>142</v>
      </c>
      <c r="K302" s="43" t="s">
        <v>33</v>
      </c>
    </row>
    <row r="303" spans="1:11" ht="15">
      <c r="A303" s="40"/>
      <c r="B303" s="14">
        <v>119</v>
      </c>
      <c r="C303" s="15">
        <v>129</v>
      </c>
      <c r="D303" s="15">
        <v>169</v>
      </c>
      <c r="E303" s="15">
        <v>137</v>
      </c>
      <c r="F303" s="15">
        <v>150</v>
      </c>
      <c r="G303" s="15">
        <v>144</v>
      </c>
      <c r="H303" s="15">
        <v>121</v>
      </c>
      <c r="I303" s="15">
        <v>160</v>
      </c>
      <c r="J303" s="15">
        <v>1129</v>
      </c>
      <c r="K303" s="15">
        <v>281</v>
      </c>
    </row>
    <row r="304" spans="1:11" ht="15">
      <c r="A304" s="13"/>
      <c r="B304" s="14">
        <v>23</v>
      </c>
      <c r="C304" s="15">
        <v>23</v>
      </c>
      <c r="D304" s="15">
        <v>21</v>
      </c>
      <c r="E304" s="15">
        <v>19</v>
      </c>
      <c r="F304" s="15">
        <v>21</v>
      </c>
      <c r="G304" s="15">
        <v>20</v>
      </c>
      <c r="H304" s="15">
        <v>16</v>
      </c>
      <c r="I304" s="15">
        <v>16</v>
      </c>
      <c r="J304" s="15">
        <v>159</v>
      </c>
      <c r="K304" s="15">
        <v>32</v>
      </c>
    </row>
    <row r="305" spans="1:11" ht="15">
      <c r="A305" s="38"/>
      <c r="B305" s="20" t="s">
        <v>134</v>
      </c>
      <c r="C305" s="21" t="s">
        <v>135</v>
      </c>
      <c r="D305" s="21" t="s">
        <v>136</v>
      </c>
      <c r="E305" s="21" t="s">
        <v>137</v>
      </c>
      <c r="F305" s="21" t="s">
        <v>138</v>
      </c>
      <c r="G305" s="21" t="s">
        <v>139</v>
      </c>
      <c r="H305" s="21" t="s">
        <v>140</v>
      </c>
      <c r="I305" s="21" t="s">
        <v>141</v>
      </c>
      <c r="J305" s="21" t="s">
        <v>142</v>
      </c>
      <c r="K305" s="21" t="s">
        <v>33</v>
      </c>
    </row>
    <row r="306" spans="1:11" ht="15">
      <c r="A306" s="39"/>
      <c r="B306" s="17">
        <v>104</v>
      </c>
      <c r="C306" s="18">
        <v>112</v>
      </c>
      <c r="D306" s="18">
        <v>183</v>
      </c>
      <c r="E306" s="18">
        <v>141</v>
      </c>
      <c r="F306" s="18">
        <v>152</v>
      </c>
      <c r="G306" s="18">
        <v>180</v>
      </c>
      <c r="H306" s="18">
        <v>103</v>
      </c>
      <c r="I306" s="48"/>
      <c r="J306" s="18">
        <v>975</v>
      </c>
      <c r="K306" s="18">
        <v>103</v>
      </c>
    </row>
    <row r="307" spans="1:11" ht="15">
      <c r="A307" s="40"/>
      <c r="B307" s="14">
        <v>23</v>
      </c>
      <c r="C307" s="15">
        <v>23</v>
      </c>
      <c r="D307" s="15">
        <v>21</v>
      </c>
      <c r="E307" s="15">
        <v>19</v>
      </c>
      <c r="F307" s="15">
        <v>21</v>
      </c>
      <c r="G307" s="15">
        <v>21</v>
      </c>
      <c r="H307" s="15">
        <v>16</v>
      </c>
      <c r="I307" s="28"/>
      <c r="J307" s="15">
        <v>144</v>
      </c>
      <c r="K307" s="15">
        <v>16</v>
      </c>
    </row>
    <row r="308" spans="1:11" ht="15">
      <c r="A308" s="38"/>
      <c r="B308" s="20" t="s">
        <v>134</v>
      </c>
      <c r="C308" s="21" t="s">
        <v>135</v>
      </c>
      <c r="D308" s="21" t="s">
        <v>136</v>
      </c>
      <c r="E308" s="21" t="s">
        <v>137</v>
      </c>
      <c r="F308" s="21" t="s">
        <v>138</v>
      </c>
      <c r="G308" s="21" t="s">
        <v>139</v>
      </c>
      <c r="H308" s="21" t="s">
        <v>140</v>
      </c>
      <c r="I308" s="21" t="s">
        <v>141</v>
      </c>
      <c r="J308" s="21" t="s">
        <v>142</v>
      </c>
      <c r="K308" s="21" t="s">
        <v>33</v>
      </c>
    </row>
    <row r="309" spans="1:11" ht="15">
      <c r="A309" s="13"/>
      <c r="B309" s="14">
        <v>127</v>
      </c>
      <c r="C309" s="15">
        <v>115</v>
      </c>
      <c r="D309" s="15">
        <v>169</v>
      </c>
      <c r="E309" s="15">
        <v>152</v>
      </c>
      <c r="F309" s="15">
        <v>164</v>
      </c>
      <c r="G309" s="15">
        <v>159</v>
      </c>
      <c r="H309" s="15">
        <v>136</v>
      </c>
      <c r="I309" s="15">
        <v>159</v>
      </c>
      <c r="J309" s="15">
        <v>1181</v>
      </c>
      <c r="K309" s="15">
        <v>295</v>
      </c>
    </row>
    <row r="310" spans="1:11" ht="15">
      <c r="A310" s="39"/>
      <c r="B310" s="17">
        <v>23</v>
      </c>
      <c r="C310" s="18">
        <v>23</v>
      </c>
      <c r="D310" s="18">
        <v>21</v>
      </c>
      <c r="E310" s="18">
        <v>19</v>
      </c>
      <c r="F310" s="18">
        <v>21</v>
      </c>
      <c r="G310" s="18">
        <v>20</v>
      </c>
      <c r="H310" s="18">
        <v>16</v>
      </c>
      <c r="I310" s="18">
        <v>16</v>
      </c>
      <c r="J310" s="18">
        <v>159</v>
      </c>
      <c r="K310" s="18">
        <v>32</v>
      </c>
    </row>
    <row r="311" spans="1:11" ht="15">
      <c r="A311" s="10"/>
      <c r="B311" s="20" t="s">
        <v>134</v>
      </c>
      <c r="C311" s="21" t="s">
        <v>135</v>
      </c>
      <c r="D311" s="21" t="s">
        <v>136</v>
      </c>
      <c r="E311" s="21" t="s">
        <v>137</v>
      </c>
      <c r="F311" s="21" t="s">
        <v>138</v>
      </c>
      <c r="G311" s="21" t="s">
        <v>139</v>
      </c>
      <c r="H311" s="21" t="s">
        <v>140</v>
      </c>
      <c r="I311" s="21" t="s">
        <v>141</v>
      </c>
      <c r="J311" s="21" t="s">
        <v>142</v>
      </c>
      <c r="K311" s="21" t="s">
        <v>33</v>
      </c>
    </row>
    <row r="312" spans="1:11" ht="15">
      <c r="A312" s="13"/>
      <c r="B312" s="27"/>
      <c r="C312" s="28"/>
      <c r="D312" s="15">
        <v>206</v>
      </c>
      <c r="E312" s="15">
        <v>225</v>
      </c>
      <c r="F312" s="15">
        <v>194</v>
      </c>
      <c r="G312" s="15">
        <v>201</v>
      </c>
      <c r="H312" s="15">
        <v>145</v>
      </c>
      <c r="I312" s="15">
        <v>136</v>
      </c>
      <c r="J312" s="15">
        <v>1107</v>
      </c>
      <c r="K312" s="15">
        <v>281</v>
      </c>
    </row>
    <row r="313" spans="1:11" ht="15">
      <c r="A313" s="13"/>
      <c r="B313" s="27"/>
      <c r="C313" s="28"/>
      <c r="D313" s="15">
        <v>21</v>
      </c>
      <c r="E313" s="15">
        <v>25</v>
      </c>
      <c r="F313" s="15">
        <v>21</v>
      </c>
      <c r="G313" s="15">
        <v>21</v>
      </c>
      <c r="H313" s="15">
        <v>16</v>
      </c>
      <c r="I313" s="15">
        <v>16</v>
      </c>
      <c r="J313" s="15">
        <v>120</v>
      </c>
      <c r="K313" s="15">
        <v>32</v>
      </c>
    </row>
    <row r="314" spans="1:11" ht="15">
      <c r="A314" s="41"/>
      <c r="B314" s="42" t="s">
        <v>134</v>
      </c>
      <c r="C314" s="43" t="s">
        <v>135</v>
      </c>
      <c r="D314" s="43" t="s">
        <v>136</v>
      </c>
      <c r="E314" s="43" t="s">
        <v>137</v>
      </c>
      <c r="F314" s="43" t="s">
        <v>138</v>
      </c>
      <c r="G314" s="43" t="s">
        <v>139</v>
      </c>
      <c r="H314" s="43" t="s">
        <v>140</v>
      </c>
      <c r="I314" s="43" t="s">
        <v>141</v>
      </c>
      <c r="J314" s="43" t="s">
        <v>142</v>
      </c>
      <c r="K314" s="43" t="s">
        <v>33</v>
      </c>
    </row>
    <row r="315" spans="1:11" ht="15">
      <c r="A315" s="40"/>
      <c r="B315" s="27"/>
      <c r="C315" s="28"/>
      <c r="D315" s="15">
        <v>206</v>
      </c>
      <c r="E315" s="15">
        <v>231</v>
      </c>
      <c r="F315" s="15">
        <v>186</v>
      </c>
      <c r="G315" s="15">
        <v>152</v>
      </c>
      <c r="H315" s="15">
        <v>135</v>
      </c>
      <c r="I315" s="15">
        <v>160</v>
      </c>
      <c r="J315" s="15">
        <v>1070</v>
      </c>
      <c r="K315" s="15">
        <v>295</v>
      </c>
    </row>
    <row r="316" spans="1:11" ht="15">
      <c r="A316" s="13"/>
      <c r="B316" s="27"/>
      <c r="C316" s="28"/>
      <c r="D316" s="15">
        <v>21</v>
      </c>
      <c r="E316" s="15">
        <v>25</v>
      </c>
      <c r="F316" s="15">
        <v>21</v>
      </c>
      <c r="G316" s="15">
        <v>20</v>
      </c>
      <c r="H316" s="15">
        <v>16</v>
      </c>
      <c r="I316" s="15">
        <v>16</v>
      </c>
      <c r="J316" s="15">
        <v>119</v>
      </c>
      <c r="K316" s="15">
        <v>32</v>
      </c>
    </row>
    <row r="317" spans="1:11" ht="15">
      <c r="A317" s="38"/>
      <c r="B317" s="20" t="s">
        <v>134</v>
      </c>
      <c r="C317" s="21" t="s">
        <v>135</v>
      </c>
      <c r="D317" s="21" t="s">
        <v>136</v>
      </c>
      <c r="E317" s="21" t="s">
        <v>137</v>
      </c>
      <c r="F317" s="21" t="s">
        <v>138</v>
      </c>
      <c r="G317" s="21" t="s">
        <v>139</v>
      </c>
      <c r="H317" s="21" t="s">
        <v>140</v>
      </c>
      <c r="I317" s="21" t="s">
        <v>141</v>
      </c>
      <c r="J317" s="21" t="s">
        <v>142</v>
      </c>
      <c r="K317" s="21" t="s">
        <v>33</v>
      </c>
    </row>
    <row r="318" spans="1:11" ht="15">
      <c r="A318" s="39"/>
      <c r="B318" s="47"/>
      <c r="C318" s="48"/>
      <c r="D318" s="48"/>
      <c r="E318" s="48"/>
      <c r="F318" s="48"/>
      <c r="G318" s="48"/>
      <c r="H318" s="48"/>
      <c r="I318" s="48"/>
      <c r="J318" s="18">
        <v>0</v>
      </c>
      <c r="K318" s="18">
        <v>0</v>
      </c>
    </row>
    <row r="319" spans="1:11" ht="15">
      <c r="A319" s="40"/>
      <c r="B319" s="27"/>
      <c r="C319" s="28"/>
      <c r="D319" s="28"/>
      <c r="E319" s="28"/>
      <c r="F319" s="28"/>
      <c r="G319" s="28"/>
      <c r="H319" s="28"/>
      <c r="I319" s="28"/>
      <c r="J319" s="15">
        <v>0</v>
      </c>
      <c r="K319" s="15">
        <v>0</v>
      </c>
    </row>
    <row r="320" spans="1:11" ht="15">
      <c r="A320" s="38"/>
      <c r="B320" s="20" t="s">
        <v>134</v>
      </c>
      <c r="C320" s="21" t="s">
        <v>135</v>
      </c>
      <c r="D320" s="21" t="s">
        <v>136</v>
      </c>
      <c r="E320" s="21" t="s">
        <v>137</v>
      </c>
      <c r="F320" s="21" t="s">
        <v>138</v>
      </c>
      <c r="G320" s="21" t="s">
        <v>139</v>
      </c>
      <c r="H320" s="21" t="s">
        <v>140</v>
      </c>
      <c r="I320" s="21" t="s">
        <v>141</v>
      </c>
      <c r="J320" s="21" t="s">
        <v>142</v>
      </c>
      <c r="K320" s="21" t="s">
        <v>33</v>
      </c>
    </row>
    <row r="321" spans="1:11" ht="15">
      <c r="A321" s="13"/>
      <c r="B321" s="27"/>
      <c r="C321" s="28"/>
      <c r="D321" s="15">
        <v>168</v>
      </c>
      <c r="E321" s="15">
        <v>191</v>
      </c>
      <c r="F321" s="15">
        <v>154</v>
      </c>
      <c r="G321" s="15">
        <v>125</v>
      </c>
      <c r="H321" s="15">
        <v>113</v>
      </c>
      <c r="I321" s="15">
        <v>130</v>
      </c>
      <c r="J321" s="15">
        <v>881</v>
      </c>
      <c r="K321" s="15">
        <v>243</v>
      </c>
    </row>
    <row r="322" spans="1:11" ht="15">
      <c r="A322" s="39"/>
      <c r="B322" s="47"/>
      <c r="C322" s="48"/>
      <c r="D322" s="18">
        <v>21</v>
      </c>
      <c r="E322" s="18">
        <v>25</v>
      </c>
      <c r="F322" s="18">
        <v>21</v>
      </c>
      <c r="G322" s="18">
        <v>20</v>
      </c>
      <c r="H322" s="18">
        <v>16</v>
      </c>
      <c r="I322" s="18">
        <v>16</v>
      </c>
      <c r="J322" s="18">
        <v>119</v>
      </c>
      <c r="K322" s="18">
        <v>32</v>
      </c>
    </row>
    <row r="323" spans="1:11" ht="15">
      <c r="A323" s="10"/>
      <c r="B323" s="20" t="s">
        <v>134</v>
      </c>
      <c r="C323" s="21" t="s">
        <v>135</v>
      </c>
      <c r="D323" s="21" t="s">
        <v>136</v>
      </c>
      <c r="E323" s="21" t="s">
        <v>137</v>
      </c>
      <c r="F323" s="21" t="s">
        <v>138</v>
      </c>
      <c r="G323" s="21" t="s">
        <v>139</v>
      </c>
      <c r="H323" s="21" t="s">
        <v>140</v>
      </c>
      <c r="I323" s="21" t="s">
        <v>141</v>
      </c>
      <c r="J323" s="21" t="s">
        <v>142</v>
      </c>
      <c r="K323" s="21" t="s">
        <v>33</v>
      </c>
    </row>
    <row r="324" spans="1:11" ht="15">
      <c r="A324" s="13"/>
      <c r="B324" s="27"/>
      <c r="C324" s="28"/>
      <c r="D324" s="15">
        <v>202</v>
      </c>
      <c r="E324" s="15">
        <v>224</v>
      </c>
      <c r="F324" s="15">
        <v>188</v>
      </c>
      <c r="G324" s="15">
        <v>168</v>
      </c>
      <c r="H324" s="15">
        <v>151</v>
      </c>
      <c r="I324" s="15">
        <v>160</v>
      </c>
      <c r="J324" s="15">
        <v>1093</v>
      </c>
      <c r="K324" s="15">
        <v>311</v>
      </c>
    </row>
    <row r="325" spans="1:11" ht="15">
      <c r="A325" s="13"/>
      <c r="B325" s="27"/>
      <c r="C325" s="28"/>
      <c r="D325" s="15">
        <v>21</v>
      </c>
      <c r="E325" s="15">
        <v>25</v>
      </c>
      <c r="F325" s="15">
        <v>21</v>
      </c>
      <c r="G325" s="15">
        <v>20</v>
      </c>
      <c r="H325" s="15">
        <v>16</v>
      </c>
      <c r="I325" s="15">
        <v>16</v>
      </c>
      <c r="J325" s="15">
        <v>119</v>
      </c>
      <c r="K325" s="15">
        <v>32</v>
      </c>
    </row>
    <row r="326" spans="1:11" ht="15">
      <c r="A326" s="41"/>
      <c r="B326" s="42" t="s">
        <v>134</v>
      </c>
      <c r="C326" s="43" t="s">
        <v>135</v>
      </c>
      <c r="D326" s="43" t="s">
        <v>136</v>
      </c>
      <c r="E326" s="43" t="s">
        <v>137</v>
      </c>
      <c r="F326" s="43" t="s">
        <v>138</v>
      </c>
      <c r="G326" s="43" t="s">
        <v>139</v>
      </c>
      <c r="H326" s="43" t="s">
        <v>140</v>
      </c>
      <c r="I326" s="43" t="s">
        <v>141</v>
      </c>
      <c r="J326" s="43" t="s">
        <v>142</v>
      </c>
      <c r="K326" s="43" t="s">
        <v>33</v>
      </c>
    </row>
    <row r="327" spans="1:11" ht="15">
      <c r="A327" s="40"/>
      <c r="B327" s="27"/>
      <c r="C327" s="28"/>
      <c r="D327" s="15">
        <v>202</v>
      </c>
      <c r="E327" s="15">
        <v>223</v>
      </c>
      <c r="F327" s="15">
        <v>186</v>
      </c>
      <c r="G327" s="15">
        <v>157</v>
      </c>
      <c r="H327" s="15">
        <v>136</v>
      </c>
      <c r="I327" s="15">
        <v>145</v>
      </c>
      <c r="J327" s="15">
        <v>1049</v>
      </c>
      <c r="K327" s="15">
        <v>281</v>
      </c>
    </row>
    <row r="328" spans="1:11" ht="15">
      <c r="A328" s="13"/>
      <c r="B328" s="27"/>
      <c r="C328" s="28"/>
      <c r="D328" s="15">
        <v>21</v>
      </c>
      <c r="E328" s="15">
        <v>25</v>
      </c>
      <c r="F328" s="15">
        <v>21</v>
      </c>
      <c r="G328" s="15">
        <v>20</v>
      </c>
      <c r="H328" s="15">
        <v>16</v>
      </c>
      <c r="I328" s="15">
        <v>16</v>
      </c>
      <c r="J328" s="15">
        <v>119</v>
      </c>
      <c r="K328" s="15">
        <v>32</v>
      </c>
    </row>
    <row r="329" spans="1:11" ht="15">
      <c r="A329" s="38"/>
      <c r="B329" s="20" t="s">
        <v>134</v>
      </c>
      <c r="C329" s="21" t="s">
        <v>135</v>
      </c>
      <c r="D329" s="21" t="s">
        <v>136</v>
      </c>
      <c r="E329" s="21" t="s">
        <v>137</v>
      </c>
      <c r="F329" s="21" t="s">
        <v>138</v>
      </c>
      <c r="G329" s="21" t="s">
        <v>139</v>
      </c>
      <c r="H329" s="21" t="s">
        <v>140</v>
      </c>
      <c r="I329" s="21" t="s">
        <v>141</v>
      </c>
      <c r="J329" s="21" t="s">
        <v>142</v>
      </c>
      <c r="K329" s="21" t="s">
        <v>33</v>
      </c>
    </row>
    <row r="330" spans="1:11" ht="15">
      <c r="A330" s="39"/>
      <c r="B330" s="47"/>
      <c r="C330" s="48"/>
      <c r="D330" s="18">
        <v>164</v>
      </c>
      <c r="E330" s="18">
        <v>180</v>
      </c>
      <c r="F330" s="18">
        <v>156</v>
      </c>
      <c r="G330" s="18">
        <v>155</v>
      </c>
      <c r="H330" s="18">
        <v>121</v>
      </c>
      <c r="I330" s="18">
        <v>145</v>
      </c>
      <c r="J330" s="18">
        <v>921</v>
      </c>
      <c r="K330" s="18">
        <v>266</v>
      </c>
    </row>
    <row r="331" spans="1:11" ht="15">
      <c r="A331" s="40"/>
      <c r="B331" s="27"/>
      <c r="C331" s="28"/>
      <c r="D331" s="15">
        <v>21</v>
      </c>
      <c r="E331" s="15">
        <v>25</v>
      </c>
      <c r="F331" s="15">
        <v>21</v>
      </c>
      <c r="G331" s="15">
        <v>20</v>
      </c>
      <c r="H331" s="15">
        <v>16</v>
      </c>
      <c r="I331" s="15">
        <v>16</v>
      </c>
      <c r="J331" s="15">
        <v>119</v>
      </c>
      <c r="K331" s="15">
        <v>32</v>
      </c>
    </row>
    <row r="332" spans="1:11" ht="15">
      <c r="A332" s="38"/>
      <c r="B332" s="20" t="s">
        <v>134</v>
      </c>
      <c r="C332" s="21" t="s">
        <v>135</v>
      </c>
      <c r="D332" s="21" t="s">
        <v>136</v>
      </c>
      <c r="E332" s="21" t="s">
        <v>137</v>
      </c>
      <c r="F332" s="21" t="s">
        <v>138</v>
      </c>
      <c r="G332" s="21" t="s">
        <v>139</v>
      </c>
      <c r="H332" s="21" t="s">
        <v>140</v>
      </c>
      <c r="I332" s="21" t="s">
        <v>141</v>
      </c>
      <c r="J332" s="21" t="s">
        <v>142</v>
      </c>
      <c r="K332" s="21" t="s">
        <v>33</v>
      </c>
    </row>
    <row r="333" spans="1:11" ht="15">
      <c r="A333" s="13"/>
      <c r="B333" s="27"/>
      <c r="C333" s="28"/>
      <c r="D333" s="15">
        <v>206</v>
      </c>
      <c r="E333" s="15">
        <v>239</v>
      </c>
      <c r="F333" s="15">
        <v>186</v>
      </c>
      <c r="G333" s="15">
        <v>201</v>
      </c>
      <c r="H333" s="15">
        <v>133</v>
      </c>
      <c r="I333" s="15">
        <v>133</v>
      </c>
      <c r="J333" s="15">
        <v>1098</v>
      </c>
      <c r="K333" s="15">
        <v>266</v>
      </c>
    </row>
    <row r="334" spans="1:11" ht="15">
      <c r="A334" s="39"/>
      <c r="B334" s="47"/>
      <c r="C334" s="48"/>
      <c r="D334" s="18">
        <v>21</v>
      </c>
      <c r="E334" s="18">
        <v>25</v>
      </c>
      <c r="F334" s="18">
        <v>21</v>
      </c>
      <c r="G334" s="18">
        <v>21</v>
      </c>
      <c r="H334" s="18">
        <v>16</v>
      </c>
      <c r="I334" s="18">
        <v>16</v>
      </c>
      <c r="J334" s="18">
        <v>120</v>
      </c>
      <c r="K334" s="18">
        <v>32</v>
      </c>
    </row>
    <row r="335" spans="1:11" ht="15">
      <c r="A335" s="10"/>
      <c r="B335" s="20" t="s">
        <v>134</v>
      </c>
      <c r="C335" s="21" t="s">
        <v>135</v>
      </c>
      <c r="D335" s="21" t="s">
        <v>136</v>
      </c>
      <c r="E335" s="21" t="s">
        <v>137</v>
      </c>
      <c r="F335" s="21" t="s">
        <v>138</v>
      </c>
      <c r="G335" s="21" t="s">
        <v>139</v>
      </c>
      <c r="H335" s="21" t="s">
        <v>140</v>
      </c>
      <c r="I335" s="21" t="s">
        <v>141</v>
      </c>
      <c r="J335" s="21" t="s">
        <v>142</v>
      </c>
      <c r="K335" s="21" t="s">
        <v>33</v>
      </c>
    </row>
    <row r="336" spans="1:11" ht="15">
      <c r="A336" s="13"/>
      <c r="B336" s="27"/>
      <c r="C336" s="28"/>
      <c r="D336" s="28"/>
      <c r="E336" s="28"/>
      <c r="F336" s="28"/>
      <c r="G336" s="28"/>
      <c r="H336" s="28"/>
      <c r="I336" s="28"/>
      <c r="J336" s="15">
        <v>0</v>
      </c>
      <c r="K336" s="15">
        <v>0</v>
      </c>
    </row>
    <row r="337" spans="1:11" ht="15">
      <c r="A337" s="13"/>
      <c r="B337" s="27"/>
      <c r="C337" s="28"/>
      <c r="D337" s="28"/>
      <c r="E337" s="28"/>
      <c r="F337" s="28"/>
      <c r="G337" s="28"/>
      <c r="H337" s="28"/>
      <c r="I337" s="28"/>
      <c r="J337" s="15">
        <v>0</v>
      </c>
      <c r="K337" s="15">
        <v>0</v>
      </c>
    </row>
    <row r="338" spans="1:11" ht="15">
      <c r="A338" s="41"/>
      <c r="B338" s="42" t="s">
        <v>134</v>
      </c>
      <c r="C338" s="43" t="s">
        <v>135</v>
      </c>
      <c r="D338" s="43" t="s">
        <v>136</v>
      </c>
      <c r="E338" s="43" t="s">
        <v>137</v>
      </c>
      <c r="F338" s="43" t="s">
        <v>138</v>
      </c>
      <c r="G338" s="43" t="s">
        <v>139</v>
      </c>
      <c r="H338" s="43" t="s">
        <v>140</v>
      </c>
      <c r="I338" s="43" t="s">
        <v>141</v>
      </c>
      <c r="J338" s="43" t="s">
        <v>142</v>
      </c>
      <c r="K338" s="43" t="s">
        <v>33</v>
      </c>
    </row>
    <row r="339" spans="1:11" ht="15">
      <c r="A339" s="40"/>
      <c r="B339" s="27"/>
      <c r="C339" s="28"/>
      <c r="D339" s="15">
        <v>202</v>
      </c>
      <c r="E339" s="15">
        <v>218</v>
      </c>
      <c r="F339" s="15">
        <v>188</v>
      </c>
      <c r="G339" s="15">
        <v>183</v>
      </c>
      <c r="H339" s="15">
        <v>130</v>
      </c>
      <c r="I339" s="15">
        <v>136</v>
      </c>
      <c r="J339" s="15">
        <v>1057</v>
      </c>
      <c r="K339" s="15">
        <v>266</v>
      </c>
    </row>
    <row r="340" spans="1:11" ht="15">
      <c r="A340" s="13"/>
      <c r="B340" s="27"/>
      <c r="C340" s="28"/>
      <c r="D340" s="15">
        <v>21</v>
      </c>
      <c r="E340" s="15">
        <v>25</v>
      </c>
      <c r="F340" s="15">
        <v>21</v>
      </c>
      <c r="G340" s="15">
        <v>21</v>
      </c>
      <c r="H340" s="15">
        <v>16</v>
      </c>
      <c r="I340" s="15">
        <v>16</v>
      </c>
      <c r="J340" s="15">
        <v>120</v>
      </c>
      <c r="K340" s="15">
        <v>32</v>
      </c>
    </row>
    <row r="341" spans="1:11" ht="15">
      <c r="A341" s="38"/>
      <c r="B341" s="20" t="s">
        <v>134</v>
      </c>
      <c r="C341" s="21" t="s">
        <v>135</v>
      </c>
      <c r="D341" s="21" t="s">
        <v>136</v>
      </c>
      <c r="E341" s="21" t="s">
        <v>137</v>
      </c>
      <c r="F341" s="21" t="s">
        <v>138</v>
      </c>
      <c r="G341" s="21" t="s">
        <v>139</v>
      </c>
      <c r="H341" s="21" t="s">
        <v>140</v>
      </c>
      <c r="I341" s="21" t="s">
        <v>141</v>
      </c>
      <c r="J341" s="21" t="s">
        <v>142</v>
      </c>
      <c r="K341" s="21" t="s">
        <v>33</v>
      </c>
    </row>
    <row r="342" spans="1:11" ht="15">
      <c r="A342" s="39"/>
      <c r="B342" s="47"/>
      <c r="C342" s="48"/>
      <c r="D342" s="18">
        <v>202</v>
      </c>
      <c r="E342" s="18">
        <v>243</v>
      </c>
      <c r="F342" s="18">
        <v>186</v>
      </c>
      <c r="G342" s="18">
        <v>162</v>
      </c>
      <c r="H342" s="18">
        <v>142</v>
      </c>
      <c r="I342" s="18">
        <v>160</v>
      </c>
      <c r="J342" s="18">
        <v>1095</v>
      </c>
      <c r="K342" s="18">
        <v>302</v>
      </c>
    </row>
    <row r="343" spans="1:11" ht="15">
      <c r="A343" s="40"/>
      <c r="B343" s="27"/>
      <c r="C343" s="28"/>
      <c r="D343" s="15">
        <v>21</v>
      </c>
      <c r="E343" s="15">
        <v>25</v>
      </c>
      <c r="F343" s="15">
        <v>21</v>
      </c>
      <c r="G343" s="15">
        <v>20</v>
      </c>
      <c r="H343" s="15">
        <v>16</v>
      </c>
      <c r="I343" s="15">
        <v>16</v>
      </c>
      <c r="J343" s="15">
        <v>119</v>
      </c>
      <c r="K343" s="15">
        <v>32</v>
      </c>
    </row>
    <row r="344" spans="1:11" ht="15">
      <c r="A344" s="38"/>
      <c r="B344" s="20" t="s">
        <v>134</v>
      </c>
      <c r="C344" s="21" t="s">
        <v>135</v>
      </c>
      <c r="D344" s="21" t="s">
        <v>136</v>
      </c>
      <c r="E344" s="21" t="s">
        <v>137</v>
      </c>
      <c r="F344" s="21" t="s">
        <v>138</v>
      </c>
      <c r="G344" s="21" t="s">
        <v>139</v>
      </c>
      <c r="H344" s="21" t="s">
        <v>140</v>
      </c>
      <c r="I344" s="21" t="s">
        <v>141</v>
      </c>
      <c r="J344" s="21" t="s">
        <v>142</v>
      </c>
      <c r="K344" s="21" t="s">
        <v>33</v>
      </c>
    </row>
    <row r="345" spans="1:11" ht="15">
      <c r="A345" s="13"/>
      <c r="B345" s="27"/>
      <c r="C345" s="28"/>
      <c r="D345" s="15">
        <v>202</v>
      </c>
      <c r="E345" s="15">
        <v>218</v>
      </c>
      <c r="F345" s="15">
        <v>176</v>
      </c>
      <c r="G345" s="15">
        <v>145</v>
      </c>
      <c r="H345" s="15">
        <v>133</v>
      </c>
      <c r="I345" s="15">
        <v>160</v>
      </c>
      <c r="J345" s="15">
        <v>1034</v>
      </c>
      <c r="K345" s="15">
        <v>293</v>
      </c>
    </row>
    <row r="346" spans="1:11" ht="15">
      <c r="A346" s="39"/>
      <c r="B346" s="47"/>
      <c r="C346" s="48"/>
      <c r="D346" s="18">
        <v>21</v>
      </c>
      <c r="E346" s="18">
        <v>25</v>
      </c>
      <c r="F346" s="18">
        <v>21</v>
      </c>
      <c r="G346" s="18">
        <v>20</v>
      </c>
      <c r="H346" s="18">
        <v>16</v>
      </c>
      <c r="I346" s="18">
        <v>16</v>
      </c>
      <c r="J346" s="18">
        <v>119</v>
      </c>
      <c r="K346" s="18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Inhouse</vt:lpstr>
      <vt:lpstr>cetogory 2 wocredit</vt:lpstr>
      <vt:lpstr>internship-category1</vt:lpstr>
      <vt:lpstr>studentnames</vt:lpstr>
      <vt:lpstr>cgpi</vt:lpstr>
      <vt:lpstr>Sheet6</vt:lpstr>
      <vt:lpstr>'cetogory 2 wocredit'!Print_Titles</vt:lpstr>
      <vt:lpstr>'internship-category1'!Print_Titles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Sandesh</dc:creator>
  <cp:lastModifiedBy>Sandesh</cp:lastModifiedBy>
  <cp:lastPrinted>2024-01-19T13:08:43Z</cp:lastPrinted>
  <dcterms:modified xsi:type="dcterms:W3CDTF">2024-01-19T13:08:49Z</dcterms:modified>
</cp:coreProperties>
</file>