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C:\Users\Cbenfield\Documents\88. 12th march - 26th march\DEL3 M3 - courseware\"/>
    </mc:Choice>
  </mc:AlternateContent>
  <xr:revisionPtr revIDLastSave="0" documentId="13_ncr:1_{6BBDF0FF-C300-42C7-9BF3-FB142FD220CC}" xr6:coauthVersionLast="47" xr6:coauthVersionMax="47" xr10:uidLastSave="{00000000-0000-0000-0000-000000000000}"/>
  <bookViews>
    <workbookView xWindow="-120" yWindow="-120" windowWidth="29040" windowHeight="15840" activeTab="1" xr2:uid="{55241D0F-4B8F-4A16-AE6D-B0183547BF83}"/>
  </bookViews>
  <sheets>
    <sheet name="Passenger Names" sheetId="13" r:id="rId1"/>
    <sheet name="Formula help" sheetId="12" r:id="rId2"/>
    <sheet name="Lookups" sheetId="3" state="veryHidden" r:id="rId3"/>
    <sheet name="Images" sheetId="7" state="veryHidden" r:id="rId4"/>
    <sheet name="Award text" sheetId="10" state="veryHidden" r:id="rId5"/>
    <sheet name="Dev" sheetId="8" state="veryHidden" r:id="rId6"/>
    <sheet name="TODO" sheetId="4" state="veryHidden" r:id="rId7"/>
  </sheets>
  <definedNames>
    <definedName name="_100PcntAccPossible">Dev!$B$73</definedName>
    <definedName name="abbvThresh">Dev!$B$95</definedName>
    <definedName name="activityName">Dev!$B$11</definedName>
    <definedName name="activityNumber">Dev!$B$10</definedName>
    <definedName name="activitySheetName">Dev!$A$20</definedName>
    <definedName name="AddWorksheetNameToRangeAddresses">_xlfn.LAMBDA(_xlpm.s,_xlpm.wsName,         IF(LEN(_xlpm.s) = 1,             _xlpm.s,             IF(AND(LEFT(_xlpm.s, 1) = "$", MID(_xlpm.s, 2, 1) &gt;= "A", MID(_xlpm.s, 2, 1) &lt;= "Z"), _xlpm.wsName &amp; "!", "")             &amp; LEFT(_xlpm.s, 1) &amp; AddWorksheetNameToRangeAddresses(RIGHT(_xlpm.s, LEN(_xlpm.s) - 1), _xlpm.wsName)         )     )</definedName>
    <definedName name="allReqdFnsWorking">Dev!$B$122</definedName>
    <definedName name="almost100PcntCorrStr">"Almost 100% correct"</definedName>
    <definedName name="answersTblName">Dev!$B$15</definedName>
    <definedName name="anyFormulaErrors">Dev!$B$74</definedName>
    <definedName name="calcErrHelp">"A #CALC! error often indicates that a dynamic array formula is returning no results."</definedName>
    <definedName name="correctStr">correctSymbol &amp; "Correct"</definedName>
    <definedName name="correctSymbol">"✔️"</definedName>
    <definedName name="dataTabName">Dev!$A$21</definedName>
    <definedName name="dataTblName">Dev!$B$14</definedName>
    <definedName name="dataTblShtProtected">Dev!$B$25</definedName>
    <definedName name="debug_numCorrect">Dev!$D$86</definedName>
    <definedName name="distinctFTCounts">OFFSET(Dev!$B$43:$AD$43, 0, 0, 1, COUNTA(tblPassengerNames[#Headers]))</definedName>
    <definedName name="e1_1_grade">#REF!</definedName>
    <definedName name="e1_3_grade">#REF!</definedName>
    <definedName name="enterAnswerStr">enterAnswerSymbol &amp; " Your grade will appear here when you have completed this exercise."</definedName>
    <definedName name="enterAnswerSymbol">"✏️"</definedName>
    <definedName name="errorsWillAppearHereStr">"If any formula errors are detected, help text will appear here."</definedName>
    <definedName name="firstRowFT">OFFSET(Dev!$B$44:$AD$44, 0, 0, 1, COUNTA(tblPassengerNames[#Headers]))</definedName>
    <definedName name="firstRowReferencesOrigCellRef">OFFSET(Dev!$B$47:$AD$47, 0, 0, 1, COUNTA(tblPassengerNames[#Headers]))</definedName>
    <definedName name="firstRowReferencesOriginalCol">OFFSET(Dev!$B$48:$AD$48, 0, 0, 1, COUNTA(tblPassengerNames[#Headers]))</definedName>
    <definedName name="firstRowReferencesOriginalTable">OFFSET(Dev!$B$49:$AD$49, 0, 0, 1, COUNTA(tblPassengerNames[#Headers]))</definedName>
    <definedName name="firstRowReferencesOrigTblRef">OFFSET(Dev!$B$45:$AD$45, 0, 0, 1, COUNTA(tblPassengerNames[#Headers]))</definedName>
    <definedName name="firstRowUsesIndirect">OFFSET(Dev!$B$53:$AD$53, 0, 0, 1, COUNTA(tblPassengerNames[#Headers]))</definedName>
    <definedName name="firstRowUsesOffset">OFFSET(Dev!$B$54:$AD$54, 0, 0, 1, COUNTA(tblPassengerNames[#Headers]))</definedName>
    <definedName name="fnDoesNotWorkStr">incorrectSymbol &amp; " This function is not included in your version of Excel"</definedName>
    <definedName name="fnFormulatextWorking">Dev!$B$118</definedName>
    <definedName name="fnIfsWorking">Dev!$B$114</definedName>
    <definedName name="fnLetWorking">Dev!$B$116</definedName>
    <definedName name="fnSequenceWorking">Dev!$B$119</definedName>
    <definedName name="fnTextjoinWorking">Dev!$B$115</definedName>
    <definedName name="fnUniqueWorking">Dev!$B$117</definedName>
    <definedName name="fnWorksStr">correctSymbol &amp; " This function is included in your version of Excel"</definedName>
    <definedName name="fracCorrect">Dev!$B$89</definedName>
    <definedName name="fracCorrectFormatted">Dev!$B$90</definedName>
    <definedName name="ftErrorReport">'Passenger Names'!#REF!</definedName>
    <definedName name="ftErrorReportTitle">'Passenger Names'!#REF!</definedName>
    <definedName name="ftWarningSymbol">'Passenger Names'!#REF!</definedName>
    <definedName name="helpPlaceholderStr">"Help text will appear here if your formula fails"</definedName>
    <definedName name="idxAwardEarned">Dev!$A$106</definedName>
    <definedName name="incorrectStr">"✘ Incorrect"</definedName>
    <definedName name="incorrectSymbol">"✘"</definedName>
    <definedName name="infoArea">'Passenger Names'!#REF!</definedName>
    <definedName name="infoStr">"🛈"</definedName>
    <definedName name="isErr_nonBlankNonFormula">OFFSET(Dev!$B$52:$AD$52, 0, 0, 1, COUNTA(tblPassengerNames[#Headers]))</definedName>
    <definedName name="legacyErrorReport">Dev!$B$76</definedName>
    <definedName name="lockedColsDataTblName">Dev!$B$16</definedName>
    <definedName name="matchColOK">Dev!$B$68</definedName>
    <definedName name="maxNameLength">Dev!$B$37</definedName>
    <definedName name="name">#REF!</definedName>
    <definedName name="nameAwardEarned">Dev!$B$106</definedName>
    <definedName name="nameClean">Dev!$B$29</definedName>
    <definedName name="nameFitted">Images!$A$10</definedName>
    <definedName name="nameFormatted">_xlfn.IFS(LEN(nameClean) &gt;= nameMultilineXLThresh, nameMultilineXLFormatted, LEN(nameClean) &gt;= nameMultilineThresh, nameMultilineFormatted, TRUE, nameSingleLineFormatted)</definedName>
    <definedName name="nameMultiline">Dev!$B$34</definedName>
    <definedName name="nameMultilineFormatted">Images!$A$21</definedName>
    <definedName name="nameMultilineThresh">Dev!$B$35</definedName>
    <definedName name="nameMultilineXLFormatted">Images!$A$23</definedName>
    <definedName name="nameMultilineXLThresh">Dev!$B$36</definedName>
    <definedName name="nameSingleLineFormatted">Images!$A$19</definedName>
    <definedName name="nameSlicePos">Dev!$B$33</definedName>
    <definedName name="nameSpacePos1">Dev!$B$31</definedName>
    <definedName name="nameSpacePos2">Dev!$B$32</definedName>
    <definedName name="naStr">"N/A"</definedName>
    <definedName name="nColsNonFormula">Dev!$B$63</definedName>
    <definedName name="nColsNonUnique">Dev!$B$58</definedName>
    <definedName name="nColsRefersToOriginalCellRef">Dev!$B$60</definedName>
    <definedName name="nColsRefersToOriginalCol">Dev!$B$61</definedName>
    <definedName name="nColsRefersToOriginalTbl">Dev!$B$62</definedName>
    <definedName name="nColsRefersToOriginalTblRef">Dev!$B$59</definedName>
    <definedName name="nColsUseIndirect">Dev!$B$64</definedName>
    <definedName name="nColsUseOffset">Dev!$B$65</definedName>
    <definedName name="nCorrect">Dev!$B$86</definedName>
    <definedName name="nextRewardProgress">Dev!$B$109</definedName>
    <definedName name="nextRewardProgThresh">Dev!$B$110</definedName>
    <definedName name="nItemsGraded">Dev!$B$88</definedName>
    <definedName name="nonBlankNonFormula">OFFSET(Dev!$B$50:$AD$50, 0, 0, 1, COUNTA(tblPassengerNames[#Headers]))</definedName>
    <definedName name="nonBlankNonFormulaGT0">OFFSET(Dev!$B$51:$AD$51, 0, 0, 1, COUNTA(tblPassengerNames[#Headers]))</definedName>
    <definedName name="nRows">Dev!$B$87</definedName>
    <definedName name="oldExcelMissingFeature">"&lt;Content cannot be displayed in this version of Excel&gt;"</definedName>
    <definedName name="origColReferencesOrigTbl">Dev!$B$71</definedName>
    <definedName name="q1_2_ans">#REF!</definedName>
    <definedName name="q1_5_ans">#REF!</definedName>
    <definedName name="q2_2_ans">#REF!</definedName>
    <definedName name="q2_3_ans">#REF!</definedName>
    <definedName name="q2_4_ans">#REF!</definedName>
    <definedName name="q4_1_ans">#REF!</definedName>
    <definedName name="q4_6_ans">#REF!</definedName>
    <definedName name="q4_7_1_ans">#REF!</definedName>
    <definedName name="q4_7_2_ans">#REF!</definedName>
    <definedName name="q4_7_3_ans">#REF!</definedName>
    <definedName name="rngAwardEarnedImage">INDEX(rngAwardImages, 1, idxAwardEarned)</definedName>
    <definedName name="rngAwardImages">Images!$B$1:$E$1</definedName>
    <definedName name="shtActivityProtected">Dev!$C$20</definedName>
    <definedName name="shtAwardsProtected">Dev!$C$23</definedName>
    <definedName name="shtDataProtected">Dev!$C$21</definedName>
    <definedName name="shtFormulaHelpFormulaTestCell">'Formula help'!$A$2</definedName>
    <definedName name="shtFormulaHelpProtected">Dev!$C$22</definedName>
    <definedName name="spillErrHelp">"A #SPILL! error indicates that a dynamic array formula is trying to expand into one or more non-blank cells."</definedName>
    <definedName name="startOfDataTable">'Passenger Names'!$B$1</definedName>
    <definedName name="tooManyFormulaErrorsStr">"There are more formula errors in your table than can be displayed in the space available. Please ask your tutor for assistance."</definedName>
    <definedName name="unhandledFormulaErrStr">"Unhandled formula error. Please ask your tutor for assistance."</definedName>
    <definedName name="warningStr">warningSym &amp; " Warning"</definedName>
    <definedName name="warningSym">"⚠️"</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3" l="1"/>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G3" i="13"/>
  <c r="G4" i="13"/>
  <c r="G5" i="13"/>
  <c r="K5" i="13" s="1"/>
  <c r="L5" i="13" s="1"/>
  <c r="G6" i="13"/>
  <c r="K6" i="13" s="1"/>
  <c r="L6" i="13" s="1"/>
  <c r="G7" i="13"/>
  <c r="K7" i="13" s="1"/>
  <c r="L7" i="13" s="1"/>
  <c r="G8" i="13"/>
  <c r="K8" i="13" s="1"/>
  <c r="L8" i="13" s="1"/>
  <c r="G9" i="13"/>
  <c r="G10" i="13"/>
  <c r="G11" i="13"/>
  <c r="G12" i="13"/>
  <c r="G13" i="13"/>
  <c r="K13" i="13" s="1"/>
  <c r="L13" i="13" s="1"/>
  <c r="G14" i="13"/>
  <c r="G15" i="13"/>
  <c r="G16" i="13"/>
  <c r="K16" i="13" s="1"/>
  <c r="L16" i="13" s="1"/>
  <c r="G17" i="13"/>
  <c r="G18" i="13"/>
  <c r="K18" i="13" s="1"/>
  <c r="L18" i="13" s="1"/>
  <c r="G19" i="13"/>
  <c r="K19" i="13" s="1"/>
  <c r="L19" i="13" s="1"/>
  <c r="G20" i="13"/>
  <c r="G21" i="13"/>
  <c r="G22" i="13"/>
  <c r="G23" i="13"/>
  <c r="G24" i="13"/>
  <c r="G25" i="13"/>
  <c r="G26" i="13"/>
  <c r="G27" i="13"/>
  <c r="G28" i="13"/>
  <c r="G29" i="13"/>
  <c r="K29" i="13" s="1"/>
  <c r="L29" i="13" s="1"/>
  <c r="G30" i="13"/>
  <c r="K30" i="13" s="1"/>
  <c r="L30" i="13" s="1"/>
  <c r="G31" i="13"/>
  <c r="K31" i="13" s="1"/>
  <c r="L31" i="13" s="1"/>
  <c r="G32" i="13"/>
  <c r="K32" i="13" s="1"/>
  <c r="L32" i="13" s="1"/>
  <c r="G33" i="13"/>
  <c r="G34" i="13"/>
  <c r="G35" i="13"/>
  <c r="G36" i="13"/>
  <c r="G37" i="13"/>
  <c r="K37" i="13" s="1"/>
  <c r="L37" i="13" s="1"/>
  <c r="G38" i="13"/>
  <c r="G39" i="13"/>
  <c r="G40" i="13"/>
  <c r="I40" i="13" s="1"/>
  <c r="G41" i="13"/>
  <c r="G42" i="13"/>
  <c r="K42" i="13" s="1"/>
  <c r="L42" i="13" s="1"/>
  <c r="G43" i="13"/>
  <c r="K43" i="13" s="1"/>
  <c r="L43" i="13" s="1"/>
  <c r="G44" i="13"/>
  <c r="G45" i="13"/>
  <c r="G46" i="13"/>
  <c r="G47" i="13"/>
  <c r="G48" i="13"/>
  <c r="G49" i="13"/>
  <c r="G50" i="13"/>
  <c r="G51" i="13"/>
  <c r="G52" i="13"/>
  <c r="G53" i="13"/>
  <c r="K53" i="13" s="1"/>
  <c r="L53" i="13" s="1"/>
  <c r="G54" i="13"/>
  <c r="K54" i="13" s="1"/>
  <c r="L54" i="13" s="1"/>
  <c r="G55" i="13"/>
  <c r="K55" i="13" s="1"/>
  <c r="L55" i="13" s="1"/>
  <c r="G56" i="13"/>
  <c r="K56" i="13" s="1"/>
  <c r="L56" i="13" s="1"/>
  <c r="G57" i="13"/>
  <c r="G58" i="13"/>
  <c r="G59" i="13"/>
  <c r="G60" i="13"/>
  <c r="G61" i="13"/>
  <c r="K61" i="13" s="1"/>
  <c r="L61" i="13" s="1"/>
  <c r="G62" i="13"/>
  <c r="I62" i="13" s="1"/>
  <c r="G63" i="13"/>
  <c r="G64" i="13"/>
  <c r="K64" i="13" s="1"/>
  <c r="L64" i="13" s="1"/>
  <c r="G65" i="13"/>
  <c r="G66" i="13"/>
  <c r="K66" i="13" s="1"/>
  <c r="L66" i="13" s="1"/>
  <c r="G67" i="13"/>
  <c r="K67" i="13" s="1"/>
  <c r="L67" i="13" s="1"/>
  <c r="G68" i="13"/>
  <c r="G69" i="13"/>
  <c r="G70" i="13"/>
  <c r="G71" i="13"/>
  <c r="G72" i="13"/>
  <c r="G73" i="13"/>
  <c r="G74" i="13"/>
  <c r="G75" i="13"/>
  <c r="G76" i="13"/>
  <c r="G77" i="13"/>
  <c r="K77" i="13" s="1"/>
  <c r="L77" i="13" s="1"/>
  <c r="G78" i="13"/>
  <c r="G79" i="13"/>
  <c r="K79" i="13" s="1"/>
  <c r="L79" i="13" s="1"/>
  <c r="G80" i="13"/>
  <c r="K80" i="13" s="1"/>
  <c r="L80" i="13" s="1"/>
  <c r="G81" i="13"/>
  <c r="G82" i="13"/>
  <c r="G83" i="13"/>
  <c r="G84" i="13"/>
  <c r="G85" i="13"/>
  <c r="K85" i="13" s="1"/>
  <c r="L85" i="13" s="1"/>
  <c r="G86" i="13"/>
  <c r="G87" i="13"/>
  <c r="G88" i="13"/>
  <c r="K88" i="13" s="1"/>
  <c r="L88" i="13" s="1"/>
  <c r="G89" i="13"/>
  <c r="G90" i="13"/>
  <c r="K90" i="13" s="1"/>
  <c r="L90" i="13" s="1"/>
  <c r="G91" i="13"/>
  <c r="K91" i="13" s="1"/>
  <c r="L91" i="13" s="1"/>
  <c r="G92" i="13"/>
  <c r="G93" i="13"/>
  <c r="G94" i="13"/>
  <c r="G95" i="13"/>
  <c r="G96" i="13"/>
  <c r="G97" i="13"/>
  <c r="G98" i="13"/>
  <c r="G99" i="13"/>
  <c r="G100" i="13"/>
  <c r="G101" i="13"/>
  <c r="K101" i="13" s="1"/>
  <c r="L101" i="13" s="1"/>
  <c r="G102" i="13"/>
  <c r="K102" i="13" s="1"/>
  <c r="L102" i="13" s="1"/>
  <c r="G103" i="13"/>
  <c r="K103" i="13" s="1"/>
  <c r="L103" i="13" s="1"/>
  <c r="G104" i="13"/>
  <c r="I104" i="13" s="1"/>
  <c r="G105" i="13"/>
  <c r="G106" i="13"/>
  <c r="G107" i="13"/>
  <c r="G108" i="13"/>
  <c r="G109" i="13"/>
  <c r="K109" i="13" s="1"/>
  <c r="L109" i="13" s="1"/>
  <c r="G110" i="13"/>
  <c r="G111" i="13"/>
  <c r="G112" i="13"/>
  <c r="K112" i="13" s="1"/>
  <c r="L112" i="13" s="1"/>
  <c r="G113" i="13"/>
  <c r="G114" i="13"/>
  <c r="K114" i="13" s="1"/>
  <c r="L114" i="13" s="1"/>
  <c r="G115" i="13"/>
  <c r="K115" i="13" s="1"/>
  <c r="L115" i="13" s="1"/>
  <c r="G116" i="13"/>
  <c r="G117" i="13"/>
  <c r="G118" i="13"/>
  <c r="G119" i="13"/>
  <c r="G120" i="13"/>
  <c r="G121" i="13"/>
  <c r="G122" i="13"/>
  <c r="G123" i="13"/>
  <c r="G124" i="13"/>
  <c r="G125" i="13"/>
  <c r="K125" i="13" s="1"/>
  <c r="L125" i="13" s="1"/>
  <c r="G126" i="13"/>
  <c r="G127" i="13"/>
  <c r="K127" i="13" s="1"/>
  <c r="L127" i="13" s="1"/>
  <c r="G128" i="13"/>
  <c r="K128" i="13" s="1"/>
  <c r="L128" i="13" s="1"/>
  <c r="G129" i="13"/>
  <c r="G130" i="13"/>
  <c r="G131" i="13"/>
  <c r="G132" i="13"/>
  <c r="G133" i="13"/>
  <c r="K133" i="13" s="1"/>
  <c r="L133" i="13" s="1"/>
  <c r="G134" i="13"/>
  <c r="G135" i="13"/>
  <c r="G136" i="13"/>
  <c r="K136" i="13" s="1"/>
  <c r="L136" i="13" s="1"/>
  <c r="G137" i="13"/>
  <c r="G138" i="13"/>
  <c r="K138" i="13" s="1"/>
  <c r="L138" i="13" s="1"/>
  <c r="G139" i="13"/>
  <c r="K139" i="13" s="1"/>
  <c r="L139" i="13" s="1"/>
  <c r="G140" i="13"/>
  <c r="G141" i="13"/>
  <c r="G142" i="13"/>
  <c r="G143" i="13"/>
  <c r="G144" i="13"/>
  <c r="G145" i="13"/>
  <c r="G146" i="13"/>
  <c r="G147" i="13"/>
  <c r="G148" i="13"/>
  <c r="G149" i="13"/>
  <c r="K149" i="13" s="1"/>
  <c r="L149" i="13" s="1"/>
  <c r="G150" i="13"/>
  <c r="G151" i="13"/>
  <c r="K151" i="13" s="1"/>
  <c r="L151" i="13" s="1"/>
  <c r="G152" i="13"/>
  <c r="K152" i="13" s="1"/>
  <c r="L152" i="13" s="1"/>
  <c r="G153" i="13"/>
  <c r="G154" i="13"/>
  <c r="G155" i="13"/>
  <c r="G156" i="13"/>
  <c r="G157" i="13"/>
  <c r="K157" i="13" s="1"/>
  <c r="L157" i="13" s="1"/>
  <c r="G158" i="13"/>
  <c r="G159" i="13"/>
  <c r="G160" i="13"/>
  <c r="K160" i="13" s="1"/>
  <c r="L160" i="13" s="1"/>
  <c r="G161" i="13"/>
  <c r="G162" i="13"/>
  <c r="K162" i="13" s="1"/>
  <c r="L162" i="13" s="1"/>
  <c r="G163" i="13"/>
  <c r="K163" i="13" s="1"/>
  <c r="L163" i="13" s="1"/>
  <c r="G164" i="13"/>
  <c r="G165" i="13"/>
  <c r="G166" i="13"/>
  <c r="G167" i="13"/>
  <c r="G168" i="13"/>
  <c r="I168" i="13" s="1"/>
  <c r="G169" i="13"/>
  <c r="G170" i="13"/>
  <c r="G171" i="13"/>
  <c r="G172" i="13"/>
  <c r="G173" i="13"/>
  <c r="K173" i="13" s="1"/>
  <c r="L173" i="13" s="1"/>
  <c r="G174" i="13"/>
  <c r="G175" i="13"/>
  <c r="K175" i="13" s="1"/>
  <c r="L175" i="13" s="1"/>
  <c r="G176" i="13"/>
  <c r="K176" i="13" s="1"/>
  <c r="L176" i="13" s="1"/>
  <c r="G177" i="13"/>
  <c r="G178" i="13"/>
  <c r="G179" i="13"/>
  <c r="G180" i="13"/>
  <c r="G181" i="13"/>
  <c r="K181" i="13" s="1"/>
  <c r="L181" i="13" s="1"/>
  <c r="G182" i="13"/>
  <c r="G183" i="13"/>
  <c r="G184" i="13"/>
  <c r="K184" i="13" s="1"/>
  <c r="L184" i="13" s="1"/>
  <c r="G185" i="13"/>
  <c r="G186" i="13"/>
  <c r="K186" i="13" s="1"/>
  <c r="L186" i="13" s="1"/>
  <c r="G187" i="13"/>
  <c r="K187" i="13" s="1"/>
  <c r="L187" i="13" s="1"/>
  <c r="G188" i="13"/>
  <c r="G189" i="13"/>
  <c r="G190" i="13"/>
  <c r="G191" i="13"/>
  <c r="G192" i="13"/>
  <c r="G193" i="13"/>
  <c r="G194" i="13"/>
  <c r="G195" i="13"/>
  <c r="G196" i="13"/>
  <c r="G197" i="13"/>
  <c r="K197" i="13" s="1"/>
  <c r="L197" i="13" s="1"/>
  <c r="G198" i="13"/>
  <c r="G199" i="13"/>
  <c r="K199" i="13" s="1"/>
  <c r="L199" i="13" s="1"/>
  <c r="G200" i="13"/>
  <c r="K200" i="13" s="1"/>
  <c r="L200" i="13" s="1"/>
  <c r="G201" i="13"/>
  <c r="G202" i="13"/>
  <c r="G203" i="13"/>
  <c r="G204" i="13"/>
  <c r="G205" i="13"/>
  <c r="K205" i="13" s="1"/>
  <c r="L205" i="13" s="1"/>
  <c r="G206" i="13"/>
  <c r="G207" i="13"/>
  <c r="G208" i="13"/>
  <c r="K208" i="13" s="1"/>
  <c r="L208" i="13" s="1"/>
  <c r="G209" i="13"/>
  <c r="G210" i="13"/>
  <c r="K210" i="13" s="1"/>
  <c r="L210" i="13" s="1"/>
  <c r="G211" i="13"/>
  <c r="K211" i="13" s="1"/>
  <c r="L211" i="13" s="1"/>
  <c r="G212" i="13"/>
  <c r="G213" i="13"/>
  <c r="G214" i="13"/>
  <c r="G215" i="13"/>
  <c r="G216" i="13"/>
  <c r="G217" i="13"/>
  <c r="G218" i="13"/>
  <c r="G219" i="13"/>
  <c r="G220" i="13"/>
  <c r="G221" i="13"/>
  <c r="K221" i="13" s="1"/>
  <c r="L221" i="13" s="1"/>
  <c r="G222" i="13"/>
  <c r="G223" i="13"/>
  <c r="K223" i="13" s="1"/>
  <c r="L223" i="13" s="1"/>
  <c r="G224" i="13"/>
  <c r="K224" i="13" s="1"/>
  <c r="L224" i="13" s="1"/>
  <c r="G225" i="13"/>
  <c r="G226" i="13"/>
  <c r="G227" i="13"/>
  <c r="G228" i="13"/>
  <c r="G229" i="13"/>
  <c r="K229" i="13" s="1"/>
  <c r="L229" i="13" s="1"/>
  <c r="G230" i="13"/>
  <c r="G231" i="13"/>
  <c r="G232" i="13"/>
  <c r="K232" i="13" s="1"/>
  <c r="L232" i="13" s="1"/>
  <c r="G233" i="13"/>
  <c r="G234" i="13"/>
  <c r="K234" i="13" s="1"/>
  <c r="L234" i="13" s="1"/>
  <c r="G235" i="13"/>
  <c r="K235" i="13" s="1"/>
  <c r="L235" i="13" s="1"/>
  <c r="G236" i="13"/>
  <c r="G237" i="13"/>
  <c r="G238" i="13"/>
  <c r="G239" i="13"/>
  <c r="G240" i="13"/>
  <c r="G241" i="13"/>
  <c r="G242" i="13"/>
  <c r="G243" i="13"/>
  <c r="G244" i="13"/>
  <c r="G245" i="13"/>
  <c r="K245" i="13" s="1"/>
  <c r="L245" i="13" s="1"/>
  <c r="G246" i="13"/>
  <c r="G247" i="13"/>
  <c r="K247" i="13" s="1"/>
  <c r="L247" i="13" s="1"/>
  <c r="G248" i="13"/>
  <c r="K248" i="13" s="1"/>
  <c r="L248" i="13" s="1"/>
  <c r="G249" i="13"/>
  <c r="G250" i="13"/>
  <c r="G251" i="13"/>
  <c r="G252" i="13"/>
  <c r="G253" i="13"/>
  <c r="K253" i="13" s="1"/>
  <c r="L253" i="13" s="1"/>
  <c r="G254" i="13"/>
  <c r="G255" i="13"/>
  <c r="G256" i="13"/>
  <c r="K256" i="13" s="1"/>
  <c r="L256" i="13" s="1"/>
  <c r="G257" i="13"/>
  <c r="G258" i="13"/>
  <c r="K258" i="13" s="1"/>
  <c r="L258" i="13" s="1"/>
  <c r="G259" i="13"/>
  <c r="K259" i="13" s="1"/>
  <c r="L259" i="13" s="1"/>
  <c r="G260" i="13"/>
  <c r="G261" i="13"/>
  <c r="G262" i="13"/>
  <c r="G263" i="13"/>
  <c r="G264" i="13"/>
  <c r="G265" i="13"/>
  <c r="G266" i="13"/>
  <c r="G267" i="13"/>
  <c r="G268" i="13"/>
  <c r="G269" i="13"/>
  <c r="K269" i="13" s="1"/>
  <c r="L269" i="13" s="1"/>
  <c r="G270" i="13"/>
  <c r="G271" i="13"/>
  <c r="K271" i="13" s="1"/>
  <c r="L271" i="13" s="1"/>
  <c r="G272" i="13"/>
  <c r="K272" i="13" s="1"/>
  <c r="L272" i="13" s="1"/>
  <c r="G273" i="13"/>
  <c r="G274" i="13"/>
  <c r="G275" i="13"/>
  <c r="G276" i="13"/>
  <c r="G277" i="13"/>
  <c r="K277" i="13" s="1"/>
  <c r="L277" i="13" s="1"/>
  <c r="G278" i="13"/>
  <c r="G279" i="13"/>
  <c r="G280" i="13"/>
  <c r="K280" i="13" s="1"/>
  <c r="L280" i="13" s="1"/>
  <c r="G281" i="13"/>
  <c r="G282" i="13"/>
  <c r="K282" i="13" s="1"/>
  <c r="L282" i="13" s="1"/>
  <c r="G283" i="13"/>
  <c r="K283" i="13" s="1"/>
  <c r="L283" i="13" s="1"/>
  <c r="G284" i="13"/>
  <c r="G285" i="13"/>
  <c r="G286" i="13"/>
  <c r="G287" i="13"/>
  <c r="G288" i="13"/>
  <c r="G289" i="13"/>
  <c r="G290" i="13"/>
  <c r="G291" i="13"/>
  <c r="G292" i="13"/>
  <c r="G293" i="13"/>
  <c r="K293" i="13" s="1"/>
  <c r="L293" i="13" s="1"/>
  <c r="G294" i="13"/>
  <c r="K294" i="13" s="1"/>
  <c r="L294" i="13" s="1"/>
  <c r="G295" i="13"/>
  <c r="K295" i="13" s="1"/>
  <c r="L295" i="13" s="1"/>
  <c r="G296" i="13"/>
  <c r="K296" i="13" s="1"/>
  <c r="L296" i="13" s="1"/>
  <c r="G297" i="13"/>
  <c r="G298" i="13"/>
  <c r="G299" i="13"/>
  <c r="G300" i="13"/>
  <c r="G301" i="13"/>
  <c r="G302" i="13"/>
  <c r="G303" i="13"/>
  <c r="G304" i="13"/>
  <c r="K304" i="13" s="1"/>
  <c r="L304" i="13" s="1"/>
  <c r="G305" i="13"/>
  <c r="G306" i="13"/>
  <c r="K306" i="13" s="1"/>
  <c r="L306" i="13" s="1"/>
  <c r="G307" i="13"/>
  <c r="K307" i="13" s="1"/>
  <c r="L307" i="13" s="1"/>
  <c r="G308" i="13"/>
  <c r="G309" i="13"/>
  <c r="G310" i="13"/>
  <c r="G311" i="13"/>
  <c r="G312" i="13"/>
  <c r="G313" i="13"/>
  <c r="G314" i="13"/>
  <c r="G315" i="13"/>
  <c r="G316" i="13"/>
  <c r="G317" i="13"/>
  <c r="G318" i="13"/>
  <c r="G319" i="13"/>
  <c r="K319" i="13" s="1"/>
  <c r="L319" i="13" s="1"/>
  <c r="G320" i="13"/>
  <c r="G321" i="13"/>
  <c r="G322" i="13"/>
  <c r="G323" i="13"/>
  <c r="G324" i="13"/>
  <c r="G325" i="13"/>
  <c r="G326" i="13"/>
  <c r="G327" i="13"/>
  <c r="G328" i="13"/>
  <c r="G329" i="13"/>
  <c r="G330" i="13"/>
  <c r="G331" i="13"/>
  <c r="K331" i="13" s="1"/>
  <c r="L331" i="13" s="1"/>
  <c r="G332" i="13"/>
  <c r="G333" i="13"/>
  <c r="G334" i="13"/>
  <c r="G335" i="13"/>
  <c r="G336" i="13"/>
  <c r="G337" i="13"/>
  <c r="G338" i="13"/>
  <c r="G339" i="13"/>
  <c r="G340" i="13"/>
  <c r="G341" i="13"/>
  <c r="G342" i="13"/>
  <c r="G343" i="13"/>
  <c r="G344" i="13"/>
  <c r="G345" i="13"/>
  <c r="G346" i="13"/>
  <c r="G347" i="13"/>
  <c r="G348" i="13"/>
  <c r="G349" i="13"/>
  <c r="G350" i="13"/>
  <c r="G351" i="13"/>
  <c r="G352" i="13"/>
  <c r="G353" i="13"/>
  <c r="G354" i="13"/>
  <c r="G355" i="13"/>
  <c r="G356" i="13"/>
  <c r="G357" i="13"/>
  <c r="G358" i="13"/>
  <c r="G359" i="13"/>
  <c r="G360" i="13"/>
  <c r="G361" i="13"/>
  <c r="G362" i="13"/>
  <c r="G363" i="13"/>
  <c r="G364" i="13"/>
  <c r="G365" i="13"/>
  <c r="G366" i="13"/>
  <c r="G367" i="13"/>
  <c r="G368" i="13"/>
  <c r="G369" i="13"/>
  <c r="G370" i="13"/>
  <c r="G371" i="13"/>
  <c r="G372" i="13"/>
  <c r="G373" i="13"/>
  <c r="G374" i="13"/>
  <c r="G375" i="13"/>
  <c r="G376" i="13"/>
  <c r="G377" i="13"/>
  <c r="G378" i="13"/>
  <c r="G379" i="13"/>
  <c r="G380" i="13"/>
  <c r="G381" i="13"/>
  <c r="G382" i="13"/>
  <c r="G383" i="13"/>
  <c r="G384" i="13"/>
  <c r="G385" i="13"/>
  <c r="G386" i="13"/>
  <c r="G387" i="13"/>
  <c r="G388" i="13"/>
  <c r="G389" i="13"/>
  <c r="G390" i="13"/>
  <c r="G391" i="13"/>
  <c r="G392" i="13"/>
  <c r="G393" i="13"/>
  <c r="G394" i="13"/>
  <c r="G395" i="13"/>
  <c r="G396" i="13"/>
  <c r="G397" i="13"/>
  <c r="G398" i="13"/>
  <c r="G399" i="13"/>
  <c r="G400" i="13"/>
  <c r="G401" i="13"/>
  <c r="G402" i="13"/>
  <c r="G403" i="13"/>
  <c r="G404" i="13"/>
  <c r="G405" i="13"/>
  <c r="G406" i="13"/>
  <c r="G407" i="13"/>
  <c r="G408" i="13"/>
  <c r="G409" i="13"/>
  <c r="G410" i="13"/>
  <c r="G411" i="13"/>
  <c r="G412" i="13"/>
  <c r="G413" i="13"/>
  <c r="G414" i="13"/>
  <c r="G415" i="13"/>
  <c r="G416" i="13"/>
  <c r="G417" i="13"/>
  <c r="G418" i="13"/>
  <c r="G419" i="13"/>
  <c r="G420" i="13"/>
  <c r="G421" i="13"/>
  <c r="G422" i="13"/>
  <c r="G423" i="13"/>
  <c r="G424" i="13"/>
  <c r="G425" i="13"/>
  <c r="G426" i="13"/>
  <c r="G427" i="13"/>
  <c r="G428" i="13"/>
  <c r="G429" i="13"/>
  <c r="G430" i="13"/>
  <c r="G431" i="13"/>
  <c r="G432" i="13"/>
  <c r="G433" i="13"/>
  <c r="G434" i="13"/>
  <c r="G435" i="13"/>
  <c r="G436" i="13"/>
  <c r="G437" i="13"/>
  <c r="G438" i="13"/>
  <c r="G439" i="13"/>
  <c r="G440" i="13"/>
  <c r="G441" i="13"/>
  <c r="G442" i="13"/>
  <c r="G443" i="13"/>
  <c r="G444" i="13"/>
  <c r="G445" i="13"/>
  <c r="G446" i="13"/>
  <c r="G447" i="13"/>
  <c r="G448" i="13"/>
  <c r="G449" i="13"/>
  <c r="G450" i="13"/>
  <c r="G451" i="13"/>
  <c r="G452" i="13"/>
  <c r="G453" i="13"/>
  <c r="G454" i="13"/>
  <c r="G455" i="13"/>
  <c r="G456" i="13"/>
  <c r="G457" i="13"/>
  <c r="G458" i="13"/>
  <c r="G459" i="13"/>
  <c r="G460" i="13"/>
  <c r="G461" i="13"/>
  <c r="G462" i="13"/>
  <c r="G463" i="13"/>
  <c r="G464" i="13"/>
  <c r="G465" i="13"/>
  <c r="G466" i="13"/>
  <c r="G467" i="13"/>
  <c r="G468" i="13"/>
  <c r="G469" i="13"/>
  <c r="G470" i="13"/>
  <c r="G471" i="13"/>
  <c r="G472" i="13"/>
  <c r="G473" i="13"/>
  <c r="G474" i="13"/>
  <c r="G475" i="13"/>
  <c r="G476" i="13"/>
  <c r="G477" i="13"/>
  <c r="G478" i="13"/>
  <c r="G479" i="13"/>
  <c r="G480" i="13"/>
  <c r="G481" i="13"/>
  <c r="G482" i="13"/>
  <c r="G483" i="13"/>
  <c r="G484" i="13"/>
  <c r="G485" i="13"/>
  <c r="G486" i="13"/>
  <c r="K486" i="13" s="1"/>
  <c r="L486" i="13" s="1"/>
  <c r="G487" i="13"/>
  <c r="G488" i="13"/>
  <c r="G489" i="13"/>
  <c r="G490" i="13"/>
  <c r="G491" i="13"/>
  <c r="G492" i="13"/>
  <c r="G493" i="13"/>
  <c r="G494" i="13"/>
  <c r="G495" i="13"/>
  <c r="G496" i="13"/>
  <c r="G497" i="13"/>
  <c r="G498" i="13"/>
  <c r="G499" i="13"/>
  <c r="G500" i="13"/>
  <c r="G501" i="13"/>
  <c r="G502" i="13"/>
  <c r="G503" i="13"/>
  <c r="G504" i="13"/>
  <c r="G505" i="13"/>
  <c r="G506" i="13"/>
  <c r="G507" i="13"/>
  <c r="G508" i="13"/>
  <c r="G509" i="13"/>
  <c r="G510" i="13"/>
  <c r="G511" i="13"/>
  <c r="G512" i="13"/>
  <c r="G513" i="13"/>
  <c r="G514" i="13"/>
  <c r="G515" i="13"/>
  <c r="G516" i="13"/>
  <c r="G517" i="13"/>
  <c r="G518" i="13"/>
  <c r="G519" i="13"/>
  <c r="G520" i="13"/>
  <c r="G521" i="13"/>
  <c r="G522" i="13"/>
  <c r="G523" i="13"/>
  <c r="G524" i="13"/>
  <c r="G525" i="13"/>
  <c r="G526" i="13"/>
  <c r="G527" i="13"/>
  <c r="G528" i="13"/>
  <c r="G529" i="13"/>
  <c r="G530" i="13"/>
  <c r="G531" i="13"/>
  <c r="G532" i="13"/>
  <c r="G533" i="13"/>
  <c r="G534" i="13"/>
  <c r="G535" i="13"/>
  <c r="G536" i="13"/>
  <c r="G537" i="13"/>
  <c r="G538" i="13"/>
  <c r="G539" i="13"/>
  <c r="G540" i="13"/>
  <c r="G541" i="13"/>
  <c r="G542" i="13"/>
  <c r="G543" i="13"/>
  <c r="G544" i="13"/>
  <c r="G545" i="13"/>
  <c r="G546" i="13"/>
  <c r="G547" i="13"/>
  <c r="G548" i="13"/>
  <c r="G549" i="13"/>
  <c r="G550" i="13"/>
  <c r="G551" i="13"/>
  <c r="G552" i="13"/>
  <c r="G553" i="13"/>
  <c r="G554" i="13"/>
  <c r="G555" i="13"/>
  <c r="G556" i="13"/>
  <c r="G557" i="13"/>
  <c r="G558" i="13"/>
  <c r="G559" i="13"/>
  <c r="G560" i="13"/>
  <c r="G561" i="13"/>
  <c r="G562" i="13"/>
  <c r="G563" i="13"/>
  <c r="G564" i="13"/>
  <c r="G565" i="13"/>
  <c r="G566" i="13"/>
  <c r="G567" i="13"/>
  <c r="G568" i="13"/>
  <c r="G569" i="13"/>
  <c r="G570" i="13"/>
  <c r="G571" i="13"/>
  <c r="G572" i="13"/>
  <c r="G573" i="13"/>
  <c r="G574" i="13"/>
  <c r="G575" i="13"/>
  <c r="G576" i="13"/>
  <c r="G577" i="13"/>
  <c r="G578" i="13"/>
  <c r="G579" i="13"/>
  <c r="G580" i="13"/>
  <c r="G581" i="13"/>
  <c r="G582" i="13"/>
  <c r="G583" i="13"/>
  <c r="G584" i="13"/>
  <c r="G585" i="13"/>
  <c r="G586" i="13"/>
  <c r="G587" i="13"/>
  <c r="G588" i="13"/>
  <c r="G589" i="13"/>
  <c r="G590" i="13"/>
  <c r="G591" i="13"/>
  <c r="G592" i="13"/>
  <c r="G593" i="13"/>
  <c r="G594" i="13"/>
  <c r="G595" i="13"/>
  <c r="G596" i="13"/>
  <c r="G597" i="13"/>
  <c r="G598" i="13"/>
  <c r="G599" i="13"/>
  <c r="G600" i="13"/>
  <c r="G601" i="13"/>
  <c r="G602" i="13"/>
  <c r="G603" i="13"/>
  <c r="G604" i="13"/>
  <c r="G605" i="13"/>
  <c r="G606" i="13"/>
  <c r="G607" i="13"/>
  <c r="G608" i="13"/>
  <c r="G609" i="13"/>
  <c r="G610" i="13"/>
  <c r="G611" i="13"/>
  <c r="G612" i="13"/>
  <c r="G613" i="13"/>
  <c r="G614" i="13"/>
  <c r="G615" i="13"/>
  <c r="G616" i="13"/>
  <c r="G617" i="13"/>
  <c r="G618" i="13"/>
  <c r="G619" i="13"/>
  <c r="G620" i="13"/>
  <c r="G621" i="13"/>
  <c r="G622" i="13"/>
  <c r="G623" i="13"/>
  <c r="G624" i="13"/>
  <c r="G625" i="13"/>
  <c r="G626" i="13"/>
  <c r="G627" i="13"/>
  <c r="G628" i="13"/>
  <c r="G629" i="13"/>
  <c r="G630" i="13"/>
  <c r="G631" i="13"/>
  <c r="G632" i="13"/>
  <c r="G633" i="13"/>
  <c r="G634" i="13"/>
  <c r="G635" i="13"/>
  <c r="G636" i="13"/>
  <c r="G637" i="13"/>
  <c r="G638" i="13"/>
  <c r="G639" i="13"/>
  <c r="G640" i="13"/>
  <c r="G641" i="13"/>
  <c r="G642" i="13"/>
  <c r="G643" i="13"/>
  <c r="G644" i="13"/>
  <c r="G645" i="13"/>
  <c r="G646" i="13"/>
  <c r="G647" i="13"/>
  <c r="G648" i="13"/>
  <c r="G649" i="13"/>
  <c r="G650" i="13"/>
  <c r="G651" i="13"/>
  <c r="G652" i="13"/>
  <c r="G653" i="13"/>
  <c r="G654" i="13"/>
  <c r="G655" i="13"/>
  <c r="G656" i="13"/>
  <c r="G657" i="13"/>
  <c r="G658" i="13"/>
  <c r="G659" i="13"/>
  <c r="G660" i="13"/>
  <c r="G661" i="13"/>
  <c r="G662" i="13"/>
  <c r="G663" i="13"/>
  <c r="G664" i="13"/>
  <c r="G665" i="13"/>
  <c r="G666" i="13"/>
  <c r="G667" i="13"/>
  <c r="G668" i="13"/>
  <c r="G669" i="13"/>
  <c r="G670" i="13"/>
  <c r="G671" i="13"/>
  <c r="G672" i="13"/>
  <c r="G673" i="13"/>
  <c r="G674" i="13"/>
  <c r="G675" i="13"/>
  <c r="G676" i="13"/>
  <c r="G677" i="13"/>
  <c r="G678" i="13"/>
  <c r="K678" i="13" s="1"/>
  <c r="L678" i="13" s="1"/>
  <c r="G679" i="13"/>
  <c r="G680" i="13"/>
  <c r="I680" i="13" s="1"/>
  <c r="G681" i="13"/>
  <c r="G682" i="13"/>
  <c r="G683" i="13"/>
  <c r="G684" i="13"/>
  <c r="G685" i="13"/>
  <c r="G686" i="13"/>
  <c r="G687" i="13"/>
  <c r="G688" i="13"/>
  <c r="G689" i="13"/>
  <c r="G690" i="13"/>
  <c r="G691" i="13"/>
  <c r="G692" i="13"/>
  <c r="G693" i="13"/>
  <c r="G694" i="13"/>
  <c r="G695" i="13"/>
  <c r="G696" i="13"/>
  <c r="G697" i="13"/>
  <c r="G698" i="13"/>
  <c r="G699" i="13"/>
  <c r="G700" i="13"/>
  <c r="G701" i="13"/>
  <c r="G702" i="13"/>
  <c r="G703" i="13"/>
  <c r="G704" i="13"/>
  <c r="G705" i="13"/>
  <c r="G706" i="13"/>
  <c r="G707" i="13"/>
  <c r="G708" i="13"/>
  <c r="G709" i="13"/>
  <c r="G710" i="13"/>
  <c r="G711" i="13"/>
  <c r="G712" i="13"/>
  <c r="G713" i="13"/>
  <c r="G714" i="13"/>
  <c r="G715" i="13"/>
  <c r="G716" i="13"/>
  <c r="G717" i="13"/>
  <c r="G718" i="13"/>
  <c r="G719" i="13"/>
  <c r="G720" i="13"/>
  <c r="G721" i="13"/>
  <c r="G722" i="13"/>
  <c r="G723" i="13"/>
  <c r="G724" i="13"/>
  <c r="G725" i="13"/>
  <c r="G726" i="13"/>
  <c r="G727" i="13"/>
  <c r="G728" i="13"/>
  <c r="G729" i="13"/>
  <c r="G730" i="13"/>
  <c r="G731" i="13"/>
  <c r="G732" i="13"/>
  <c r="G733" i="13"/>
  <c r="G734" i="13"/>
  <c r="G735" i="13"/>
  <c r="G736" i="13"/>
  <c r="G737" i="13"/>
  <c r="G738" i="13"/>
  <c r="G739" i="13"/>
  <c r="G740" i="13"/>
  <c r="G741" i="13"/>
  <c r="G742" i="13"/>
  <c r="G743" i="13"/>
  <c r="G744" i="13"/>
  <c r="G745" i="13"/>
  <c r="G746" i="13"/>
  <c r="G747" i="13"/>
  <c r="G748" i="13"/>
  <c r="G749" i="13"/>
  <c r="G750" i="13"/>
  <c r="G751" i="13"/>
  <c r="G752" i="13"/>
  <c r="G753" i="13"/>
  <c r="G754" i="13"/>
  <c r="G755" i="13"/>
  <c r="G756" i="13"/>
  <c r="G757" i="13"/>
  <c r="G758" i="13"/>
  <c r="G759" i="13"/>
  <c r="G760" i="13"/>
  <c r="G761" i="13"/>
  <c r="G762" i="13"/>
  <c r="G763" i="13"/>
  <c r="G764" i="13"/>
  <c r="G765" i="13"/>
  <c r="G766" i="13"/>
  <c r="G767" i="13"/>
  <c r="G768" i="13"/>
  <c r="G769" i="13"/>
  <c r="G770" i="13"/>
  <c r="G771" i="13"/>
  <c r="G772" i="13"/>
  <c r="G773" i="13"/>
  <c r="G774" i="13"/>
  <c r="G775" i="13"/>
  <c r="G776" i="13"/>
  <c r="G777" i="13"/>
  <c r="G778" i="13"/>
  <c r="G779" i="13"/>
  <c r="G780" i="13"/>
  <c r="G781" i="13"/>
  <c r="G782" i="13"/>
  <c r="G783" i="13"/>
  <c r="G784" i="13"/>
  <c r="G785" i="13"/>
  <c r="G786" i="13"/>
  <c r="G787" i="13"/>
  <c r="G788" i="13"/>
  <c r="G789" i="13"/>
  <c r="G790" i="13"/>
  <c r="G791" i="13"/>
  <c r="G792" i="13"/>
  <c r="G793" i="13"/>
  <c r="G794" i="13"/>
  <c r="G795" i="13"/>
  <c r="G796" i="13"/>
  <c r="G797" i="13"/>
  <c r="G798" i="13"/>
  <c r="G799" i="13"/>
  <c r="G800" i="13"/>
  <c r="G801" i="13"/>
  <c r="G802" i="13"/>
  <c r="G803" i="13"/>
  <c r="G804" i="13"/>
  <c r="G805" i="13"/>
  <c r="G806" i="13"/>
  <c r="G807" i="13"/>
  <c r="G808" i="13"/>
  <c r="G809" i="13"/>
  <c r="G810" i="13"/>
  <c r="G811" i="13"/>
  <c r="G812" i="13"/>
  <c r="G813" i="13"/>
  <c r="G814" i="13"/>
  <c r="G815" i="13"/>
  <c r="G816" i="13"/>
  <c r="G817" i="13"/>
  <c r="G818" i="13"/>
  <c r="G819" i="13"/>
  <c r="G820" i="13"/>
  <c r="G821" i="13"/>
  <c r="G822" i="13"/>
  <c r="G823" i="13"/>
  <c r="G824" i="13"/>
  <c r="G825" i="13"/>
  <c r="G826" i="13"/>
  <c r="G827" i="13"/>
  <c r="G828" i="13"/>
  <c r="G829" i="13"/>
  <c r="G830" i="13"/>
  <c r="G831" i="13"/>
  <c r="G832" i="13"/>
  <c r="G833" i="13"/>
  <c r="G834" i="13"/>
  <c r="G835" i="13"/>
  <c r="G836" i="13"/>
  <c r="G837" i="13"/>
  <c r="G838" i="13"/>
  <c r="G839" i="13"/>
  <c r="G840" i="13"/>
  <c r="G841" i="13"/>
  <c r="G842" i="13"/>
  <c r="G843" i="13"/>
  <c r="G844" i="13"/>
  <c r="G845" i="13"/>
  <c r="G846" i="13"/>
  <c r="G847" i="13"/>
  <c r="G848" i="13"/>
  <c r="G849" i="13"/>
  <c r="G850" i="13"/>
  <c r="G851" i="13"/>
  <c r="G852" i="13"/>
  <c r="G853" i="13"/>
  <c r="G854" i="13"/>
  <c r="G855" i="13"/>
  <c r="G856" i="13"/>
  <c r="G857" i="13"/>
  <c r="G858" i="13"/>
  <c r="G859" i="13"/>
  <c r="G860" i="13"/>
  <c r="G861" i="13"/>
  <c r="G862" i="13"/>
  <c r="G863" i="13"/>
  <c r="G864" i="13"/>
  <c r="G865" i="13"/>
  <c r="G866" i="13"/>
  <c r="G867" i="13"/>
  <c r="G868" i="13"/>
  <c r="G869" i="13"/>
  <c r="G870" i="13"/>
  <c r="K870" i="13" s="1"/>
  <c r="L870" i="13" s="1"/>
  <c r="G871" i="13"/>
  <c r="G872" i="13"/>
  <c r="G873" i="13"/>
  <c r="G874" i="13"/>
  <c r="G875" i="13"/>
  <c r="G876" i="13"/>
  <c r="G877" i="13"/>
  <c r="G878" i="13"/>
  <c r="G879" i="13"/>
  <c r="G880" i="13"/>
  <c r="G881" i="13"/>
  <c r="G882" i="13"/>
  <c r="G883" i="13"/>
  <c r="G884" i="13"/>
  <c r="G885" i="13"/>
  <c r="G886" i="13"/>
  <c r="G887" i="13"/>
  <c r="G888" i="13"/>
  <c r="G889" i="13"/>
  <c r="G890" i="13"/>
  <c r="G891" i="13"/>
  <c r="G892" i="13"/>
  <c r="G893" i="13"/>
  <c r="G894" i="13"/>
  <c r="G895" i="13"/>
  <c r="G896" i="13"/>
  <c r="G897" i="13"/>
  <c r="G898" i="13"/>
  <c r="G899" i="13"/>
  <c r="G900" i="13"/>
  <c r="G901" i="13"/>
  <c r="G902" i="13"/>
  <c r="G903" i="13"/>
  <c r="G904" i="13"/>
  <c r="G905" i="13"/>
  <c r="G906" i="13"/>
  <c r="G907" i="13"/>
  <c r="G908" i="13"/>
  <c r="G909" i="13"/>
  <c r="G910" i="13"/>
  <c r="G911" i="13"/>
  <c r="G912" i="13"/>
  <c r="G913" i="13"/>
  <c r="G914" i="13"/>
  <c r="G915" i="13"/>
  <c r="G916" i="13"/>
  <c r="G917" i="13"/>
  <c r="G918" i="13"/>
  <c r="G919" i="13"/>
  <c r="G920" i="13"/>
  <c r="G921" i="13"/>
  <c r="G922" i="13"/>
  <c r="G923" i="13"/>
  <c r="G924" i="13"/>
  <c r="G925" i="13"/>
  <c r="G926" i="13"/>
  <c r="G927" i="13"/>
  <c r="G928" i="13"/>
  <c r="G929" i="13"/>
  <c r="G930" i="13"/>
  <c r="G931" i="13"/>
  <c r="G932" i="13"/>
  <c r="G933" i="13"/>
  <c r="G934" i="13"/>
  <c r="G935" i="13"/>
  <c r="G936" i="13"/>
  <c r="G937" i="13"/>
  <c r="G938" i="13"/>
  <c r="G939" i="13"/>
  <c r="G940" i="13"/>
  <c r="G941" i="13"/>
  <c r="G942" i="13"/>
  <c r="G943" i="13"/>
  <c r="G944" i="13"/>
  <c r="G945" i="13"/>
  <c r="G946" i="13"/>
  <c r="G947" i="13"/>
  <c r="G948" i="13"/>
  <c r="G949" i="13"/>
  <c r="G950" i="13"/>
  <c r="G951" i="13"/>
  <c r="G952" i="13"/>
  <c r="G953" i="13"/>
  <c r="G954" i="13"/>
  <c r="G955" i="13"/>
  <c r="G956" i="13"/>
  <c r="G957" i="13"/>
  <c r="G958" i="13"/>
  <c r="G959" i="13"/>
  <c r="G960" i="13"/>
  <c r="G961" i="13"/>
  <c r="G962" i="13"/>
  <c r="G963" i="13"/>
  <c r="G964" i="13"/>
  <c r="G965" i="13"/>
  <c r="G966" i="13"/>
  <c r="G967" i="13"/>
  <c r="G968" i="13"/>
  <c r="G969" i="13"/>
  <c r="G970" i="13"/>
  <c r="G971" i="13"/>
  <c r="G972" i="13"/>
  <c r="G973" i="13"/>
  <c r="G974" i="13"/>
  <c r="G975" i="13"/>
  <c r="G976" i="13"/>
  <c r="G977" i="13"/>
  <c r="G978" i="13"/>
  <c r="G979" i="13"/>
  <c r="G980" i="13"/>
  <c r="G981" i="13"/>
  <c r="G982" i="13"/>
  <c r="G983" i="13"/>
  <c r="G984" i="13"/>
  <c r="G985" i="13"/>
  <c r="G986" i="13"/>
  <c r="G987" i="13"/>
  <c r="G988" i="13"/>
  <c r="G989" i="13"/>
  <c r="G990" i="13"/>
  <c r="G991" i="13"/>
  <c r="G992" i="13"/>
  <c r="G993" i="13"/>
  <c r="G994" i="13"/>
  <c r="G995" i="13"/>
  <c r="G996" i="13"/>
  <c r="G997" i="13"/>
  <c r="G998" i="13"/>
  <c r="G999" i="13"/>
  <c r="G1000" i="13"/>
  <c r="G1001" i="13"/>
  <c r="G1002" i="13"/>
  <c r="G1003" i="13"/>
  <c r="G1004" i="13"/>
  <c r="G1005" i="13"/>
  <c r="G1006" i="13"/>
  <c r="G1007" i="13"/>
  <c r="G1008" i="13"/>
  <c r="G1009" i="13"/>
  <c r="G1010" i="13"/>
  <c r="G1011" i="13"/>
  <c r="G1012" i="13"/>
  <c r="G1013" i="13"/>
  <c r="G1014" i="13"/>
  <c r="G1015" i="13"/>
  <c r="G1016" i="13"/>
  <c r="G1017" i="13"/>
  <c r="G1018" i="13"/>
  <c r="G1019" i="13"/>
  <c r="G1020" i="13"/>
  <c r="G1021" i="13"/>
  <c r="G1022" i="13"/>
  <c r="G1023" i="13"/>
  <c r="G1024" i="13"/>
  <c r="G1025" i="13"/>
  <c r="G1026" i="13"/>
  <c r="G1027" i="13"/>
  <c r="G1028" i="13"/>
  <c r="G1029" i="13"/>
  <c r="G1030" i="13"/>
  <c r="G1031" i="13"/>
  <c r="G1032" i="13"/>
  <c r="G1033" i="13"/>
  <c r="G1034" i="13"/>
  <c r="G1035" i="13"/>
  <c r="G1036" i="13"/>
  <c r="G1037" i="13"/>
  <c r="G1038" i="13"/>
  <c r="G1039" i="13"/>
  <c r="G1040" i="13"/>
  <c r="I1040" i="13" s="1"/>
  <c r="G1041" i="13"/>
  <c r="G1042" i="13"/>
  <c r="G1043" i="13"/>
  <c r="G1044" i="13"/>
  <c r="G1045" i="13"/>
  <c r="G1046" i="13"/>
  <c r="G1047" i="13"/>
  <c r="G1048" i="13"/>
  <c r="G1049" i="13"/>
  <c r="G1050" i="13"/>
  <c r="G1051" i="13"/>
  <c r="G1052" i="13"/>
  <c r="G1053" i="13"/>
  <c r="G1054" i="13"/>
  <c r="G1055" i="13"/>
  <c r="G1056" i="13"/>
  <c r="G1057" i="13"/>
  <c r="G1058" i="13"/>
  <c r="G1059" i="13"/>
  <c r="G1060" i="13"/>
  <c r="G1061" i="13"/>
  <c r="G1062" i="13"/>
  <c r="K1062" i="13" s="1"/>
  <c r="L1062" i="13" s="1"/>
  <c r="G1063" i="13"/>
  <c r="G1064" i="13"/>
  <c r="G1065" i="13"/>
  <c r="G1066" i="13"/>
  <c r="G1067" i="13"/>
  <c r="G1068" i="13"/>
  <c r="G1069" i="13"/>
  <c r="G1070" i="13"/>
  <c r="G1071" i="13"/>
  <c r="G1072" i="13"/>
  <c r="G1073" i="13"/>
  <c r="G1074" i="13"/>
  <c r="G1075" i="13"/>
  <c r="G1076" i="13"/>
  <c r="G1077" i="13"/>
  <c r="G1078" i="13"/>
  <c r="G1079" i="13"/>
  <c r="G1080" i="13"/>
  <c r="G1081" i="13"/>
  <c r="G1082" i="13"/>
  <c r="G1083" i="13"/>
  <c r="G1084" i="13"/>
  <c r="G1085" i="13"/>
  <c r="G1086" i="13"/>
  <c r="G1087" i="13"/>
  <c r="G1088" i="13"/>
  <c r="G1089" i="13"/>
  <c r="G1090" i="13"/>
  <c r="G1091" i="13"/>
  <c r="G1092" i="13"/>
  <c r="G1093" i="13"/>
  <c r="G1094" i="13"/>
  <c r="G1095" i="13"/>
  <c r="G1096" i="13"/>
  <c r="G1097" i="13"/>
  <c r="G1098" i="13"/>
  <c r="G1099" i="13"/>
  <c r="G1100" i="13"/>
  <c r="G1101" i="13"/>
  <c r="G1102" i="13"/>
  <c r="G1103" i="13"/>
  <c r="G1104" i="13"/>
  <c r="I1104" i="13" s="1"/>
  <c r="G1105" i="13"/>
  <c r="G1106" i="13"/>
  <c r="G1107" i="13"/>
  <c r="G1108" i="13"/>
  <c r="G1109" i="13"/>
  <c r="G1110" i="13"/>
  <c r="G1111" i="13"/>
  <c r="G1112" i="13"/>
  <c r="G1113" i="13"/>
  <c r="G1114" i="13"/>
  <c r="G1115" i="13"/>
  <c r="G1116" i="13"/>
  <c r="G1117" i="13"/>
  <c r="G1118" i="13"/>
  <c r="G1119" i="13"/>
  <c r="G1120" i="13"/>
  <c r="G1121" i="13"/>
  <c r="G1122" i="13"/>
  <c r="G1123" i="13"/>
  <c r="G1124" i="13"/>
  <c r="G1125" i="13"/>
  <c r="G1126" i="13"/>
  <c r="G1127" i="13"/>
  <c r="G1128" i="13"/>
  <c r="G1129" i="13"/>
  <c r="G1130" i="13"/>
  <c r="G1131" i="13"/>
  <c r="G1132" i="13"/>
  <c r="G1133" i="13"/>
  <c r="G1134" i="13"/>
  <c r="G1135" i="13"/>
  <c r="G1136" i="13"/>
  <c r="G1137" i="13"/>
  <c r="G1138" i="13"/>
  <c r="G1139" i="13"/>
  <c r="G1140" i="13"/>
  <c r="G1141" i="13"/>
  <c r="G1142" i="13"/>
  <c r="G1143" i="13"/>
  <c r="G1144" i="13"/>
  <c r="G1145" i="13"/>
  <c r="G1146" i="13"/>
  <c r="G1147" i="13"/>
  <c r="G1148" i="13"/>
  <c r="G1149" i="13"/>
  <c r="G1150" i="13"/>
  <c r="G1151" i="13"/>
  <c r="G1152" i="13"/>
  <c r="G1153" i="13"/>
  <c r="G1154" i="13"/>
  <c r="G1155" i="13"/>
  <c r="G1156" i="13"/>
  <c r="G1157" i="13"/>
  <c r="G1158" i="13"/>
  <c r="G1159" i="13"/>
  <c r="G1160" i="13"/>
  <c r="G1161" i="13"/>
  <c r="G1162" i="13"/>
  <c r="G1163" i="13"/>
  <c r="G1164" i="13"/>
  <c r="G1165" i="13"/>
  <c r="G1166" i="13"/>
  <c r="G1167" i="13"/>
  <c r="G1168" i="13"/>
  <c r="I1168" i="13" s="1"/>
  <c r="G1169" i="13"/>
  <c r="G1170" i="13"/>
  <c r="G1171" i="13"/>
  <c r="G1172" i="13"/>
  <c r="G1173" i="13"/>
  <c r="G1174" i="13"/>
  <c r="G1175" i="13"/>
  <c r="G1176" i="13"/>
  <c r="G1177" i="13"/>
  <c r="G1178" i="13"/>
  <c r="G1179" i="13"/>
  <c r="G1180" i="13"/>
  <c r="G1181" i="13"/>
  <c r="G1182" i="13"/>
  <c r="G1183" i="13"/>
  <c r="G1184" i="13"/>
  <c r="G1185" i="13"/>
  <c r="G1186" i="13"/>
  <c r="G1187" i="13"/>
  <c r="G1188" i="13"/>
  <c r="G1189" i="13"/>
  <c r="G1190" i="13"/>
  <c r="G1191" i="13"/>
  <c r="G1192" i="13"/>
  <c r="G1193" i="13"/>
  <c r="G1194" i="13"/>
  <c r="G1195" i="13"/>
  <c r="G1196" i="13"/>
  <c r="G1197" i="13"/>
  <c r="G1198" i="13"/>
  <c r="G1199" i="13"/>
  <c r="G1200" i="13"/>
  <c r="G1201" i="13"/>
  <c r="G1202" i="13"/>
  <c r="G1203" i="13"/>
  <c r="G1204" i="13"/>
  <c r="G1205" i="13"/>
  <c r="G1206" i="13"/>
  <c r="G1207" i="13"/>
  <c r="G1208" i="13"/>
  <c r="G1209" i="13"/>
  <c r="G1210" i="13"/>
  <c r="G1211" i="13"/>
  <c r="G1212" i="13"/>
  <c r="G1213" i="13"/>
  <c r="G1214" i="13"/>
  <c r="G1215" i="13"/>
  <c r="G1216" i="13"/>
  <c r="G1217" i="13"/>
  <c r="G1218" i="13"/>
  <c r="G1219" i="13"/>
  <c r="G1220" i="13"/>
  <c r="G1221" i="13"/>
  <c r="G1222" i="13"/>
  <c r="G1223" i="13"/>
  <c r="G1224" i="13"/>
  <c r="G1225" i="13"/>
  <c r="G1226" i="13"/>
  <c r="G1227" i="13"/>
  <c r="G1228" i="13"/>
  <c r="G1229" i="13"/>
  <c r="G1230" i="13"/>
  <c r="G1231" i="13"/>
  <c r="G1232" i="13"/>
  <c r="I1232" i="13" s="1"/>
  <c r="G1233" i="13"/>
  <c r="G1234" i="13"/>
  <c r="G1235" i="13"/>
  <c r="G1236" i="13"/>
  <c r="G1237" i="13"/>
  <c r="G1238" i="13"/>
  <c r="G1239" i="13"/>
  <c r="G1240" i="13"/>
  <c r="G1241" i="13"/>
  <c r="G1242" i="13"/>
  <c r="G1243" i="13"/>
  <c r="G1244" i="13"/>
  <c r="G1245" i="13"/>
  <c r="G1246" i="13"/>
  <c r="G1247" i="13"/>
  <c r="G1248" i="13"/>
  <c r="G1249" i="13"/>
  <c r="G1250" i="13"/>
  <c r="G1251" i="13"/>
  <c r="G1252" i="13"/>
  <c r="G1253" i="13"/>
  <c r="G1254" i="13"/>
  <c r="K1254" i="13" s="1"/>
  <c r="L1254" i="13" s="1"/>
  <c r="G1255" i="13"/>
  <c r="G1256" i="13"/>
  <c r="G1257" i="13"/>
  <c r="G1258" i="13"/>
  <c r="G1259" i="13"/>
  <c r="G1260" i="13"/>
  <c r="G1261" i="13"/>
  <c r="G1262" i="13"/>
  <c r="G1263" i="13"/>
  <c r="G1264" i="13"/>
  <c r="G1265" i="13"/>
  <c r="G1266" i="13"/>
  <c r="G1267" i="13"/>
  <c r="G1268" i="13"/>
  <c r="G1269" i="13"/>
  <c r="G1270" i="13"/>
  <c r="G1271" i="13"/>
  <c r="G1272" i="13"/>
  <c r="G1273" i="13"/>
  <c r="G1274" i="13"/>
  <c r="G1275" i="13"/>
  <c r="G1276" i="13"/>
  <c r="G1277" i="13"/>
  <c r="G1278" i="13"/>
  <c r="G1279" i="13"/>
  <c r="G1280" i="13"/>
  <c r="G1281" i="13"/>
  <c r="G1282" i="13"/>
  <c r="G1283" i="13"/>
  <c r="G1284" i="13"/>
  <c r="G1285" i="13"/>
  <c r="G1286" i="13"/>
  <c r="G1287" i="13"/>
  <c r="G1288" i="13"/>
  <c r="G1289" i="13"/>
  <c r="G1290" i="13"/>
  <c r="G1291" i="13"/>
  <c r="G1292" i="13"/>
  <c r="G1293" i="13"/>
  <c r="G1294" i="13"/>
  <c r="G1295" i="13"/>
  <c r="G1296" i="13"/>
  <c r="I1296" i="13" s="1"/>
  <c r="G1297" i="13"/>
  <c r="G1298" i="13"/>
  <c r="G1299" i="13"/>
  <c r="G1300" i="13"/>
  <c r="G1301" i="13"/>
  <c r="G1302" i="13"/>
  <c r="G1303" i="13"/>
  <c r="G1304" i="13"/>
  <c r="G1305" i="13"/>
  <c r="G1306" i="13"/>
  <c r="G1307" i="13"/>
  <c r="G1308" i="13"/>
  <c r="G1309" i="13"/>
  <c r="G1310" i="13"/>
  <c r="G131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J40" i="13" s="1"/>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J168" i="13" s="1"/>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J1104" i="13" s="1"/>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J1168" i="13" s="1"/>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J1296" i="13" s="1"/>
  <c r="F1297" i="13"/>
  <c r="F1298" i="13"/>
  <c r="F1299" i="13"/>
  <c r="F1300" i="13"/>
  <c r="F1301" i="13"/>
  <c r="F1302" i="13"/>
  <c r="F1303" i="13"/>
  <c r="F1304" i="13"/>
  <c r="F1305" i="13"/>
  <c r="F1306" i="13"/>
  <c r="F1307" i="13"/>
  <c r="F1308" i="13"/>
  <c r="F1309" i="13"/>
  <c r="F1310" i="13"/>
  <c r="F1311"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E619" i="13"/>
  <c r="E620" i="13"/>
  <c r="E621" i="13"/>
  <c r="E622" i="13"/>
  <c r="E623" i="13"/>
  <c r="E624" i="13"/>
  <c r="E625" i="13"/>
  <c r="E626" i="13"/>
  <c r="E627" i="13"/>
  <c r="E628" i="13"/>
  <c r="E629" i="13"/>
  <c r="E630" i="13"/>
  <c r="E631" i="13"/>
  <c r="E632" i="13"/>
  <c r="E633" i="13"/>
  <c r="E634" i="13"/>
  <c r="E635" i="13"/>
  <c r="E636" i="13"/>
  <c r="E637" i="13"/>
  <c r="E638" i="13"/>
  <c r="E639" i="13"/>
  <c r="E640" i="13"/>
  <c r="E641" i="13"/>
  <c r="E642" i="13"/>
  <c r="E643" i="13"/>
  <c r="E644" i="13"/>
  <c r="E645" i="13"/>
  <c r="E646" i="13"/>
  <c r="E647" i="13"/>
  <c r="E648" i="13"/>
  <c r="E649" i="13"/>
  <c r="E650" i="13"/>
  <c r="E651" i="13"/>
  <c r="E652" i="13"/>
  <c r="E653" i="13"/>
  <c r="E654" i="13"/>
  <c r="E655" i="13"/>
  <c r="E656" i="13"/>
  <c r="E657" i="13"/>
  <c r="E658" i="13"/>
  <c r="E659" i="13"/>
  <c r="E660" i="13"/>
  <c r="E661" i="13"/>
  <c r="E662" i="13"/>
  <c r="E663" i="13"/>
  <c r="E664" i="13"/>
  <c r="E665" i="13"/>
  <c r="E666" i="13"/>
  <c r="E667" i="13"/>
  <c r="E668" i="13"/>
  <c r="E669" i="13"/>
  <c r="E670" i="13"/>
  <c r="E671" i="13"/>
  <c r="E672" i="13"/>
  <c r="E673" i="13"/>
  <c r="E674" i="13"/>
  <c r="E675" i="13"/>
  <c r="E676" i="13"/>
  <c r="E677" i="13"/>
  <c r="E678" i="13"/>
  <c r="E679" i="13"/>
  <c r="E680" i="13"/>
  <c r="E681" i="13"/>
  <c r="E682" i="13"/>
  <c r="E683" i="13"/>
  <c r="E684" i="13"/>
  <c r="E685" i="13"/>
  <c r="E686" i="13"/>
  <c r="E687" i="13"/>
  <c r="E688" i="13"/>
  <c r="E689" i="13"/>
  <c r="E690" i="13"/>
  <c r="E691" i="13"/>
  <c r="E692" i="13"/>
  <c r="E693" i="13"/>
  <c r="E694" i="13"/>
  <c r="E695" i="13"/>
  <c r="E696" i="13"/>
  <c r="E697" i="13"/>
  <c r="E698" i="13"/>
  <c r="E699" i="13"/>
  <c r="E700" i="13"/>
  <c r="E701" i="13"/>
  <c r="E702" i="13"/>
  <c r="E703" i="13"/>
  <c r="E704" i="13"/>
  <c r="E705" i="13"/>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E840" i="13"/>
  <c r="E841" i="13"/>
  <c r="E842" i="13"/>
  <c r="E843" i="13"/>
  <c r="E844" i="13"/>
  <c r="E845" i="13"/>
  <c r="E846" i="13"/>
  <c r="E847" i="13"/>
  <c r="E848" i="13"/>
  <c r="E849" i="13"/>
  <c r="E850" i="13"/>
  <c r="E851" i="13"/>
  <c r="E852" i="13"/>
  <c r="E853" i="13"/>
  <c r="E854" i="13"/>
  <c r="E855" i="13"/>
  <c r="E856" i="13"/>
  <c r="E857" i="13"/>
  <c r="E858" i="13"/>
  <c r="E859" i="13"/>
  <c r="E860" i="13"/>
  <c r="E861" i="13"/>
  <c r="E862" i="13"/>
  <c r="E863" i="13"/>
  <c r="E864" i="13"/>
  <c r="E865" i="13"/>
  <c r="E866" i="13"/>
  <c r="E867" i="13"/>
  <c r="E868" i="13"/>
  <c r="E869" i="13"/>
  <c r="E870" i="13"/>
  <c r="E871" i="13"/>
  <c r="E872" i="13"/>
  <c r="E873" i="13"/>
  <c r="E874" i="13"/>
  <c r="E875" i="13"/>
  <c r="E876" i="13"/>
  <c r="E877" i="13"/>
  <c r="E878" i="13"/>
  <c r="E879" i="13"/>
  <c r="E880" i="13"/>
  <c r="E881" i="13"/>
  <c r="E882" i="13"/>
  <c r="E883" i="13"/>
  <c r="E884" i="13"/>
  <c r="E885" i="13"/>
  <c r="E886" i="13"/>
  <c r="E887" i="13"/>
  <c r="E888" i="13"/>
  <c r="E889" i="13"/>
  <c r="E890" i="13"/>
  <c r="E891" i="13"/>
  <c r="E892" i="13"/>
  <c r="E893" i="13"/>
  <c r="E894" i="13"/>
  <c r="E895" i="13"/>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E953" i="13"/>
  <c r="E954" i="13"/>
  <c r="E955" i="13"/>
  <c r="E956" i="13"/>
  <c r="E957" i="13"/>
  <c r="E958" i="13"/>
  <c r="E959" i="13"/>
  <c r="E960" i="13"/>
  <c r="E961" i="13"/>
  <c r="E962" i="13"/>
  <c r="E963" i="13"/>
  <c r="E964" i="13"/>
  <c r="E965" i="13"/>
  <c r="E966" i="13"/>
  <c r="E967" i="13"/>
  <c r="E968" i="13"/>
  <c r="E969" i="13"/>
  <c r="E970" i="13"/>
  <c r="E971" i="13"/>
  <c r="E972" i="13"/>
  <c r="E973" i="13"/>
  <c r="E974" i="13"/>
  <c r="E975" i="13"/>
  <c r="E976" i="13"/>
  <c r="E977" i="13"/>
  <c r="E978" i="13"/>
  <c r="E979" i="13"/>
  <c r="E980" i="13"/>
  <c r="E981" i="13"/>
  <c r="E982" i="13"/>
  <c r="E983" i="13"/>
  <c r="E984" i="13"/>
  <c r="E985" i="13"/>
  <c r="E986" i="13"/>
  <c r="E987" i="13"/>
  <c r="E988" i="13"/>
  <c r="E989" i="13"/>
  <c r="E990" i="13"/>
  <c r="E991" i="13"/>
  <c r="E992" i="13"/>
  <c r="E993" i="13"/>
  <c r="E994" i="13"/>
  <c r="E995" i="13"/>
  <c r="E996" i="13"/>
  <c r="E997" i="13"/>
  <c r="E998" i="13"/>
  <c r="E999" i="13"/>
  <c r="E1000" i="13"/>
  <c r="E1001" i="13"/>
  <c r="E1002" i="13"/>
  <c r="E1003" i="13"/>
  <c r="E1004" i="13"/>
  <c r="E1005" i="13"/>
  <c r="E1006" i="13"/>
  <c r="E1007" i="13"/>
  <c r="E1008" i="13"/>
  <c r="E1009" i="13"/>
  <c r="E1010" i="13"/>
  <c r="E1011" i="13"/>
  <c r="E1012" i="13"/>
  <c r="E1013" i="13"/>
  <c r="E1014" i="13"/>
  <c r="E1015" i="13"/>
  <c r="E1016" i="13"/>
  <c r="E1017" i="13"/>
  <c r="E1018" i="13"/>
  <c r="E1019" i="13"/>
  <c r="E1020" i="13"/>
  <c r="E1021" i="13"/>
  <c r="E1022" i="13"/>
  <c r="E1023" i="13"/>
  <c r="E1024" i="13"/>
  <c r="E1025" i="13"/>
  <c r="E1026" i="13"/>
  <c r="E1027" i="13"/>
  <c r="E1028" i="13"/>
  <c r="E1029" i="13"/>
  <c r="E1030" i="13"/>
  <c r="E1031" i="13"/>
  <c r="E1032" i="13"/>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E1097" i="13"/>
  <c r="E1098" i="13"/>
  <c r="E1099" i="13"/>
  <c r="E1100" i="13"/>
  <c r="E1101" i="13"/>
  <c r="E1102" i="13"/>
  <c r="E1103" i="13"/>
  <c r="E1104" i="13"/>
  <c r="E1105" i="13"/>
  <c r="E1106" i="13"/>
  <c r="E1107" i="13"/>
  <c r="E1108" i="13"/>
  <c r="E1109" i="13"/>
  <c r="E1110" i="13"/>
  <c r="E1111" i="13"/>
  <c r="E1112" i="13"/>
  <c r="E1113" i="13"/>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E1144" i="13"/>
  <c r="E1145" i="13"/>
  <c r="E1146" i="13"/>
  <c r="E1147" i="13"/>
  <c r="E1148" i="13"/>
  <c r="E1149" i="13"/>
  <c r="E1150" i="13"/>
  <c r="E1151" i="13"/>
  <c r="E1152" i="13"/>
  <c r="E1153" i="13"/>
  <c r="E1154" i="13"/>
  <c r="E1155" i="13"/>
  <c r="E1156" i="13"/>
  <c r="E1157" i="13"/>
  <c r="E1158" i="13"/>
  <c r="E1159" i="13"/>
  <c r="E1160" i="13"/>
  <c r="E1161" i="13"/>
  <c r="E1162" i="13"/>
  <c r="E1163" i="13"/>
  <c r="E1164" i="13"/>
  <c r="E1165" i="13"/>
  <c r="E1166" i="13"/>
  <c r="E1167" i="13"/>
  <c r="E1168" i="13"/>
  <c r="E1169" i="13"/>
  <c r="E1170" i="13"/>
  <c r="E1171" i="13"/>
  <c r="E1172" i="13"/>
  <c r="E1173" i="13"/>
  <c r="E1174" i="13"/>
  <c r="E1175" i="13"/>
  <c r="E1176" i="13"/>
  <c r="E1177" i="13"/>
  <c r="E1178" i="13"/>
  <c r="E1179" i="13"/>
  <c r="E1180" i="13"/>
  <c r="E1181" i="13"/>
  <c r="E1182" i="13"/>
  <c r="E1183" i="13"/>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E1268" i="13"/>
  <c r="E1269" i="13"/>
  <c r="E1270" i="13"/>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E1310" i="13"/>
  <c r="E1311" i="13"/>
  <c r="C127" i="8"/>
  <c r="B134" i="8" a="1"/>
  <c r="B134" i="8" s="1"/>
  <c r="K288" i="13" l="1"/>
  <c r="L288" i="13" s="1"/>
  <c r="K264" i="13"/>
  <c r="L264" i="13" s="1"/>
  <c r="K240" i="13"/>
  <c r="L240" i="13" s="1"/>
  <c r="K216" i="13"/>
  <c r="L216" i="13" s="1"/>
  <c r="K192" i="13"/>
  <c r="L192" i="13" s="1"/>
  <c r="K144" i="13"/>
  <c r="L144" i="13" s="1"/>
  <c r="K120" i="13"/>
  <c r="L120" i="13" s="1"/>
  <c r="M120" i="13" s="1"/>
  <c r="O120" i="13" s="1"/>
  <c r="K96" i="13"/>
  <c r="L96" i="13" s="1"/>
  <c r="M96" i="13" s="1"/>
  <c r="O96" i="13" s="1"/>
  <c r="K72" i="13"/>
  <c r="L72" i="13" s="1"/>
  <c r="M72" i="13" s="1"/>
  <c r="N72" i="13" s="1"/>
  <c r="K48" i="13"/>
  <c r="L48" i="13" s="1"/>
  <c r="K24" i="13"/>
  <c r="L24" i="13" s="1"/>
  <c r="M24" i="13" s="1"/>
  <c r="N24" i="13" s="1"/>
  <c r="K327" i="13"/>
  <c r="L327" i="13" s="1"/>
  <c r="M327" i="13" s="1"/>
  <c r="N327" i="13" s="1"/>
  <c r="K315" i="13"/>
  <c r="L315" i="13" s="1"/>
  <c r="K303" i="13"/>
  <c r="L303" i="13" s="1"/>
  <c r="K291" i="13"/>
  <c r="L291" i="13" s="1"/>
  <c r="K279" i="13"/>
  <c r="L279" i="13" s="1"/>
  <c r="K267" i="13"/>
  <c r="L267" i="13" s="1"/>
  <c r="K255" i="13"/>
  <c r="L255" i="13" s="1"/>
  <c r="K243" i="13"/>
  <c r="L243" i="13" s="1"/>
  <c r="M243" i="13" s="1"/>
  <c r="O243" i="13" s="1"/>
  <c r="K231" i="13"/>
  <c r="L231" i="13" s="1"/>
  <c r="M231" i="13" s="1"/>
  <c r="O231" i="13" s="1"/>
  <c r="K219" i="13"/>
  <c r="L219" i="13" s="1"/>
  <c r="M219" i="13" s="1"/>
  <c r="O219" i="13" s="1"/>
  <c r="K207" i="13"/>
  <c r="L207" i="13" s="1"/>
  <c r="K195" i="13"/>
  <c r="L195" i="13" s="1"/>
  <c r="M195" i="13" s="1"/>
  <c r="O195" i="13" s="1"/>
  <c r="K183" i="13"/>
  <c r="L183" i="13" s="1"/>
  <c r="M183" i="13" s="1"/>
  <c r="O183" i="13" s="1"/>
  <c r="K171" i="13"/>
  <c r="L171" i="13" s="1"/>
  <c r="K159" i="13"/>
  <c r="L159" i="13" s="1"/>
  <c r="K147" i="13"/>
  <c r="L147" i="13" s="1"/>
  <c r="K135" i="13"/>
  <c r="L135" i="13" s="1"/>
  <c r="K123" i="13"/>
  <c r="L123" i="13" s="1"/>
  <c r="K111" i="13"/>
  <c r="L111" i="13" s="1"/>
  <c r="K99" i="13"/>
  <c r="L99" i="13" s="1"/>
  <c r="K87" i="13"/>
  <c r="L87" i="13" s="1"/>
  <c r="M87" i="13" s="1"/>
  <c r="O87" i="13" s="1"/>
  <c r="K75" i="13"/>
  <c r="L75" i="13" s="1"/>
  <c r="K63" i="13"/>
  <c r="L63" i="13" s="1"/>
  <c r="K51" i="13"/>
  <c r="L51" i="13" s="1"/>
  <c r="M51" i="13" s="1"/>
  <c r="N51" i="13" s="1"/>
  <c r="K39" i="13"/>
  <c r="L39" i="13" s="1"/>
  <c r="M39" i="13" s="1"/>
  <c r="O39" i="13" s="1"/>
  <c r="K27" i="13"/>
  <c r="L27" i="13" s="1"/>
  <c r="K15" i="13"/>
  <c r="L15" i="13" s="1"/>
  <c r="K3" i="13"/>
  <c r="L3" i="13" s="1"/>
  <c r="K1126" i="13"/>
  <c r="L1126" i="13" s="1"/>
  <c r="K934" i="13"/>
  <c r="L934" i="13" s="1"/>
  <c r="K742" i="13"/>
  <c r="L742" i="13" s="1"/>
  <c r="K550" i="13"/>
  <c r="L550" i="13" s="1"/>
  <c r="M550" i="13" s="1"/>
  <c r="O550" i="13" s="1"/>
  <c r="K358" i="13"/>
  <c r="L358" i="13" s="1"/>
  <c r="M358" i="13" s="1"/>
  <c r="O358" i="13" s="1"/>
  <c r="K322" i="13"/>
  <c r="L322" i="13" s="1"/>
  <c r="M322" i="13" s="1"/>
  <c r="O322" i="13" s="1"/>
  <c r="K298" i="13"/>
  <c r="L298" i="13" s="1"/>
  <c r="K274" i="13"/>
  <c r="L274" i="13" s="1"/>
  <c r="M274" i="13" s="1"/>
  <c r="O274" i="13" s="1"/>
  <c r="K250" i="13"/>
  <c r="L250" i="13" s="1"/>
  <c r="M250" i="13" s="1"/>
  <c r="K226" i="13"/>
  <c r="L226" i="13" s="1"/>
  <c r="K202" i="13"/>
  <c r="L202" i="13" s="1"/>
  <c r="K178" i="13"/>
  <c r="L178" i="13" s="1"/>
  <c r="M178" i="13" s="1"/>
  <c r="O178" i="13" s="1"/>
  <c r="K166" i="13"/>
  <c r="L166" i="13" s="1"/>
  <c r="K154" i="13"/>
  <c r="L154" i="13" s="1"/>
  <c r="K130" i="13"/>
  <c r="L130" i="13" s="1"/>
  <c r="K106" i="13"/>
  <c r="L106" i="13" s="1"/>
  <c r="M106" i="13" s="1"/>
  <c r="O106" i="13" s="1"/>
  <c r="K82" i="13"/>
  <c r="L82" i="13" s="1"/>
  <c r="M82" i="13" s="1"/>
  <c r="K58" i="13"/>
  <c r="L58" i="13" s="1"/>
  <c r="M58" i="13" s="1"/>
  <c r="O58" i="13" s="1"/>
  <c r="K46" i="13"/>
  <c r="L46" i="13" s="1"/>
  <c r="K34" i="13"/>
  <c r="L34" i="13" s="1"/>
  <c r="M34" i="13" s="1"/>
  <c r="O34" i="13" s="1"/>
  <c r="K22" i="13"/>
  <c r="L22" i="13" s="1"/>
  <c r="M22" i="13" s="1"/>
  <c r="O22" i="13" s="1"/>
  <c r="K10" i="13"/>
  <c r="L10" i="13" s="1"/>
  <c r="K335" i="13"/>
  <c r="L335" i="13" s="1"/>
  <c r="K323" i="13"/>
  <c r="L323" i="13" s="1"/>
  <c r="M323" i="13" s="1"/>
  <c r="O323" i="13" s="1"/>
  <c r="K311" i="13"/>
  <c r="L311" i="13" s="1"/>
  <c r="K299" i="13"/>
  <c r="L299" i="13" s="1"/>
  <c r="K287" i="13"/>
  <c r="L287" i="13" s="1"/>
  <c r="K275" i="13"/>
  <c r="L275" i="13" s="1"/>
  <c r="M275" i="13" s="1"/>
  <c r="N275" i="13" s="1"/>
  <c r="K263" i="13"/>
  <c r="L263" i="13" s="1"/>
  <c r="M263" i="13" s="1"/>
  <c r="O263" i="13" s="1"/>
  <c r="K251" i="13"/>
  <c r="L251" i="13" s="1"/>
  <c r="M251" i="13" s="1"/>
  <c r="O251" i="13" s="1"/>
  <c r="K239" i="13"/>
  <c r="L239" i="13" s="1"/>
  <c r="K227" i="13"/>
  <c r="L227" i="13" s="1"/>
  <c r="M227" i="13" s="1"/>
  <c r="O227" i="13" s="1"/>
  <c r="K215" i="13"/>
  <c r="L215" i="13" s="1"/>
  <c r="M215" i="13" s="1"/>
  <c r="O215" i="13" s="1"/>
  <c r="K203" i="13"/>
  <c r="L203" i="13" s="1"/>
  <c r="M203" i="13" s="1"/>
  <c r="O203" i="13" s="1"/>
  <c r="K191" i="13"/>
  <c r="L191" i="13" s="1"/>
  <c r="K179" i="13"/>
  <c r="L179" i="13" s="1"/>
  <c r="M179" i="13" s="1"/>
  <c r="O179" i="13" s="1"/>
  <c r="P179" i="13" s="1"/>
  <c r="K167" i="13"/>
  <c r="L167" i="13" s="1"/>
  <c r="K155" i="13"/>
  <c r="L155" i="13" s="1"/>
  <c r="K143" i="13"/>
  <c r="L143" i="13" s="1"/>
  <c r="K131" i="13"/>
  <c r="L131" i="13" s="1"/>
  <c r="M131" i="13" s="1"/>
  <c r="O131" i="13" s="1"/>
  <c r="K119" i="13"/>
  <c r="L119" i="13" s="1"/>
  <c r="M119" i="13" s="1"/>
  <c r="N119" i="13" s="1"/>
  <c r="K107" i="13"/>
  <c r="L107" i="13" s="1"/>
  <c r="M107" i="13" s="1"/>
  <c r="O107" i="13" s="1"/>
  <c r="K95" i="13"/>
  <c r="L95" i="13" s="1"/>
  <c r="K83" i="13"/>
  <c r="L83" i="13" s="1"/>
  <c r="M83" i="13" s="1"/>
  <c r="O83" i="13" s="1"/>
  <c r="K71" i="13"/>
  <c r="L71" i="13" s="1"/>
  <c r="M71" i="13" s="1"/>
  <c r="O71" i="13" s="1"/>
  <c r="K59" i="13"/>
  <c r="L59" i="13" s="1"/>
  <c r="M59" i="13" s="1"/>
  <c r="O59" i="13" s="1"/>
  <c r="K47" i="13"/>
  <c r="L47" i="13" s="1"/>
  <c r="K35" i="13"/>
  <c r="L35" i="13" s="1"/>
  <c r="M35" i="13" s="1"/>
  <c r="O35" i="13" s="1"/>
  <c r="K23" i="13"/>
  <c r="L23" i="13" s="1"/>
  <c r="K11" i="13"/>
  <c r="L11" i="13" s="1"/>
  <c r="J1232" i="13"/>
  <c r="J1040" i="13"/>
  <c r="J680" i="13"/>
  <c r="J104" i="13"/>
  <c r="K285" i="13"/>
  <c r="L285" i="13" s="1"/>
  <c r="K261" i="13"/>
  <c r="L261" i="13" s="1"/>
  <c r="M261" i="13" s="1"/>
  <c r="O261" i="13" s="1"/>
  <c r="K237" i="13"/>
  <c r="L237" i="13" s="1"/>
  <c r="M237" i="13" s="1"/>
  <c r="O237" i="13" s="1"/>
  <c r="K213" i="13"/>
  <c r="L213" i="13" s="1"/>
  <c r="M213" i="13" s="1"/>
  <c r="O213" i="13" s="1"/>
  <c r="K189" i="13"/>
  <c r="L189" i="13" s="1"/>
  <c r="K165" i="13"/>
  <c r="L165" i="13" s="1"/>
  <c r="M165" i="13" s="1"/>
  <c r="O165" i="13" s="1"/>
  <c r="K141" i="13"/>
  <c r="L141" i="13" s="1"/>
  <c r="K117" i="13"/>
  <c r="L117" i="13" s="1"/>
  <c r="M117" i="13" s="1"/>
  <c r="O117" i="13" s="1"/>
  <c r="K93" i="13"/>
  <c r="L93" i="13" s="1"/>
  <c r="K69" i="13"/>
  <c r="L69" i="13" s="1"/>
  <c r="M69" i="13" s="1"/>
  <c r="O69" i="13" s="1"/>
  <c r="K45" i="13"/>
  <c r="L45" i="13" s="1"/>
  <c r="M45" i="13" s="1"/>
  <c r="N45" i="13" s="1"/>
  <c r="K21" i="13"/>
  <c r="L21" i="13" s="1"/>
  <c r="M21" i="13" s="1"/>
  <c r="O21" i="13" s="1"/>
  <c r="K1190" i="13"/>
  <c r="L1190" i="13" s="1"/>
  <c r="M1190" i="13" s="1"/>
  <c r="O1190" i="13" s="1"/>
  <c r="K998" i="13"/>
  <c r="L998" i="13" s="1"/>
  <c r="M998" i="13" s="1"/>
  <c r="O998" i="13" s="1"/>
  <c r="K806" i="13"/>
  <c r="L806" i="13" s="1"/>
  <c r="M806" i="13" s="1"/>
  <c r="O806" i="13" s="1"/>
  <c r="K614" i="13"/>
  <c r="L614" i="13" s="1"/>
  <c r="M614" i="13" s="1"/>
  <c r="O614" i="13" s="1"/>
  <c r="K422" i="13"/>
  <c r="L422" i="13" s="1"/>
  <c r="K314" i="13"/>
  <c r="L314" i="13" s="1"/>
  <c r="M314" i="13" s="1"/>
  <c r="K290" i="13"/>
  <c r="L290" i="13" s="1"/>
  <c r="K266" i="13"/>
  <c r="L266" i="13" s="1"/>
  <c r="M266" i="13" s="1"/>
  <c r="N266" i="13" s="1"/>
  <c r="K242" i="13"/>
  <c r="L242" i="13" s="1"/>
  <c r="K230" i="13"/>
  <c r="L230" i="13" s="1"/>
  <c r="K218" i="13"/>
  <c r="L218" i="13" s="1"/>
  <c r="M218" i="13" s="1"/>
  <c r="O218" i="13" s="1"/>
  <c r="K194" i="13"/>
  <c r="L194" i="13" s="1"/>
  <c r="M194" i="13" s="1"/>
  <c r="O194" i="13" s="1"/>
  <c r="K170" i="13"/>
  <c r="L170" i="13" s="1"/>
  <c r="K146" i="13"/>
  <c r="L146" i="13" s="1"/>
  <c r="M146" i="13" s="1"/>
  <c r="O146" i="13" s="1"/>
  <c r="K122" i="13"/>
  <c r="L122" i="13" s="1"/>
  <c r="M122" i="13" s="1"/>
  <c r="O122" i="13" s="1"/>
  <c r="K98" i="13"/>
  <c r="L98" i="13" s="1"/>
  <c r="M98" i="13" s="1"/>
  <c r="N98" i="13" s="1"/>
  <c r="K74" i="13"/>
  <c r="L74" i="13" s="1"/>
  <c r="K62" i="13"/>
  <c r="L62" i="13" s="1"/>
  <c r="M62" i="13" s="1"/>
  <c r="N62" i="13" s="1"/>
  <c r="K50" i="13"/>
  <c r="L50" i="13" s="1"/>
  <c r="K38" i="13"/>
  <c r="L38" i="13" s="1"/>
  <c r="K26" i="13"/>
  <c r="L26" i="13" s="1"/>
  <c r="K14" i="13"/>
  <c r="L14" i="13" s="1"/>
  <c r="M14" i="13" s="1"/>
  <c r="I54" i="13"/>
  <c r="J54" i="13" s="1"/>
  <c r="I46" i="13"/>
  <c r="J46" i="13" s="1"/>
  <c r="I38" i="13"/>
  <c r="J38" i="13" s="1"/>
  <c r="I30" i="13"/>
  <c r="J30" i="13" s="1"/>
  <c r="I22" i="13"/>
  <c r="J22" i="13" s="1"/>
  <c r="I14" i="13"/>
  <c r="J14" i="13" s="1"/>
  <c r="I6" i="13"/>
  <c r="J6" i="13" s="1"/>
  <c r="K1296" i="13"/>
  <c r="L1296" i="13" s="1"/>
  <c r="M1296" i="13" s="1"/>
  <c r="O1296" i="13" s="1"/>
  <c r="P1296" i="13" s="1"/>
  <c r="K168" i="13"/>
  <c r="L168" i="13" s="1"/>
  <c r="J62" i="13"/>
  <c r="R1308" i="13"/>
  <c r="Q1308" i="13"/>
  <c r="R1260" i="13"/>
  <c r="Q1260" i="13"/>
  <c r="R1220" i="13"/>
  <c r="Q1220" i="13"/>
  <c r="R1188" i="13"/>
  <c r="Q1188" i="13"/>
  <c r="R1132" i="13"/>
  <c r="Q1132" i="13"/>
  <c r="R1084" i="13"/>
  <c r="Q1084" i="13"/>
  <c r="Q1044" i="13"/>
  <c r="R1044" i="13"/>
  <c r="R956" i="13"/>
  <c r="Q956" i="13"/>
  <c r="Q916" i="13"/>
  <c r="R916" i="13"/>
  <c r="R860" i="13"/>
  <c r="Q860" i="13"/>
  <c r="R796" i="13"/>
  <c r="Q796" i="13"/>
  <c r="R756" i="13"/>
  <c r="Q756" i="13"/>
  <c r="R700" i="13"/>
  <c r="Q700" i="13"/>
  <c r="R636" i="13"/>
  <c r="Q636" i="13"/>
  <c r="R580" i="13"/>
  <c r="Q580" i="13"/>
  <c r="R524" i="13"/>
  <c r="Q524" i="13"/>
  <c r="R468" i="13"/>
  <c r="Q468" i="13"/>
  <c r="R404" i="13"/>
  <c r="Q404" i="13"/>
  <c r="R340" i="13"/>
  <c r="Q340" i="13"/>
  <c r="R284" i="13"/>
  <c r="Q284" i="13"/>
  <c r="R236" i="13"/>
  <c r="Q236" i="13"/>
  <c r="R196" i="13"/>
  <c r="Q196" i="13"/>
  <c r="R156" i="13"/>
  <c r="Q156" i="13"/>
  <c r="R100" i="13"/>
  <c r="Q100" i="13"/>
  <c r="R36" i="13"/>
  <c r="Q36" i="13"/>
  <c r="M1254" i="13"/>
  <c r="O1254" i="13" s="1"/>
  <c r="K1214" i="13"/>
  <c r="L1214" i="13" s="1"/>
  <c r="I1214" i="13"/>
  <c r="J1214" i="13" s="1"/>
  <c r="K1166" i="13"/>
  <c r="L1166" i="13" s="1"/>
  <c r="I1166" i="13"/>
  <c r="J1166" i="13" s="1"/>
  <c r="K1142" i="13"/>
  <c r="L1142" i="13" s="1"/>
  <c r="I1142" i="13"/>
  <c r="J1142" i="13" s="1"/>
  <c r="K1110" i="13"/>
  <c r="L1110" i="13" s="1"/>
  <c r="I1110" i="13"/>
  <c r="K1086" i="13"/>
  <c r="L1086" i="13" s="1"/>
  <c r="I1086" i="13"/>
  <c r="J1086" i="13" s="1"/>
  <c r="K1070" i="13"/>
  <c r="L1070" i="13" s="1"/>
  <c r="I1070" i="13"/>
  <c r="J1070" i="13" s="1"/>
  <c r="K1038" i="13"/>
  <c r="L1038" i="13" s="1"/>
  <c r="I1038" i="13"/>
  <c r="J1038" i="13" s="1"/>
  <c r="K1014" i="13"/>
  <c r="L1014" i="13" s="1"/>
  <c r="I1014" i="13"/>
  <c r="J1014" i="13" s="1"/>
  <c r="K974" i="13"/>
  <c r="L974" i="13" s="1"/>
  <c r="I974" i="13"/>
  <c r="J974" i="13" s="1"/>
  <c r="K942" i="13"/>
  <c r="L942" i="13" s="1"/>
  <c r="I942" i="13"/>
  <c r="K878" i="13"/>
  <c r="L878" i="13" s="1"/>
  <c r="I878" i="13"/>
  <c r="J878" i="13" s="1"/>
  <c r="M742" i="13"/>
  <c r="O742" i="13" s="1"/>
  <c r="K694" i="13"/>
  <c r="L694" i="13" s="1"/>
  <c r="I694" i="13"/>
  <c r="J694" i="13" s="1"/>
  <c r="K662" i="13"/>
  <c r="L662" i="13" s="1"/>
  <c r="I662" i="13"/>
  <c r="J662" i="13" s="1"/>
  <c r="K638" i="13"/>
  <c r="L638" i="13" s="1"/>
  <c r="I638" i="13"/>
  <c r="K606" i="13"/>
  <c r="L606" i="13" s="1"/>
  <c r="I606" i="13"/>
  <c r="J606" i="13" s="1"/>
  <c r="K574" i="13"/>
  <c r="L574" i="13" s="1"/>
  <c r="I574" i="13"/>
  <c r="J574" i="13" s="1"/>
  <c r="K534" i="13"/>
  <c r="L534" i="13" s="1"/>
  <c r="I534" i="13"/>
  <c r="K478" i="13"/>
  <c r="L478" i="13" s="1"/>
  <c r="I478" i="13"/>
  <c r="J478" i="13" s="1"/>
  <c r="K326" i="13"/>
  <c r="L326" i="13" s="1"/>
  <c r="I326" i="13"/>
  <c r="J326" i="13" s="1"/>
  <c r="K318" i="13"/>
  <c r="L318" i="13" s="1"/>
  <c r="I318" i="13"/>
  <c r="J318" i="13" s="1"/>
  <c r="K286" i="13"/>
  <c r="L286" i="13" s="1"/>
  <c r="I286" i="13"/>
  <c r="K262" i="13"/>
  <c r="L262" i="13" s="1"/>
  <c r="I262" i="13"/>
  <c r="J262" i="13" s="1"/>
  <c r="K246" i="13"/>
  <c r="L246" i="13" s="1"/>
  <c r="I246" i="13"/>
  <c r="J246" i="13" s="1"/>
  <c r="K222" i="13"/>
  <c r="L222" i="13" s="1"/>
  <c r="I222" i="13"/>
  <c r="J222" i="13" s="1"/>
  <c r="K190" i="13"/>
  <c r="L190" i="13" s="1"/>
  <c r="I190" i="13"/>
  <c r="J190" i="13" s="1"/>
  <c r="K158" i="13"/>
  <c r="L158" i="13" s="1"/>
  <c r="I158" i="13"/>
  <c r="J158" i="13" s="1"/>
  <c r="K118" i="13"/>
  <c r="L118" i="13" s="1"/>
  <c r="I118" i="13"/>
  <c r="K70" i="13"/>
  <c r="L70" i="13" s="1"/>
  <c r="I70" i="13"/>
  <c r="I806" i="13"/>
  <c r="J806" i="13" s="1"/>
  <c r="Q1267" i="13"/>
  <c r="R1267" i="13"/>
  <c r="R1219" i="13"/>
  <c r="Q1219" i="13"/>
  <c r="R1155" i="13"/>
  <c r="Q1155" i="13"/>
  <c r="R1099" i="13"/>
  <c r="Q1099" i="13"/>
  <c r="R1067" i="13"/>
  <c r="Q1067" i="13"/>
  <c r="R1019" i="13"/>
  <c r="Q1019" i="13"/>
  <c r="Q979" i="13"/>
  <c r="R979" i="13"/>
  <c r="Q915" i="13"/>
  <c r="R915" i="13"/>
  <c r="R859" i="13"/>
  <c r="Q859" i="13"/>
  <c r="R803" i="13"/>
  <c r="Q803" i="13"/>
  <c r="R747" i="13"/>
  <c r="Q747" i="13"/>
  <c r="Q691" i="13"/>
  <c r="R691" i="13"/>
  <c r="R635" i="13"/>
  <c r="Q635" i="13"/>
  <c r="R579" i="13"/>
  <c r="Q579" i="13"/>
  <c r="R507" i="13"/>
  <c r="Q507" i="13"/>
  <c r="R427" i="13"/>
  <c r="Q427" i="13"/>
  <c r="R171" i="13"/>
  <c r="Q171" i="13"/>
  <c r="I870" i="13"/>
  <c r="I358" i="13"/>
  <c r="R1284" i="13"/>
  <c r="Q1284" i="13"/>
  <c r="R1228" i="13"/>
  <c r="Q1228" i="13"/>
  <c r="Q1172" i="13"/>
  <c r="R1172" i="13"/>
  <c r="R1116" i="13"/>
  <c r="Q1116" i="13"/>
  <c r="R1052" i="13"/>
  <c r="Q1052" i="13"/>
  <c r="R1012" i="13"/>
  <c r="Q1012" i="13"/>
  <c r="R988" i="13"/>
  <c r="Q988" i="13"/>
  <c r="R932" i="13"/>
  <c r="Q932" i="13"/>
  <c r="R876" i="13"/>
  <c r="Q876" i="13"/>
  <c r="R836" i="13"/>
  <c r="Q836" i="13"/>
  <c r="Q788" i="13"/>
  <c r="R788" i="13"/>
  <c r="R740" i="13"/>
  <c r="Q740" i="13"/>
  <c r="Q692" i="13"/>
  <c r="R692" i="13"/>
  <c r="R652" i="13"/>
  <c r="Q652" i="13"/>
  <c r="R596" i="13"/>
  <c r="Q596" i="13"/>
  <c r="R564" i="13"/>
  <c r="Q564" i="13"/>
  <c r="R508" i="13"/>
  <c r="Q508" i="13"/>
  <c r="R460" i="13"/>
  <c r="Q460" i="13"/>
  <c r="R412" i="13"/>
  <c r="Q412" i="13"/>
  <c r="R372" i="13"/>
  <c r="Q372" i="13"/>
  <c r="R316" i="13"/>
  <c r="Q316" i="13"/>
  <c r="R260" i="13"/>
  <c r="Q260" i="13"/>
  <c r="R212" i="13"/>
  <c r="Q212" i="13"/>
  <c r="R164" i="13"/>
  <c r="Q164" i="13"/>
  <c r="R116" i="13"/>
  <c r="Q116" i="13"/>
  <c r="R60" i="13"/>
  <c r="Q60" i="13"/>
  <c r="R20" i="13"/>
  <c r="Q20" i="13"/>
  <c r="M1126" i="13"/>
  <c r="N1126" i="13" s="1"/>
  <c r="K1094" i="13"/>
  <c r="L1094" i="13" s="1"/>
  <c r="I1094" i="13"/>
  <c r="K1078" i="13"/>
  <c r="L1078" i="13" s="1"/>
  <c r="I1078" i="13"/>
  <c r="K1046" i="13"/>
  <c r="L1046" i="13" s="1"/>
  <c r="I1046" i="13"/>
  <c r="J1046" i="13" s="1"/>
  <c r="K1022" i="13"/>
  <c r="L1022" i="13" s="1"/>
  <c r="I1022" i="13"/>
  <c r="K990" i="13"/>
  <c r="L990" i="13" s="1"/>
  <c r="I990" i="13"/>
  <c r="J990" i="13" s="1"/>
  <c r="K958" i="13"/>
  <c r="L958" i="13" s="1"/>
  <c r="I958" i="13"/>
  <c r="J958" i="13" s="1"/>
  <c r="K918" i="13"/>
  <c r="L918" i="13" s="1"/>
  <c r="I918" i="13"/>
  <c r="K894" i="13"/>
  <c r="L894" i="13" s="1"/>
  <c r="I894" i="13"/>
  <c r="K846" i="13"/>
  <c r="L846" i="13" s="1"/>
  <c r="I846" i="13"/>
  <c r="J846" i="13" s="1"/>
  <c r="K814" i="13"/>
  <c r="L814" i="13" s="1"/>
  <c r="I814" i="13"/>
  <c r="J814" i="13" s="1"/>
  <c r="K782" i="13"/>
  <c r="L782" i="13" s="1"/>
  <c r="I782" i="13"/>
  <c r="J782" i="13" s="1"/>
  <c r="K710" i="13"/>
  <c r="L710" i="13" s="1"/>
  <c r="I710" i="13"/>
  <c r="J710" i="13" s="1"/>
  <c r="K518" i="13"/>
  <c r="L518" i="13" s="1"/>
  <c r="I518" i="13"/>
  <c r="K494" i="13"/>
  <c r="L494" i="13" s="1"/>
  <c r="I494" i="13"/>
  <c r="J494" i="13" s="1"/>
  <c r="K454" i="13"/>
  <c r="L454" i="13" s="1"/>
  <c r="I454" i="13"/>
  <c r="J454" i="13" s="1"/>
  <c r="K406" i="13"/>
  <c r="L406" i="13" s="1"/>
  <c r="I406" i="13"/>
  <c r="J406" i="13" s="1"/>
  <c r="K198" i="13"/>
  <c r="L198" i="13" s="1"/>
  <c r="I198" i="13"/>
  <c r="J198" i="13" s="1"/>
  <c r="K150" i="13"/>
  <c r="L150" i="13" s="1"/>
  <c r="I150" i="13"/>
  <c r="R1283" i="13"/>
  <c r="Q1283" i="13"/>
  <c r="R1251" i="13"/>
  <c r="Q1251" i="13"/>
  <c r="R1187" i="13"/>
  <c r="Q1187" i="13"/>
  <c r="R1131" i="13"/>
  <c r="Q1131" i="13"/>
  <c r="R1091" i="13"/>
  <c r="Q1091" i="13"/>
  <c r="R1027" i="13"/>
  <c r="Q1027" i="13"/>
  <c r="R971" i="13"/>
  <c r="Q971" i="13"/>
  <c r="R899" i="13"/>
  <c r="Q899" i="13"/>
  <c r="Q851" i="13"/>
  <c r="R851" i="13"/>
  <c r="R795" i="13"/>
  <c r="Q795" i="13"/>
  <c r="Q755" i="13"/>
  <c r="R755" i="13"/>
  <c r="R699" i="13"/>
  <c r="Q699" i="13"/>
  <c r="R651" i="13"/>
  <c r="Q651" i="13"/>
  <c r="R619" i="13"/>
  <c r="Q619" i="13"/>
  <c r="R563" i="13"/>
  <c r="Q563" i="13"/>
  <c r="R515" i="13"/>
  <c r="Q515" i="13"/>
  <c r="R467" i="13"/>
  <c r="Q467" i="13"/>
  <c r="R411" i="13"/>
  <c r="Q411" i="13"/>
  <c r="R363" i="13"/>
  <c r="Q363" i="13"/>
  <c r="R323" i="13"/>
  <c r="Q323" i="13"/>
  <c r="R283" i="13"/>
  <c r="Q283" i="13"/>
  <c r="R243" i="13"/>
  <c r="Q243" i="13"/>
  <c r="R195" i="13"/>
  <c r="Q195" i="13"/>
  <c r="R107" i="13"/>
  <c r="Q107" i="13"/>
  <c r="I1254" i="13"/>
  <c r="J1254" i="13" s="1"/>
  <c r="I742" i="13"/>
  <c r="I230" i="13"/>
  <c r="R1268" i="13"/>
  <c r="Q1268" i="13"/>
  <c r="R1196" i="13"/>
  <c r="Q1196" i="13"/>
  <c r="R1140" i="13"/>
  <c r="Q1140" i="13"/>
  <c r="R1068" i="13"/>
  <c r="Q1068" i="13"/>
  <c r="R996" i="13"/>
  <c r="Q996" i="13"/>
  <c r="R940" i="13"/>
  <c r="Q940" i="13"/>
  <c r="R884" i="13"/>
  <c r="Q884" i="13"/>
  <c r="R844" i="13"/>
  <c r="Q844" i="13"/>
  <c r="R780" i="13"/>
  <c r="Q780" i="13"/>
  <c r="Q724" i="13"/>
  <c r="R724" i="13"/>
  <c r="R668" i="13"/>
  <c r="Q668" i="13"/>
  <c r="R628" i="13"/>
  <c r="Q628" i="13"/>
  <c r="R572" i="13"/>
  <c r="Q572" i="13"/>
  <c r="R516" i="13"/>
  <c r="Q516" i="13"/>
  <c r="R452" i="13"/>
  <c r="Q452" i="13"/>
  <c r="R380" i="13"/>
  <c r="Q380" i="13"/>
  <c r="R324" i="13"/>
  <c r="Q324" i="13"/>
  <c r="R276" i="13"/>
  <c r="Q276" i="13"/>
  <c r="R228" i="13"/>
  <c r="Q228" i="13"/>
  <c r="R172" i="13"/>
  <c r="Q172" i="13"/>
  <c r="R108" i="13"/>
  <c r="Q108" i="13"/>
  <c r="R52" i="13"/>
  <c r="Q52" i="13"/>
  <c r="R12" i="13"/>
  <c r="Q12" i="13"/>
  <c r="K1294" i="13"/>
  <c r="L1294" i="13" s="1"/>
  <c r="I1294" i="13"/>
  <c r="K1262" i="13"/>
  <c r="L1262" i="13" s="1"/>
  <c r="I1262" i="13"/>
  <c r="J1262" i="13" s="1"/>
  <c r="K1230" i="13"/>
  <c r="L1230" i="13" s="1"/>
  <c r="I1230" i="13"/>
  <c r="J1230" i="13" s="1"/>
  <c r="K1182" i="13"/>
  <c r="L1182" i="13" s="1"/>
  <c r="I1182" i="13"/>
  <c r="J1182" i="13" s="1"/>
  <c r="K1118" i="13"/>
  <c r="L1118" i="13" s="1"/>
  <c r="I1118" i="13"/>
  <c r="J1118" i="13" s="1"/>
  <c r="M934" i="13"/>
  <c r="O934" i="13" s="1"/>
  <c r="M678" i="13"/>
  <c r="O678" i="13" s="1"/>
  <c r="M294" i="13"/>
  <c r="N294" i="13" s="1"/>
  <c r="K94" i="13"/>
  <c r="L94" i="13" s="1"/>
  <c r="I94" i="13"/>
  <c r="J94" i="13" s="1"/>
  <c r="Q1299" i="13"/>
  <c r="R1299" i="13"/>
  <c r="R1227" i="13"/>
  <c r="Q1227" i="13"/>
  <c r="R1179" i="13"/>
  <c r="Q1179" i="13"/>
  <c r="R1115" i="13"/>
  <c r="Q1115" i="13"/>
  <c r="R1051" i="13"/>
  <c r="Q1051" i="13"/>
  <c r="R995" i="13"/>
  <c r="Q995" i="13"/>
  <c r="R939" i="13"/>
  <c r="Q939" i="13"/>
  <c r="Q883" i="13"/>
  <c r="R883" i="13"/>
  <c r="R835" i="13"/>
  <c r="Q835" i="13"/>
  <c r="R771" i="13"/>
  <c r="Q771" i="13"/>
  <c r="R707" i="13"/>
  <c r="Q707" i="13"/>
  <c r="R643" i="13"/>
  <c r="Q643" i="13"/>
  <c r="R587" i="13"/>
  <c r="Q587" i="13"/>
  <c r="R547" i="13"/>
  <c r="Q547" i="13"/>
  <c r="R491" i="13"/>
  <c r="Q491" i="13"/>
  <c r="R451" i="13"/>
  <c r="Q451" i="13"/>
  <c r="R395" i="13"/>
  <c r="Q395" i="13"/>
  <c r="R371" i="13"/>
  <c r="Q371" i="13"/>
  <c r="R331" i="13"/>
  <c r="Q331" i="13"/>
  <c r="R291" i="13"/>
  <c r="Q291" i="13"/>
  <c r="R251" i="13"/>
  <c r="Q251" i="13"/>
  <c r="R211" i="13"/>
  <c r="Q211" i="13"/>
  <c r="R155" i="13"/>
  <c r="Q155" i="13"/>
  <c r="R123" i="13"/>
  <c r="Q123" i="13"/>
  <c r="R83" i="13"/>
  <c r="Q83" i="13"/>
  <c r="R51" i="13"/>
  <c r="Q51" i="13"/>
  <c r="I1190" i="13"/>
  <c r="J1190" i="13" s="1"/>
  <c r="I678" i="13"/>
  <c r="J678" i="13" s="1"/>
  <c r="I166" i="13"/>
  <c r="J166" i="13" s="1"/>
  <c r="R1252" i="13"/>
  <c r="Q1252" i="13"/>
  <c r="R1212" i="13"/>
  <c r="Q1212" i="13"/>
  <c r="R1180" i="13"/>
  <c r="Q1180" i="13"/>
  <c r="R1124" i="13"/>
  <c r="Q1124" i="13"/>
  <c r="Q1076" i="13"/>
  <c r="R1076" i="13"/>
  <c r="R1020" i="13"/>
  <c r="Q1020" i="13"/>
  <c r="R964" i="13"/>
  <c r="Q964" i="13"/>
  <c r="R924" i="13"/>
  <c r="Q924" i="13"/>
  <c r="R868" i="13"/>
  <c r="Q868" i="13"/>
  <c r="R812" i="13"/>
  <c r="Q812" i="13"/>
  <c r="R772" i="13"/>
  <c r="Q772" i="13"/>
  <c r="R708" i="13"/>
  <c r="Q708" i="13"/>
  <c r="R644" i="13"/>
  <c r="Q644" i="13"/>
  <c r="R588" i="13"/>
  <c r="Q588" i="13"/>
  <c r="R532" i="13"/>
  <c r="Q532" i="13"/>
  <c r="R484" i="13"/>
  <c r="Q484" i="13"/>
  <c r="R436" i="13"/>
  <c r="Q436" i="13"/>
  <c r="R396" i="13"/>
  <c r="Q396" i="13"/>
  <c r="R356" i="13"/>
  <c r="Q356" i="13"/>
  <c r="R300" i="13"/>
  <c r="Q300" i="13"/>
  <c r="R252" i="13"/>
  <c r="Q252" i="13"/>
  <c r="R204" i="13"/>
  <c r="Q204" i="13"/>
  <c r="R132" i="13"/>
  <c r="Q132" i="13"/>
  <c r="R92" i="13"/>
  <c r="Q92" i="13"/>
  <c r="R44" i="13"/>
  <c r="Q44" i="13"/>
  <c r="M1062" i="13"/>
  <c r="O1062" i="13" s="1"/>
  <c r="K1030" i="13"/>
  <c r="L1030" i="13" s="1"/>
  <c r="I1030" i="13"/>
  <c r="J1030" i="13" s="1"/>
  <c r="K1006" i="13"/>
  <c r="L1006" i="13" s="1"/>
  <c r="I1006" i="13"/>
  <c r="J1006" i="13" s="1"/>
  <c r="K966" i="13"/>
  <c r="L966" i="13" s="1"/>
  <c r="I966" i="13"/>
  <c r="J966" i="13" s="1"/>
  <c r="K926" i="13"/>
  <c r="L926" i="13" s="1"/>
  <c r="I926" i="13"/>
  <c r="J926" i="13" s="1"/>
  <c r="K902" i="13"/>
  <c r="L902" i="13" s="1"/>
  <c r="I902" i="13"/>
  <c r="J902" i="13" s="1"/>
  <c r="K862" i="13"/>
  <c r="L862" i="13" s="1"/>
  <c r="I862" i="13"/>
  <c r="J862" i="13" s="1"/>
  <c r="K830" i="13"/>
  <c r="L830" i="13" s="1"/>
  <c r="I830" i="13"/>
  <c r="J830" i="13" s="1"/>
  <c r="K790" i="13"/>
  <c r="L790" i="13" s="1"/>
  <c r="I790" i="13"/>
  <c r="J790" i="13" s="1"/>
  <c r="K750" i="13"/>
  <c r="L750" i="13" s="1"/>
  <c r="I750" i="13"/>
  <c r="J750" i="13" s="1"/>
  <c r="K734" i="13"/>
  <c r="L734" i="13" s="1"/>
  <c r="I734" i="13"/>
  <c r="J734" i="13" s="1"/>
  <c r="K702" i="13"/>
  <c r="L702" i="13" s="1"/>
  <c r="I702" i="13"/>
  <c r="K670" i="13"/>
  <c r="L670" i="13" s="1"/>
  <c r="I670" i="13"/>
  <c r="K630" i="13"/>
  <c r="L630" i="13" s="1"/>
  <c r="I630" i="13"/>
  <c r="J630" i="13" s="1"/>
  <c r="K598" i="13"/>
  <c r="L598" i="13" s="1"/>
  <c r="I598" i="13"/>
  <c r="J598" i="13" s="1"/>
  <c r="K566" i="13"/>
  <c r="L566" i="13" s="1"/>
  <c r="I566" i="13"/>
  <c r="J566" i="13" s="1"/>
  <c r="M422" i="13"/>
  <c r="O422" i="13" s="1"/>
  <c r="K382" i="13"/>
  <c r="L382" i="13" s="1"/>
  <c r="I382" i="13"/>
  <c r="J382" i="13" s="1"/>
  <c r="K342" i="13"/>
  <c r="L342" i="13" s="1"/>
  <c r="I342" i="13"/>
  <c r="J342" i="13" s="1"/>
  <c r="M102" i="13"/>
  <c r="N102" i="13" s="1"/>
  <c r="I294" i="13"/>
  <c r="J294" i="13" s="1"/>
  <c r="R1259" i="13"/>
  <c r="Q1259" i="13"/>
  <c r="Q1203" i="13"/>
  <c r="R1203" i="13"/>
  <c r="R1163" i="13"/>
  <c r="Q1163" i="13"/>
  <c r="R1123" i="13"/>
  <c r="Q1123" i="13"/>
  <c r="Q1075" i="13"/>
  <c r="R1075" i="13"/>
  <c r="Q1011" i="13"/>
  <c r="R1011" i="13"/>
  <c r="R955" i="13"/>
  <c r="Q955" i="13"/>
  <c r="R891" i="13"/>
  <c r="Q891" i="13"/>
  <c r="R827" i="13"/>
  <c r="Q827" i="13"/>
  <c r="R779" i="13"/>
  <c r="Q779" i="13"/>
  <c r="Q723" i="13"/>
  <c r="R723" i="13"/>
  <c r="R675" i="13"/>
  <c r="Q675" i="13"/>
  <c r="R627" i="13"/>
  <c r="Q627" i="13"/>
  <c r="R571" i="13"/>
  <c r="Q571" i="13"/>
  <c r="R531" i="13"/>
  <c r="Q531" i="13"/>
  <c r="R483" i="13"/>
  <c r="Q483" i="13"/>
  <c r="R443" i="13"/>
  <c r="Q443" i="13"/>
  <c r="R387" i="13"/>
  <c r="Q387" i="13"/>
  <c r="R347" i="13"/>
  <c r="Q347" i="13"/>
  <c r="R307" i="13"/>
  <c r="Q307" i="13"/>
  <c r="R267" i="13"/>
  <c r="Q267" i="13"/>
  <c r="R227" i="13"/>
  <c r="Q227" i="13"/>
  <c r="R179" i="13"/>
  <c r="Q179" i="13"/>
  <c r="R147" i="13"/>
  <c r="Q147" i="13"/>
  <c r="R115" i="13"/>
  <c r="Q115" i="13"/>
  <c r="R75" i="13"/>
  <c r="Q75" i="13"/>
  <c r="R43" i="13"/>
  <c r="Q43" i="13"/>
  <c r="R19" i="13"/>
  <c r="Q19" i="13"/>
  <c r="R3" i="13"/>
  <c r="Q3" i="13"/>
  <c r="I1126" i="13"/>
  <c r="I614" i="13"/>
  <c r="J614" i="13" s="1"/>
  <c r="I102" i="13"/>
  <c r="R1292" i="13"/>
  <c r="Q1292" i="13"/>
  <c r="Q1236" i="13"/>
  <c r="R1236" i="13"/>
  <c r="R1164" i="13"/>
  <c r="Q1164" i="13"/>
  <c r="Q1108" i="13"/>
  <c r="R1108" i="13"/>
  <c r="R1036" i="13"/>
  <c r="Q1036" i="13"/>
  <c r="R972" i="13"/>
  <c r="Q972" i="13"/>
  <c r="R908" i="13"/>
  <c r="Q908" i="13"/>
  <c r="R828" i="13"/>
  <c r="Q828" i="13"/>
  <c r="R748" i="13"/>
  <c r="Q748" i="13"/>
  <c r="R684" i="13"/>
  <c r="Q684" i="13"/>
  <c r="R620" i="13"/>
  <c r="Q620" i="13"/>
  <c r="R540" i="13"/>
  <c r="Q540" i="13"/>
  <c r="R476" i="13"/>
  <c r="Q476" i="13"/>
  <c r="R420" i="13"/>
  <c r="Q420" i="13"/>
  <c r="R364" i="13"/>
  <c r="Q364" i="13"/>
  <c r="R292" i="13"/>
  <c r="Q292" i="13"/>
  <c r="R220" i="13"/>
  <c r="Q220" i="13"/>
  <c r="R148" i="13"/>
  <c r="Q148" i="13"/>
  <c r="R76" i="13"/>
  <c r="Q76" i="13"/>
  <c r="R4" i="13"/>
  <c r="Q4" i="13"/>
  <c r="K1310" i="13"/>
  <c r="L1310" i="13" s="1"/>
  <c r="I1310" i="13"/>
  <c r="K1270" i="13"/>
  <c r="L1270" i="13" s="1"/>
  <c r="I1270" i="13"/>
  <c r="K1174" i="13"/>
  <c r="L1174" i="13" s="1"/>
  <c r="I1174" i="13"/>
  <c r="M870" i="13"/>
  <c r="N870" i="13" s="1"/>
  <c r="K838" i="13"/>
  <c r="L838" i="13" s="1"/>
  <c r="I838" i="13"/>
  <c r="J838" i="13" s="1"/>
  <c r="K774" i="13"/>
  <c r="L774" i="13" s="1"/>
  <c r="I774" i="13"/>
  <c r="J774" i="13" s="1"/>
  <c r="K582" i="13"/>
  <c r="L582" i="13" s="1"/>
  <c r="I582" i="13"/>
  <c r="J582" i="13" s="1"/>
  <c r="K542" i="13"/>
  <c r="L542" i="13" s="1"/>
  <c r="I542" i="13"/>
  <c r="J542" i="13" s="1"/>
  <c r="K510" i="13"/>
  <c r="L510" i="13" s="1"/>
  <c r="I510" i="13"/>
  <c r="K470" i="13"/>
  <c r="L470" i="13" s="1"/>
  <c r="I470" i="13"/>
  <c r="J470" i="13" s="1"/>
  <c r="K438" i="13"/>
  <c r="L438" i="13" s="1"/>
  <c r="I438" i="13"/>
  <c r="J438" i="13" s="1"/>
  <c r="K390" i="13"/>
  <c r="L390" i="13" s="1"/>
  <c r="I390" i="13"/>
  <c r="J390" i="13" s="1"/>
  <c r="K374" i="13"/>
  <c r="L374" i="13" s="1"/>
  <c r="I374" i="13"/>
  <c r="J374" i="13" s="1"/>
  <c r="K334" i="13"/>
  <c r="L334" i="13" s="1"/>
  <c r="I334" i="13"/>
  <c r="J334" i="13" s="1"/>
  <c r="K302" i="13"/>
  <c r="L302" i="13" s="1"/>
  <c r="I302" i="13"/>
  <c r="K270" i="13"/>
  <c r="L270" i="13" s="1"/>
  <c r="I270" i="13"/>
  <c r="J270" i="13" s="1"/>
  <c r="K238" i="13"/>
  <c r="L238" i="13" s="1"/>
  <c r="I238" i="13"/>
  <c r="J238" i="13" s="1"/>
  <c r="K214" i="13"/>
  <c r="L214" i="13" s="1"/>
  <c r="I214" i="13"/>
  <c r="J214" i="13" s="1"/>
  <c r="K174" i="13"/>
  <c r="L174" i="13" s="1"/>
  <c r="I174" i="13"/>
  <c r="J174" i="13" s="1"/>
  <c r="K134" i="13"/>
  <c r="L134" i="13" s="1"/>
  <c r="I134" i="13"/>
  <c r="J134" i="13" s="1"/>
  <c r="K78" i="13"/>
  <c r="L78" i="13" s="1"/>
  <c r="I78" i="13"/>
  <c r="R1291" i="13"/>
  <c r="Q1291" i="13"/>
  <c r="R1211" i="13"/>
  <c r="Q1211" i="13"/>
  <c r="R1147" i="13"/>
  <c r="Q1147" i="13"/>
  <c r="R1059" i="13"/>
  <c r="Q1059" i="13"/>
  <c r="R963" i="13"/>
  <c r="Q963" i="13"/>
  <c r="R907" i="13"/>
  <c r="Q907" i="13"/>
  <c r="R843" i="13"/>
  <c r="Q843" i="13"/>
  <c r="Q787" i="13"/>
  <c r="R787" i="13"/>
  <c r="R731" i="13"/>
  <c r="Q731" i="13"/>
  <c r="R667" i="13"/>
  <c r="Q667" i="13"/>
  <c r="R603" i="13"/>
  <c r="Q603" i="13"/>
  <c r="R539" i="13"/>
  <c r="Q539" i="13"/>
  <c r="R475" i="13"/>
  <c r="Q475" i="13"/>
  <c r="R419" i="13"/>
  <c r="Q419" i="13"/>
  <c r="R379" i="13"/>
  <c r="Q379" i="13"/>
  <c r="R339" i="13"/>
  <c r="Q339" i="13"/>
  <c r="R299" i="13"/>
  <c r="Q299" i="13"/>
  <c r="R259" i="13"/>
  <c r="Q259" i="13"/>
  <c r="R219" i="13"/>
  <c r="Q219" i="13"/>
  <c r="R163" i="13"/>
  <c r="Q163" i="13"/>
  <c r="R131" i="13"/>
  <c r="Q131" i="13"/>
  <c r="R91" i="13"/>
  <c r="Q91" i="13"/>
  <c r="R67" i="13"/>
  <c r="Q67" i="13"/>
  <c r="R35" i="13"/>
  <c r="Q35" i="13"/>
  <c r="R11" i="13"/>
  <c r="Q11" i="13"/>
  <c r="I1062" i="13"/>
  <c r="J1062" i="13" s="1"/>
  <c r="I550" i="13"/>
  <c r="J550" i="13" s="1"/>
  <c r="Q1300" i="13"/>
  <c r="R1300" i="13"/>
  <c r="R1244" i="13"/>
  <c r="Q1244" i="13"/>
  <c r="R1148" i="13"/>
  <c r="Q1148" i="13"/>
  <c r="R1092" i="13"/>
  <c r="Q1092" i="13"/>
  <c r="R1028" i="13"/>
  <c r="Q1028" i="13"/>
  <c r="Q980" i="13"/>
  <c r="R980" i="13"/>
  <c r="R892" i="13"/>
  <c r="Q892" i="13"/>
  <c r="Q820" i="13"/>
  <c r="R820" i="13"/>
  <c r="R732" i="13"/>
  <c r="Q732" i="13"/>
  <c r="R676" i="13"/>
  <c r="Q676" i="13"/>
  <c r="R612" i="13"/>
  <c r="Q612" i="13"/>
  <c r="R548" i="13"/>
  <c r="Q548" i="13"/>
  <c r="R492" i="13"/>
  <c r="Q492" i="13"/>
  <c r="R428" i="13"/>
  <c r="Q428" i="13"/>
  <c r="R348" i="13"/>
  <c r="Q348" i="13"/>
  <c r="R268" i="13"/>
  <c r="Q268" i="13"/>
  <c r="R188" i="13"/>
  <c r="Q188" i="13"/>
  <c r="R124" i="13"/>
  <c r="Q124" i="13"/>
  <c r="R84" i="13"/>
  <c r="Q84" i="13"/>
  <c r="R28" i="13"/>
  <c r="Q28" i="13"/>
  <c r="K1286" i="13"/>
  <c r="L1286" i="13" s="1"/>
  <c r="I1286" i="13"/>
  <c r="J1286" i="13" s="1"/>
  <c r="K1246" i="13"/>
  <c r="L1246" i="13" s="1"/>
  <c r="I1246" i="13"/>
  <c r="K1206" i="13"/>
  <c r="L1206" i="13" s="1"/>
  <c r="I1206" i="13"/>
  <c r="J1206" i="13" s="1"/>
  <c r="K1150" i="13"/>
  <c r="L1150" i="13" s="1"/>
  <c r="I1150" i="13"/>
  <c r="J1150" i="13" s="1"/>
  <c r="K1102" i="13"/>
  <c r="L1102" i="13" s="1"/>
  <c r="I1102" i="13"/>
  <c r="J1102" i="13" s="1"/>
  <c r="K1054" i="13"/>
  <c r="L1054" i="13" s="1"/>
  <c r="I1054" i="13"/>
  <c r="J1054" i="13" s="1"/>
  <c r="K982" i="13"/>
  <c r="L982" i="13" s="1"/>
  <c r="I982" i="13"/>
  <c r="J982" i="13" s="1"/>
  <c r="K766" i="13"/>
  <c r="L766" i="13" s="1"/>
  <c r="I766" i="13"/>
  <c r="J766" i="13" s="1"/>
  <c r="K718" i="13"/>
  <c r="L718" i="13" s="1"/>
  <c r="I718" i="13"/>
  <c r="J718" i="13" s="1"/>
  <c r="K654" i="13"/>
  <c r="L654" i="13" s="1"/>
  <c r="I654" i="13"/>
  <c r="J654" i="13" s="1"/>
  <c r="M486" i="13"/>
  <c r="O486" i="13" s="1"/>
  <c r="K446" i="13"/>
  <c r="L446" i="13" s="1"/>
  <c r="I446" i="13"/>
  <c r="J446" i="13" s="1"/>
  <c r="K430" i="13"/>
  <c r="L430" i="13" s="1"/>
  <c r="I430" i="13"/>
  <c r="K398" i="13"/>
  <c r="L398" i="13" s="1"/>
  <c r="I398" i="13"/>
  <c r="J398" i="13" s="1"/>
  <c r="K366" i="13"/>
  <c r="L366" i="13" s="1"/>
  <c r="I366" i="13"/>
  <c r="K350" i="13"/>
  <c r="L350" i="13" s="1"/>
  <c r="I350" i="13"/>
  <c r="J350" i="13" s="1"/>
  <c r="K310" i="13"/>
  <c r="L310" i="13" s="1"/>
  <c r="I310" i="13"/>
  <c r="J310" i="13" s="1"/>
  <c r="K278" i="13"/>
  <c r="L278" i="13" s="1"/>
  <c r="I278" i="13"/>
  <c r="J278" i="13" s="1"/>
  <c r="K254" i="13"/>
  <c r="L254" i="13" s="1"/>
  <c r="I254" i="13"/>
  <c r="K206" i="13"/>
  <c r="L206" i="13" s="1"/>
  <c r="I206" i="13"/>
  <c r="J206" i="13" s="1"/>
  <c r="K182" i="13"/>
  <c r="L182" i="13" s="1"/>
  <c r="I182" i="13"/>
  <c r="K126" i="13"/>
  <c r="L126" i="13" s="1"/>
  <c r="I126" i="13"/>
  <c r="J126" i="13" s="1"/>
  <c r="K86" i="13"/>
  <c r="L86" i="13" s="1"/>
  <c r="I86" i="13"/>
  <c r="J86" i="13" s="1"/>
  <c r="R1307" i="13"/>
  <c r="Q1307" i="13"/>
  <c r="R1243" i="13"/>
  <c r="Q1243" i="13"/>
  <c r="Q1171" i="13"/>
  <c r="R1171" i="13"/>
  <c r="Q1107" i="13"/>
  <c r="R1107" i="13"/>
  <c r="R1035" i="13"/>
  <c r="Q1035" i="13"/>
  <c r="R987" i="13"/>
  <c r="Q987" i="13"/>
  <c r="R931" i="13"/>
  <c r="Q931" i="13"/>
  <c r="R867" i="13"/>
  <c r="Q867" i="13"/>
  <c r="R811" i="13"/>
  <c r="Q811" i="13"/>
  <c r="R739" i="13"/>
  <c r="Q739" i="13"/>
  <c r="R683" i="13"/>
  <c r="Q683" i="13"/>
  <c r="R595" i="13"/>
  <c r="Q595" i="13"/>
  <c r="R523" i="13"/>
  <c r="Q523" i="13"/>
  <c r="R459" i="13"/>
  <c r="Q459" i="13"/>
  <c r="R403" i="13"/>
  <c r="Q403" i="13"/>
  <c r="R355" i="13"/>
  <c r="Q355" i="13"/>
  <c r="R315" i="13"/>
  <c r="Q315" i="13"/>
  <c r="R275" i="13"/>
  <c r="Q275" i="13"/>
  <c r="R235" i="13"/>
  <c r="Q235" i="13"/>
  <c r="R187" i="13"/>
  <c r="Q187" i="13"/>
  <c r="R139" i="13"/>
  <c r="Q139" i="13"/>
  <c r="R99" i="13"/>
  <c r="Q99" i="13"/>
  <c r="R59" i="13"/>
  <c r="Q59" i="13"/>
  <c r="R27" i="13"/>
  <c r="Q27" i="13"/>
  <c r="I998" i="13"/>
  <c r="J998" i="13" s="1"/>
  <c r="I486" i="13"/>
  <c r="J486" i="13" s="1"/>
  <c r="R1276" i="13"/>
  <c r="Q1276" i="13"/>
  <c r="Q1204" i="13"/>
  <c r="R1204" i="13"/>
  <c r="R1156" i="13"/>
  <c r="Q1156" i="13"/>
  <c r="R1100" i="13"/>
  <c r="Q1100" i="13"/>
  <c r="R1060" i="13"/>
  <c r="Q1060" i="13"/>
  <c r="R1004" i="13"/>
  <c r="Q1004" i="13"/>
  <c r="Q948" i="13"/>
  <c r="R948" i="13"/>
  <c r="R900" i="13"/>
  <c r="Q900" i="13"/>
  <c r="Q852" i="13"/>
  <c r="R852" i="13"/>
  <c r="R804" i="13"/>
  <c r="Q804" i="13"/>
  <c r="R764" i="13"/>
  <c r="Q764" i="13"/>
  <c r="R716" i="13"/>
  <c r="Q716" i="13"/>
  <c r="R660" i="13"/>
  <c r="Q660" i="13"/>
  <c r="R604" i="13"/>
  <c r="Q604" i="13"/>
  <c r="R556" i="13"/>
  <c r="Q556" i="13"/>
  <c r="R500" i="13"/>
  <c r="Q500" i="13"/>
  <c r="R444" i="13"/>
  <c r="Q444" i="13"/>
  <c r="R388" i="13"/>
  <c r="Q388" i="13"/>
  <c r="R332" i="13"/>
  <c r="Q332" i="13"/>
  <c r="R308" i="13"/>
  <c r="Q308" i="13"/>
  <c r="R244" i="13"/>
  <c r="Q244" i="13"/>
  <c r="R180" i="13"/>
  <c r="Q180" i="13"/>
  <c r="R140" i="13"/>
  <c r="Q140" i="13"/>
  <c r="R68" i="13"/>
  <c r="Q68" i="13"/>
  <c r="K1302" i="13"/>
  <c r="L1302" i="13" s="1"/>
  <c r="I1302" i="13"/>
  <c r="K1278" i="13"/>
  <c r="L1278" i="13" s="1"/>
  <c r="I1278" i="13"/>
  <c r="K1238" i="13"/>
  <c r="L1238" i="13" s="1"/>
  <c r="I1238" i="13"/>
  <c r="K1222" i="13"/>
  <c r="L1222" i="13" s="1"/>
  <c r="I1222" i="13"/>
  <c r="J1222" i="13" s="1"/>
  <c r="K1198" i="13"/>
  <c r="L1198" i="13" s="1"/>
  <c r="I1198" i="13"/>
  <c r="J1198" i="13" s="1"/>
  <c r="K1158" i="13"/>
  <c r="L1158" i="13" s="1"/>
  <c r="I1158" i="13"/>
  <c r="J1158" i="13" s="1"/>
  <c r="K1134" i="13"/>
  <c r="L1134" i="13" s="1"/>
  <c r="I1134" i="13"/>
  <c r="K950" i="13"/>
  <c r="L950" i="13" s="1"/>
  <c r="I950" i="13"/>
  <c r="J950" i="13" s="1"/>
  <c r="K910" i="13"/>
  <c r="L910" i="13" s="1"/>
  <c r="I910" i="13"/>
  <c r="J910" i="13" s="1"/>
  <c r="K886" i="13"/>
  <c r="L886" i="13" s="1"/>
  <c r="I886" i="13"/>
  <c r="J886" i="13" s="1"/>
  <c r="K854" i="13"/>
  <c r="L854" i="13" s="1"/>
  <c r="I854" i="13"/>
  <c r="J854" i="13" s="1"/>
  <c r="K822" i="13"/>
  <c r="L822" i="13" s="1"/>
  <c r="I822" i="13"/>
  <c r="J822" i="13" s="1"/>
  <c r="K798" i="13"/>
  <c r="L798" i="13" s="1"/>
  <c r="I798" i="13"/>
  <c r="K758" i="13"/>
  <c r="L758" i="13" s="1"/>
  <c r="I758" i="13"/>
  <c r="J758" i="13" s="1"/>
  <c r="K726" i="13"/>
  <c r="L726" i="13" s="1"/>
  <c r="I726" i="13"/>
  <c r="J726" i="13" s="1"/>
  <c r="K686" i="13"/>
  <c r="L686" i="13" s="1"/>
  <c r="I686" i="13"/>
  <c r="J686" i="13" s="1"/>
  <c r="K646" i="13"/>
  <c r="L646" i="13" s="1"/>
  <c r="I646" i="13"/>
  <c r="J646" i="13" s="1"/>
  <c r="K622" i="13"/>
  <c r="L622" i="13" s="1"/>
  <c r="I622" i="13"/>
  <c r="J622" i="13" s="1"/>
  <c r="K590" i="13"/>
  <c r="L590" i="13" s="1"/>
  <c r="I590" i="13"/>
  <c r="K558" i="13"/>
  <c r="L558" i="13" s="1"/>
  <c r="I558" i="13"/>
  <c r="K526" i="13"/>
  <c r="L526" i="13" s="1"/>
  <c r="I526" i="13"/>
  <c r="J526" i="13" s="1"/>
  <c r="K502" i="13"/>
  <c r="L502" i="13" s="1"/>
  <c r="I502" i="13"/>
  <c r="J502" i="13" s="1"/>
  <c r="K462" i="13"/>
  <c r="L462" i="13" s="1"/>
  <c r="I462" i="13"/>
  <c r="J462" i="13" s="1"/>
  <c r="K414" i="13"/>
  <c r="L414" i="13" s="1"/>
  <c r="I414" i="13"/>
  <c r="J414" i="13" s="1"/>
  <c r="M166" i="13"/>
  <c r="N166" i="13" s="1"/>
  <c r="K142" i="13"/>
  <c r="L142" i="13" s="1"/>
  <c r="I142" i="13"/>
  <c r="J142" i="13" s="1"/>
  <c r="K110" i="13"/>
  <c r="L110" i="13" s="1"/>
  <c r="I110" i="13"/>
  <c r="R1275" i="13"/>
  <c r="Q1275" i="13"/>
  <c r="Q1235" i="13"/>
  <c r="R1235" i="13"/>
  <c r="R1195" i="13"/>
  <c r="Q1195" i="13"/>
  <c r="Q1139" i="13"/>
  <c r="R1139" i="13"/>
  <c r="R1083" i="13"/>
  <c r="Q1083" i="13"/>
  <c r="Q1043" i="13"/>
  <c r="R1043" i="13"/>
  <c r="R1003" i="13"/>
  <c r="Q1003" i="13"/>
  <c r="Q947" i="13"/>
  <c r="R947" i="13"/>
  <c r="R923" i="13"/>
  <c r="Q923" i="13"/>
  <c r="R875" i="13"/>
  <c r="Q875" i="13"/>
  <c r="Q819" i="13"/>
  <c r="R819" i="13"/>
  <c r="R763" i="13"/>
  <c r="Q763" i="13"/>
  <c r="R715" i="13"/>
  <c r="Q715" i="13"/>
  <c r="R659" i="13"/>
  <c r="Q659" i="13"/>
  <c r="R611" i="13"/>
  <c r="Q611" i="13"/>
  <c r="R555" i="13"/>
  <c r="Q555" i="13"/>
  <c r="R499" i="13"/>
  <c r="Q499" i="13"/>
  <c r="R435" i="13"/>
  <c r="Q435" i="13"/>
  <c r="R203" i="13"/>
  <c r="Q203" i="13"/>
  <c r="I934" i="13"/>
  <c r="J934" i="13" s="1"/>
  <c r="I422" i="13"/>
  <c r="J422" i="13" s="1"/>
  <c r="K1285" i="13"/>
  <c r="L1285" i="13" s="1"/>
  <c r="I1285" i="13"/>
  <c r="K1229" i="13"/>
  <c r="L1229" i="13" s="1"/>
  <c r="I1229" i="13"/>
  <c r="J1229" i="13" s="1"/>
  <c r="K1197" i="13"/>
  <c r="L1197" i="13" s="1"/>
  <c r="I1197" i="13"/>
  <c r="J1197" i="13" s="1"/>
  <c r="K1141" i="13"/>
  <c r="L1141" i="13" s="1"/>
  <c r="I1141" i="13"/>
  <c r="J1141" i="13" s="1"/>
  <c r="K1085" i="13"/>
  <c r="L1085" i="13" s="1"/>
  <c r="I1085" i="13"/>
  <c r="J1085" i="13" s="1"/>
  <c r="K1037" i="13"/>
  <c r="L1037" i="13" s="1"/>
  <c r="I1037" i="13"/>
  <c r="J1037" i="13" s="1"/>
  <c r="K981" i="13"/>
  <c r="L981" i="13" s="1"/>
  <c r="I981" i="13"/>
  <c r="J981" i="13" s="1"/>
  <c r="K925" i="13"/>
  <c r="L925" i="13" s="1"/>
  <c r="I925" i="13"/>
  <c r="J925" i="13" s="1"/>
  <c r="K877" i="13"/>
  <c r="L877" i="13" s="1"/>
  <c r="I877" i="13"/>
  <c r="J877" i="13" s="1"/>
  <c r="K821" i="13"/>
  <c r="L821" i="13" s="1"/>
  <c r="I821" i="13"/>
  <c r="K765" i="13"/>
  <c r="L765" i="13" s="1"/>
  <c r="I765" i="13"/>
  <c r="J765" i="13" s="1"/>
  <c r="K717" i="13"/>
  <c r="L717" i="13" s="1"/>
  <c r="I717" i="13"/>
  <c r="J717" i="13" s="1"/>
  <c r="K661" i="13"/>
  <c r="L661" i="13" s="1"/>
  <c r="I661" i="13"/>
  <c r="J661" i="13" s="1"/>
  <c r="K637" i="13"/>
  <c r="L637" i="13" s="1"/>
  <c r="I637" i="13"/>
  <c r="J637" i="13" s="1"/>
  <c r="K589" i="13"/>
  <c r="L589" i="13" s="1"/>
  <c r="I589" i="13"/>
  <c r="J589" i="13" s="1"/>
  <c r="K557" i="13"/>
  <c r="L557" i="13" s="1"/>
  <c r="I557" i="13"/>
  <c r="J557" i="13" s="1"/>
  <c r="K549" i="13"/>
  <c r="L549" i="13" s="1"/>
  <c r="I549" i="13"/>
  <c r="J549" i="13" s="1"/>
  <c r="K533" i="13"/>
  <c r="L533" i="13" s="1"/>
  <c r="I533" i="13"/>
  <c r="J533" i="13" s="1"/>
  <c r="K517" i="13"/>
  <c r="L517" i="13" s="1"/>
  <c r="I517" i="13"/>
  <c r="J517" i="13" s="1"/>
  <c r="K509" i="13"/>
  <c r="L509" i="13" s="1"/>
  <c r="I509" i="13"/>
  <c r="J509" i="13" s="1"/>
  <c r="K501" i="13"/>
  <c r="L501" i="13" s="1"/>
  <c r="I501" i="13"/>
  <c r="J501" i="13" s="1"/>
  <c r="K493" i="13"/>
  <c r="L493" i="13" s="1"/>
  <c r="I493" i="13"/>
  <c r="J493" i="13" s="1"/>
  <c r="K485" i="13"/>
  <c r="L485" i="13" s="1"/>
  <c r="I485" i="13"/>
  <c r="J485" i="13" s="1"/>
  <c r="K477" i="13"/>
  <c r="L477" i="13" s="1"/>
  <c r="I477" i="13"/>
  <c r="J477" i="13" s="1"/>
  <c r="K469" i="13"/>
  <c r="L469" i="13" s="1"/>
  <c r="I469" i="13"/>
  <c r="J469" i="13" s="1"/>
  <c r="K437" i="13"/>
  <c r="L437" i="13" s="1"/>
  <c r="I437" i="13"/>
  <c r="J437" i="13" s="1"/>
  <c r="K413" i="13"/>
  <c r="L413" i="13" s="1"/>
  <c r="I413" i="13"/>
  <c r="J413" i="13" s="1"/>
  <c r="K405" i="13"/>
  <c r="L405" i="13" s="1"/>
  <c r="I405" i="13"/>
  <c r="J405" i="13" s="1"/>
  <c r="K397" i="13"/>
  <c r="L397" i="13" s="1"/>
  <c r="I397" i="13"/>
  <c r="J397" i="13" s="1"/>
  <c r="K381" i="13"/>
  <c r="L381" i="13" s="1"/>
  <c r="I381" i="13"/>
  <c r="J381" i="13" s="1"/>
  <c r="K373" i="13"/>
  <c r="L373" i="13" s="1"/>
  <c r="I373" i="13"/>
  <c r="J373" i="13" s="1"/>
  <c r="K365" i="13"/>
  <c r="L365" i="13" s="1"/>
  <c r="I365" i="13"/>
  <c r="J365" i="13" s="1"/>
  <c r="K357" i="13"/>
  <c r="L357" i="13" s="1"/>
  <c r="I357" i="13"/>
  <c r="J357" i="13" s="1"/>
  <c r="K349" i="13"/>
  <c r="L349" i="13" s="1"/>
  <c r="I349" i="13"/>
  <c r="J349" i="13" s="1"/>
  <c r="K341" i="13"/>
  <c r="L341" i="13" s="1"/>
  <c r="I341" i="13"/>
  <c r="J341" i="13" s="1"/>
  <c r="K333" i="13"/>
  <c r="L333" i="13" s="1"/>
  <c r="I333" i="13"/>
  <c r="J333" i="13" s="1"/>
  <c r="K325" i="13"/>
  <c r="L325" i="13" s="1"/>
  <c r="I325" i="13"/>
  <c r="J325" i="13" s="1"/>
  <c r="K317" i="13"/>
  <c r="L317" i="13" s="1"/>
  <c r="I317" i="13"/>
  <c r="J317" i="13" s="1"/>
  <c r="K309" i="13"/>
  <c r="L309" i="13" s="1"/>
  <c r="I309" i="13"/>
  <c r="J309" i="13" s="1"/>
  <c r="K301" i="13"/>
  <c r="L301" i="13" s="1"/>
  <c r="I301" i="13"/>
  <c r="J301" i="13" s="1"/>
  <c r="K1293" i="13"/>
  <c r="L1293" i="13" s="1"/>
  <c r="I1293" i="13"/>
  <c r="J1293" i="13" s="1"/>
  <c r="K1237" i="13"/>
  <c r="L1237" i="13" s="1"/>
  <c r="I1237" i="13"/>
  <c r="J1237" i="13" s="1"/>
  <c r="K1173" i="13"/>
  <c r="L1173" i="13" s="1"/>
  <c r="I1173" i="13"/>
  <c r="J1173" i="13" s="1"/>
  <c r="K1125" i="13"/>
  <c r="L1125" i="13" s="1"/>
  <c r="I1125" i="13"/>
  <c r="J1125" i="13" s="1"/>
  <c r="K1061" i="13"/>
  <c r="L1061" i="13" s="1"/>
  <c r="I1061" i="13"/>
  <c r="J1061" i="13" s="1"/>
  <c r="K1013" i="13"/>
  <c r="L1013" i="13" s="1"/>
  <c r="I1013" i="13"/>
  <c r="K965" i="13"/>
  <c r="L965" i="13" s="1"/>
  <c r="I965" i="13"/>
  <c r="K909" i="13"/>
  <c r="L909" i="13" s="1"/>
  <c r="I909" i="13"/>
  <c r="J909" i="13" s="1"/>
  <c r="K845" i="13"/>
  <c r="L845" i="13" s="1"/>
  <c r="I845" i="13"/>
  <c r="J845" i="13" s="1"/>
  <c r="K805" i="13"/>
  <c r="L805" i="13" s="1"/>
  <c r="I805" i="13"/>
  <c r="J805" i="13" s="1"/>
  <c r="K741" i="13"/>
  <c r="L741" i="13" s="1"/>
  <c r="I741" i="13"/>
  <c r="J741" i="13" s="1"/>
  <c r="K701" i="13"/>
  <c r="L701" i="13" s="1"/>
  <c r="I701" i="13"/>
  <c r="K605" i="13"/>
  <c r="L605" i="13" s="1"/>
  <c r="I605" i="13"/>
  <c r="J605" i="13" s="1"/>
  <c r="K453" i="13"/>
  <c r="L453" i="13" s="1"/>
  <c r="I453" i="13"/>
  <c r="J453" i="13" s="1"/>
  <c r="R1266" i="13"/>
  <c r="Q1266" i="13"/>
  <c r="R1218" i="13"/>
  <c r="Q1218" i="13"/>
  <c r="R1146" i="13"/>
  <c r="Q1146" i="13"/>
  <c r="R1106" i="13"/>
  <c r="Q1106" i="13"/>
  <c r="R1058" i="13"/>
  <c r="Q1058" i="13"/>
  <c r="R1010" i="13"/>
  <c r="Q1010" i="13"/>
  <c r="R930" i="13"/>
  <c r="Q930" i="13"/>
  <c r="R674" i="13"/>
  <c r="Q674" i="13"/>
  <c r="K1308" i="13"/>
  <c r="L1308" i="13" s="1"/>
  <c r="I1308" i="13"/>
  <c r="J1308" i="13" s="1"/>
  <c r="K1300" i="13"/>
  <c r="L1300" i="13" s="1"/>
  <c r="I1300" i="13"/>
  <c r="J1300" i="13" s="1"/>
  <c r="K1292" i="13"/>
  <c r="L1292" i="13" s="1"/>
  <c r="I1292" i="13"/>
  <c r="J1292" i="13" s="1"/>
  <c r="K1284" i="13"/>
  <c r="L1284" i="13" s="1"/>
  <c r="I1284" i="13"/>
  <c r="J1284" i="13" s="1"/>
  <c r="K1276" i="13"/>
  <c r="L1276" i="13" s="1"/>
  <c r="I1276" i="13"/>
  <c r="J1276" i="13" s="1"/>
  <c r="K1268" i="13"/>
  <c r="L1268" i="13" s="1"/>
  <c r="I1268" i="13"/>
  <c r="J1268" i="13" s="1"/>
  <c r="K1260" i="13"/>
  <c r="L1260" i="13" s="1"/>
  <c r="I1260" i="13"/>
  <c r="J1260" i="13" s="1"/>
  <c r="K1252" i="13"/>
  <c r="L1252" i="13" s="1"/>
  <c r="I1252" i="13"/>
  <c r="J1252" i="13" s="1"/>
  <c r="K1244" i="13"/>
  <c r="L1244" i="13" s="1"/>
  <c r="I1244" i="13"/>
  <c r="K1236" i="13"/>
  <c r="L1236" i="13" s="1"/>
  <c r="I1236" i="13"/>
  <c r="J1236" i="13" s="1"/>
  <c r="K1228" i="13"/>
  <c r="L1228" i="13" s="1"/>
  <c r="I1228" i="13"/>
  <c r="J1228" i="13" s="1"/>
  <c r="K1220" i="13"/>
  <c r="L1220" i="13" s="1"/>
  <c r="I1220" i="13"/>
  <c r="J1220" i="13" s="1"/>
  <c r="K1212" i="13"/>
  <c r="L1212" i="13" s="1"/>
  <c r="I1212" i="13"/>
  <c r="J1212" i="13" s="1"/>
  <c r="K1204" i="13"/>
  <c r="L1204" i="13" s="1"/>
  <c r="I1204" i="13"/>
  <c r="J1204" i="13" s="1"/>
  <c r="K1196" i="13"/>
  <c r="L1196" i="13" s="1"/>
  <c r="I1196" i="13"/>
  <c r="K1188" i="13"/>
  <c r="L1188" i="13" s="1"/>
  <c r="I1188" i="13"/>
  <c r="J1188" i="13" s="1"/>
  <c r="K1180" i="13"/>
  <c r="L1180" i="13" s="1"/>
  <c r="I1180" i="13"/>
  <c r="J1180" i="13" s="1"/>
  <c r="K1172" i="13"/>
  <c r="L1172" i="13" s="1"/>
  <c r="I1172" i="13"/>
  <c r="J1172" i="13" s="1"/>
  <c r="K1164" i="13"/>
  <c r="L1164" i="13" s="1"/>
  <c r="I1164" i="13"/>
  <c r="J1164" i="13" s="1"/>
  <c r="K1156" i="13"/>
  <c r="L1156" i="13" s="1"/>
  <c r="I1156" i="13"/>
  <c r="J1156" i="13" s="1"/>
  <c r="K1148" i="13"/>
  <c r="L1148" i="13" s="1"/>
  <c r="I1148" i="13"/>
  <c r="J1148" i="13" s="1"/>
  <c r="K1140" i="13"/>
  <c r="L1140" i="13" s="1"/>
  <c r="I1140" i="13"/>
  <c r="J1140" i="13" s="1"/>
  <c r="K1132" i="13"/>
  <c r="L1132" i="13" s="1"/>
  <c r="I1132" i="13"/>
  <c r="J1132" i="13" s="1"/>
  <c r="K1124" i="13"/>
  <c r="L1124" i="13" s="1"/>
  <c r="I1124" i="13"/>
  <c r="J1124" i="13" s="1"/>
  <c r="K1116" i="13"/>
  <c r="L1116" i="13" s="1"/>
  <c r="I1116" i="13"/>
  <c r="J1116" i="13" s="1"/>
  <c r="K1108" i="13"/>
  <c r="L1108" i="13" s="1"/>
  <c r="I1108" i="13"/>
  <c r="K1100" i="13"/>
  <c r="L1100" i="13" s="1"/>
  <c r="I1100" i="13"/>
  <c r="J1100" i="13" s="1"/>
  <c r="K1092" i="13"/>
  <c r="L1092" i="13" s="1"/>
  <c r="I1092" i="13"/>
  <c r="J1092" i="13" s="1"/>
  <c r="K1084" i="13"/>
  <c r="L1084" i="13" s="1"/>
  <c r="I1084" i="13"/>
  <c r="J1084" i="13" s="1"/>
  <c r="K1076" i="13"/>
  <c r="L1076" i="13" s="1"/>
  <c r="I1076" i="13"/>
  <c r="J1076" i="13" s="1"/>
  <c r="K1068" i="13"/>
  <c r="L1068" i="13" s="1"/>
  <c r="I1068" i="13"/>
  <c r="J1068" i="13" s="1"/>
  <c r="K1060" i="13"/>
  <c r="L1060" i="13" s="1"/>
  <c r="I1060" i="13"/>
  <c r="J1060" i="13" s="1"/>
  <c r="K1052" i="13"/>
  <c r="L1052" i="13" s="1"/>
  <c r="I1052" i="13"/>
  <c r="J1052" i="13" s="1"/>
  <c r="K1044" i="13"/>
  <c r="L1044" i="13" s="1"/>
  <c r="I1044" i="13"/>
  <c r="J1044" i="13" s="1"/>
  <c r="K1036" i="13"/>
  <c r="L1036" i="13" s="1"/>
  <c r="I1036" i="13"/>
  <c r="J1036" i="13" s="1"/>
  <c r="K1028" i="13"/>
  <c r="L1028" i="13" s="1"/>
  <c r="I1028" i="13"/>
  <c r="J1028" i="13" s="1"/>
  <c r="K1020" i="13"/>
  <c r="L1020" i="13" s="1"/>
  <c r="I1020" i="13"/>
  <c r="J1020" i="13" s="1"/>
  <c r="K1012" i="13"/>
  <c r="L1012" i="13" s="1"/>
  <c r="I1012" i="13"/>
  <c r="J1012" i="13" s="1"/>
  <c r="K1004" i="13"/>
  <c r="L1004" i="13" s="1"/>
  <c r="I1004" i="13"/>
  <c r="K996" i="13"/>
  <c r="L996" i="13" s="1"/>
  <c r="I996" i="13"/>
  <c r="J996" i="13" s="1"/>
  <c r="K988" i="13"/>
  <c r="L988" i="13" s="1"/>
  <c r="I988" i="13"/>
  <c r="J988" i="13" s="1"/>
  <c r="K980" i="13"/>
  <c r="L980" i="13" s="1"/>
  <c r="I980" i="13"/>
  <c r="J980" i="13" s="1"/>
  <c r="K972" i="13"/>
  <c r="L972" i="13" s="1"/>
  <c r="I972" i="13"/>
  <c r="J972" i="13" s="1"/>
  <c r="K964" i="13"/>
  <c r="L964" i="13" s="1"/>
  <c r="I964" i="13"/>
  <c r="J964" i="13" s="1"/>
  <c r="K956" i="13"/>
  <c r="L956" i="13" s="1"/>
  <c r="I956" i="13"/>
  <c r="J956" i="13" s="1"/>
  <c r="K948" i="13"/>
  <c r="L948" i="13" s="1"/>
  <c r="I948" i="13"/>
  <c r="J948" i="13" s="1"/>
  <c r="K940" i="13"/>
  <c r="L940" i="13" s="1"/>
  <c r="I940" i="13"/>
  <c r="J940" i="13" s="1"/>
  <c r="K932" i="13"/>
  <c r="L932" i="13" s="1"/>
  <c r="I932" i="13"/>
  <c r="J932" i="13" s="1"/>
  <c r="K924" i="13"/>
  <c r="L924" i="13" s="1"/>
  <c r="I924" i="13"/>
  <c r="J924" i="13" s="1"/>
  <c r="K916" i="13"/>
  <c r="L916" i="13" s="1"/>
  <c r="I916" i="13"/>
  <c r="J916" i="13" s="1"/>
  <c r="K908" i="13"/>
  <c r="L908" i="13" s="1"/>
  <c r="I908" i="13"/>
  <c r="K900" i="13"/>
  <c r="L900" i="13" s="1"/>
  <c r="I900" i="13"/>
  <c r="J900" i="13" s="1"/>
  <c r="K892" i="13"/>
  <c r="L892" i="13" s="1"/>
  <c r="I892" i="13"/>
  <c r="J892" i="13" s="1"/>
  <c r="K884" i="13"/>
  <c r="L884" i="13" s="1"/>
  <c r="I884" i="13"/>
  <c r="J884" i="13" s="1"/>
  <c r="K876" i="13"/>
  <c r="L876" i="13" s="1"/>
  <c r="I876" i="13"/>
  <c r="J876" i="13" s="1"/>
  <c r="K868" i="13"/>
  <c r="L868" i="13" s="1"/>
  <c r="I868" i="13"/>
  <c r="K860" i="13"/>
  <c r="L860" i="13" s="1"/>
  <c r="I860" i="13"/>
  <c r="K852" i="13"/>
  <c r="L852" i="13" s="1"/>
  <c r="I852" i="13"/>
  <c r="J852" i="13" s="1"/>
  <c r="K844" i="13"/>
  <c r="L844" i="13" s="1"/>
  <c r="I844" i="13"/>
  <c r="J844" i="13" s="1"/>
  <c r="K836" i="13"/>
  <c r="L836" i="13" s="1"/>
  <c r="I836" i="13"/>
  <c r="J836" i="13" s="1"/>
  <c r="K828" i="13"/>
  <c r="L828" i="13" s="1"/>
  <c r="I828" i="13"/>
  <c r="J828" i="13" s="1"/>
  <c r="K820" i="13"/>
  <c r="L820" i="13" s="1"/>
  <c r="I820" i="13"/>
  <c r="J820" i="13" s="1"/>
  <c r="K812" i="13"/>
  <c r="L812" i="13" s="1"/>
  <c r="I812" i="13"/>
  <c r="J812" i="13" s="1"/>
  <c r="K804" i="13"/>
  <c r="L804" i="13" s="1"/>
  <c r="I804" i="13"/>
  <c r="J804" i="13" s="1"/>
  <c r="K796" i="13"/>
  <c r="L796" i="13" s="1"/>
  <c r="I796" i="13"/>
  <c r="J796" i="13" s="1"/>
  <c r="K788" i="13"/>
  <c r="L788" i="13" s="1"/>
  <c r="I788" i="13"/>
  <c r="J788" i="13" s="1"/>
  <c r="K780" i="13"/>
  <c r="L780" i="13" s="1"/>
  <c r="I780" i="13"/>
  <c r="J780" i="13" s="1"/>
  <c r="K772" i="13"/>
  <c r="L772" i="13" s="1"/>
  <c r="I772" i="13"/>
  <c r="J772" i="13" s="1"/>
  <c r="K764" i="13"/>
  <c r="L764" i="13" s="1"/>
  <c r="I764" i="13"/>
  <c r="J764" i="13" s="1"/>
  <c r="K756" i="13"/>
  <c r="L756" i="13" s="1"/>
  <c r="I756" i="13"/>
  <c r="J756" i="13" s="1"/>
  <c r="K748" i="13"/>
  <c r="L748" i="13" s="1"/>
  <c r="I748" i="13"/>
  <c r="J748" i="13" s="1"/>
  <c r="K740" i="13"/>
  <c r="L740" i="13" s="1"/>
  <c r="I740" i="13"/>
  <c r="J740" i="13" s="1"/>
  <c r="K732" i="13"/>
  <c r="L732" i="13" s="1"/>
  <c r="I732" i="13"/>
  <c r="J732" i="13" s="1"/>
  <c r="K724" i="13"/>
  <c r="L724" i="13" s="1"/>
  <c r="I724" i="13"/>
  <c r="K716" i="13"/>
  <c r="L716" i="13" s="1"/>
  <c r="I716" i="13"/>
  <c r="J716" i="13" s="1"/>
  <c r="K708" i="13"/>
  <c r="L708" i="13" s="1"/>
  <c r="I708" i="13"/>
  <c r="J708" i="13" s="1"/>
  <c r="K700" i="13"/>
  <c r="L700" i="13" s="1"/>
  <c r="I700" i="13"/>
  <c r="J700" i="13" s="1"/>
  <c r="K692" i="13"/>
  <c r="L692" i="13" s="1"/>
  <c r="I692" i="13"/>
  <c r="J692" i="13" s="1"/>
  <c r="K684" i="13"/>
  <c r="L684" i="13" s="1"/>
  <c r="I684" i="13"/>
  <c r="J684" i="13" s="1"/>
  <c r="K676" i="13"/>
  <c r="L676" i="13" s="1"/>
  <c r="I676" i="13"/>
  <c r="J676" i="13" s="1"/>
  <c r="K668" i="13"/>
  <c r="L668" i="13" s="1"/>
  <c r="I668" i="13"/>
  <c r="K660" i="13"/>
  <c r="L660" i="13" s="1"/>
  <c r="I660" i="13"/>
  <c r="J660" i="13" s="1"/>
  <c r="K652" i="13"/>
  <c r="L652" i="13" s="1"/>
  <c r="I652" i="13"/>
  <c r="J652" i="13" s="1"/>
  <c r="K644" i="13"/>
  <c r="L644" i="13" s="1"/>
  <c r="I644" i="13"/>
  <c r="J644" i="13" s="1"/>
  <c r="K636" i="13"/>
  <c r="L636" i="13" s="1"/>
  <c r="I636" i="13"/>
  <c r="J636" i="13" s="1"/>
  <c r="K628" i="13"/>
  <c r="L628" i="13" s="1"/>
  <c r="I628" i="13"/>
  <c r="J628" i="13" s="1"/>
  <c r="K620" i="13"/>
  <c r="L620" i="13" s="1"/>
  <c r="I620" i="13"/>
  <c r="J620" i="13" s="1"/>
  <c r="K612" i="13"/>
  <c r="L612" i="13" s="1"/>
  <c r="I612" i="13"/>
  <c r="J612" i="13" s="1"/>
  <c r="K604" i="13"/>
  <c r="L604" i="13" s="1"/>
  <c r="I604" i="13"/>
  <c r="J604" i="13" s="1"/>
  <c r="K596" i="13"/>
  <c r="L596" i="13" s="1"/>
  <c r="I596" i="13"/>
  <c r="J596" i="13" s="1"/>
  <c r="K588" i="13"/>
  <c r="L588" i="13" s="1"/>
  <c r="I588" i="13"/>
  <c r="J588" i="13" s="1"/>
  <c r="K580" i="13"/>
  <c r="L580" i="13" s="1"/>
  <c r="I580" i="13"/>
  <c r="J580" i="13" s="1"/>
  <c r="K572" i="13"/>
  <c r="L572" i="13" s="1"/>
  <c r="I572" i="13"/>
  <c r="K564" i="13"/>
  <c r="L564" i="13" s="1"/>
  <c r="I564" i="13"/>
  <c r="J564" i="13" s="1"/>
  <c r="K556" i="13"/>
  <c r="L556" i="13" s="1"/>
  <c r="I556" i="13"/>
  <c r="J556" i="13" s="1"/>
  <c r="K548" i="13"/>
  <c r="L548" i="13" s="1"/>
  <c r="I548" i="13"/>
  <c r="J548" i="13" s="1"/>
  <c r="K540" i="13"/>
  <c r="L540" i="13" s="1"/>
  <c r="I540" i="13"/>
  <c r="J540" i="13" s="1"/>
  <c r="K532" i="13"/>
  <c r="L532" i="13" s="1"/>
  <c r="I532" i="13"/>
  <c r="J532" i="13" s="1"/>
  <c r="K524" i="13"/>
  <c r="L524" i="13" s="1"/>
  <c r="I524" i="13"/>
  <c r="K516" i="13"/>
  <c r="L516" i="13" s="1"/>
  <c r="I516" i="13"/>
  <c r="J516" i="13" s="1"/>
  <c r="K508" i="13"/>
  <c r="L508" i="13" s="1"/>
  <c r="I508" i="13"/>
  <c r="K500" i="13"/>
  <c r="L500" i="13" s="1"/>
  <c r="I500" i="13"/>
  <c r="J500" i="13" s="1"/>
  <c r="K492" i="13"/>
  <c r="L492" i="13" s="1"/>
  <c r="I492" i="13"/>
  <c r="J492" i="13" s="1"/>
  <c r="K484" i="13"/>
  <c r="L484" i="13" s="1"/>
  <c r="I484" i="13"/>
  <c r="K476" i="13"/>
  <c r="L476" i="13" s="1"/>
  <c r="I476" i="13"/>
  <c r="J476" i="13" s="1"/>
  <c r="K468" i="13"/>
  <c r="L468" i="13" s="1"/>
  <c r="I468" i="13"/>
  <c r="J468" i="13" s="1"/>
  <c r="K460" i="13"/>
  <c r="L460" i="13" s="1"/>
  <c r="I460" i="13"/>
  <c r="J460" i="13" s="1"/>
  <c r="K452" i="13"/>
  <c r="L452" i="13" s="1"/>
  <c r="I452" i="13"/>
  <c r="J452" i="13" s="1"/>
  <c r="K444" i="13"/>
  <c r="L444" i="13" s="1"/>
  <c r="I444" i="13"/>
  <c r="J444" i="13" s="1"/>
  <c r="K436" i="13"/>
  <c r="L436" i="13" s="1"/>
  <c r="I436" i="13"/>
  <c r="J436" i="13" s="1"/>
  <c r="K428" i="13"/>
  <c r="L428" i="13" s="1"/>
  <c r="I428" i="13"/>
  <c r="K420" i="13"/>
  <c r="L420" i="13" s="1"/>
  <c r="I420" i="13"/>
  <c r="J420" i="13" s="1"/>
  <c r="K412" i="13"/>
  <c r="L412" i="13" s="1"/>
  <c r="I412" i="13"/>
  <c r="J412" i="13" s="1"/>
  <c r="K404" i="13"/>
  <c r="L404" i="13" s="1"/>
  <c r="I404" i="13"/>
  <c r="J404" i="13" s="1"/>
  <c r="K396" i="13"/>
  <c r="L396" i="13" s="1"/>
  <c r="I396" i="13"/>
  <c r="J396" i="13" s="1"/>
  <c r="K388" i="13"/>
  <c r="L388" i="13" s="1"/>
  <c r="I388" i="13"/>
  <c r="J388" i="13" s="1"/>
  <c r="K380" i="13"/>
  <c r="L380" i="13" s="1"/>
  <c r="I380" i="13"/>
  <c r="J380" i="13" s="1"/>
  <c r="K372" i="13"/>
  <c r="L372" i="13" s="1"/>
  <c r="I372" i="13"/>
  <c r="J372" i="13" s="1"/>
  <c r="K364" i="13"/>
  <c r="L364" i="13" s="1"/>
  <c r="I364" i="13"/>
  <c r="J364" i="13" s="1"/>
  <c r="K356" i="13"/>
  <c r="L356" i="13" s="1"/>
  <c r="I356" i="13"/>
  <c r="J356" i="13" s="1"/>
  <c r="K348" i="13"/>
  <c r="L348" i="13" s="1"/>
  <c r="I348" i="13"/>
  <c r="J348" i="13" s="1"/>
  <c r="K340" i="13"/>
  <c r="L340" i="13" s="1"/>
  <c r="I340" i="13"/>
  <c r="J340" i="13" s="1"/>
  <c r="K332" i="13"/>
  <c r="L332" i="13" s="1"/>
  <c r="I332" i="13"/>
  <c r="J332" i="13" s="1"/>
  <c r="K324" i="13"/>
  <c r="L324" i="13" s="1"/>
  <c r="I324" i="13"/>
  <c r="J324" i="13" s="1"/>
  <c r="K316" i="13"/>
  <c r="L316" i="13" s="1"/>
  <c r="I316" i="13"/>
  <c r="J316" i="13" s="1"/>
  <c r="K308" i="13"/>
  <c r="L308" i="13" s="1"/>
  <c r="I308" i="13"/>
  <c r="J308" i="13" s="1"/>
  <c r="K300" i="13"/>
  <c r="L300" i="13" s="1"/>
  <c r="I300" i="13"/>
  <c r="J300" i="13" s="1"/>
  <c r="K292" i="13"/>
  <c r="L292" i="13" s="1"/>
  <c r="I292" i="13"/>
  <c r="J292" i="13" s="1"/>
  <c r="K284" i="13"/>
  <c r="L284" i="13" s="1"/>
  <c r="I284" i="13"/>
  <c r="J284" i="13" s="1"/>
  <c r="K276" i="13"/>
  <c r="L276" i="13" s="1"/>
  <c r="I276" i="13"/>
  <c r="J276" i="13" s="1"/>
  <c r="K268" i="13"/>
  <c r="L268" i="13" s="1"/>
  <c r="I268" i="13"/>
  <c r="J268" i="13" s="1"/>
  <c r="K260" i="13"/>
  <c r="L260" i="13" s="1"/>
  <c r="I260" i="13"/>
  <c r="J260" i="13" s="1"/>
  <c r="K252" i="13"/>
  <c r="L252" i="13" s="1"/>
  <c r="I252" i="13"/>
  <c r="J252" i="13" s="1"/>
  <c r="K244" i="13"/>
  <c r="L244" i="13" s="1"/>
  <c r="I244" i="13"/>
  <c r="J244" i="13" s="1"/>
  <c r="K236" i="13"/>
  <c r="L236" i="13" s="1"/>
  <c r="I236" i="13"/>
  <c r="J236" i="13" s="1"/>
  <c r="K228" i="13"/>
  <c r="L228" i="13" s="1"/>
  <c r="I228" i="13"/>
  <c r="J228" i="13" s="1"/>
  <c r="K220" i="13"/>
  <c r="L220" i="13" s="1"/>
  <c r="I220" i="13"/>
  <c r="J220" i="13" s="1"/>
  <c r="K212" i="13"/>
  <c r="L212" i="13" s="1"/>
  <c r="I212" i="13"/>
  <c r="J212" i="13" s="1"/>
  <c r="K204" i="13"/>
  <c r="L204" i="13" s="1"/>
  <c r="I204" i="13"/>
  <c r="J204" i="13" s="1"/>
  <c r="K196" i="13"/>
  <c r="L196" i="13" s="1"/>
  <c r="I196" i="13"/>
  <c r="J196" i="13" s="1"/>
  <c r="K188" i="13"/>
  <c r="L188" i="13" s="1"/>
  <c r="I188" i="13"/>
  <c r="J188" i="13" s="1"/>
  <c r="K180" i="13"/>
  <c r="L180" i="13" s="1"/>
  <c r="I180" i="13"/>
  <c r="J180" i="13" s="1"/>
  <c r="K172" i="13"/>
  <c r="L172" i="13" s="1"/>
  <c r="I172" i="13"/>
  <c r="J172" i="13" s="1"/>
  <c r="K164" i="13"/>
  <c r="L164" i="13" s="1"/>
  <c r="I164" i="13"/>
  <c r="J164" i="13" s="1"/>
  <c r="K156" i="13"/>
  <c r="L156" i="13" s="1"/>
  <c r="I156" i="13"/>
  <c r="J156" i="13" s="1"/>
  <c r="K148" i="13"/>
  <c r="L148" i="13" s="1"/>
  <c r="I148" i="13"/>
  <c r="J148" i="13" s="1"/>
  <c r="K140" i="13"/>
  <c r="L140" i="13" s="1"/>
  <c r="I140" i="13"/>
  <c r="J140" i="13" s="1"/>
  <c r="K132" i="13"/>
  <c r="L132" i="13" s="1"/>
  <c r="I132" i="13"/>
  <c r="J132" i="13" s="1"/>
  <c r="K124" i="13"/>
  <c r="L124" i="13" s="1"/>
  <c r="I124" i="13"/>
  <c r="J124" i="13" s="1"/>
  <c r="K116" i="13"/>
  <c r="L116" i="13" s="1"/>
  <c r="I116" i="13"/>
  <c r="J116" i="13" s="1"/>
  <c r="K108" i="13"/>
  <c r="L108" i="13" s="1"/>
  <c r="I108" i="13"/>
  <c r="J108" i="13" s="1"/>
  <c r="K100" i="13"/>
  <c r="L100" i="13" s="1"/>
  <c r="I100" i="13"/>
  <c r="K92" i="13"/>
  <c r="L92" i="13" s="1"/>
  <c r="I92" i="13"/>
  <c r="J92" i="13" s="1"/>
  <c r="K84" i="13"/>
  <c r="L84" i="13" s="1"/>
  <c r="I84" i="13"/>
  <c r="J84" i="13" s="1"/>
  <c r="K76" i="13"/>
  <c r="L76" i="13" s="1"/>
  <c r="I76" i="13"/>
  <c r="J76" i="13" s="1"/>
  <c r="K68" i="13"/>
  <c r="L68" i="13" s="1"/>
  <c r="I68" i="13"/>
  <c r="J68" i="13" s="1"/>
  <c r="K60" i="13"/>
  <c r="L60" i="13" s="1"/>
  <c r="I60" i="13"/>
  <c r="J60" i="13" s="1"/>
  <c r="K52" i="13"/>
  <c r="L52" i="13" s="1"/>
  <c r="I52" i="13"/>
  <c r="J52" i="13" s="1"/>
  <c r="K44" i="13"/>
  <c r="L44" i="13" s="1"/>
  <c r="I44" i="13"/>
  <c r="J44" i="13" s="1"/>
  <c r="K36" i="13"/>
  <c r="L36" i="13" s="1"/>
  <c r="I36" i="13"/>
  <c r="J36" i="13" s="1"/>
  <c r="K28" i="13"/>
  <c r="L28" i="13" s="1"/>
  <c r="I28" i="13"/>
  <c r="J28" i="13" s="1"/>
  <c r="K20" i="13"/>
  <c r="L20" i="13" s="1"/>
  <c r="I20" i="13"/>
  <c r="J20" i="13" s="1"/>
  <c r="K12" i="13"/>
  <c r="L12" i="13" s="1"/>
  <c r="I12" i="13"/>
  <c r="J12" i="13" s="1"/>
  <c r="K4" i="13"/>
  <c r="L4" i="13" s="1"/>
  <c r="I4" i="13"/>
  <c r="J4" i="13" s="1"/>
  <c r="K1232" i="13"/>
  <c r="L1232" i="13" s="1"/>
  <c r="K1301" i="13"/>
  <c r="L1301" i="13" s="1"/>
  <c r="I1301" i="13"/>
  <c r="J1301" i="13" s="1"/>
  <c r="K1245" i="13"/>
  <c r="L1245" i="13" s="1"/>
  <c r="I1245" i="13"/>
  <c r="J1245" i="13" s="1"/>
  <c r="K1181" i="13"/>
  <c r="L1181" i="13" s="1"/>
  <c r="I1181" i="13"/>
  <c r="J1181" i="13" s="1"/>
  <c r="K1109" i="13"/>
  <c r="L1109" i="13" s="1"/>
  <c r="I1109" i="13"/>
  <c r="J1109" i="13" s="1"/>
  <c r="K1005" i="13"/>
  <c r="L1005" i="13" s="1"/>
  <c r="I1005" i="13"/>
  <c r="K933" i="13"/>
  <c r="L933" i="13" s="1"/>
  <c r="I933" i="13"/>
  <c r="J933" i="13" s="1"/>
  <c r="K869" i="13"/>
  <c r="L869" i="13" s="1"/>
  <c r="I869" i="13"/>
  <c r="J869" i="13" s="1"/>
  <c r="K789" i="13"/>
  <c r="L789" i="13" s="1"/>
  <c r="I789" i="13"/>
  <c r="J789" i="13" s="1"/>
  <c r="K669" i="13"/>
  <c r="L669" i="13" s="1"/>
  <c r="I669" i="13"/>
  <c r="J669" i="13" s="1"/>
  <c r="K445" i="13"/>
  <c r="L445" i="13" s="1"/>
  <c r="I445" i="13"/>
  <c r="J445" i="13" s="1"/>
  <c r="R1306" i="13"/>
  <c r="Q1306" i="13"/>
  <c r="R1250" i="13"/>
  <c r="Q1250" i="13"/>
  <c r="R1194" i="13"/>
  <c r="Q1194" i="13"/>
  <c r="R1154" i="13"/>
  <c r="Q1154" i="13"/>
  <c r="R1098" i="13"/>
  <c r="Q1098" i="13"/>
  <c r="R1050" i="13"/>
  <c r="Q1050" i="13"/>
  <c r="R978" i="13"/>
  <c r="Q978" i="13"/>
  <c r="R890" i="13"/>
  <c r="Q890" i="13"/>
  <c r="R650" i="13"/>
  <c r="Q650" i="13"/>
  <c r="Q618" i="13"/>
  <c r="R618" i="13"/>
  <c r="Q570" i="13"/>
  <c r="R570" i="13"/>
  <c r="R530" i="13"/>
  <c r="Q530" i="13"/>
  <c r="Q506" i="13"/>
  <c r="R506" i="13"/>
  <c r="R466" i="13"/>
  <c r="Q466" i="13"/>
  <c r="Q418" i="13"/>
  <c r="R418" i="13"/>
  <c r="Q378" i="13"/>
  <c r="R378" i="13"/>
  <c r="R346" i="13"/>
  <c r="Q346" i="13"/>
  <c r="Q290" i="13"/>
  <c r="R290" i="13"/>
  <c r="Q258" i="13"/>
  <c r="R258" i="13"/>
  <c r="R218" i="13"/>
  <c r="Q218" i="13"/>
  <c r="Q170" i="13"/>
  <c r="R170" i="13"/>
  <c r="Q130" i="13"/>
  <c r="R130" i="13"/>
  <c r="R90" i="13"/>
  <c r="Q90" i="13"/>
  <c r="Q58" i="13"/>
  <c r="R58" i="13"/>
  <c r="R1305" i="13"/>
  <c r="Q1305" i="13"/>
  <c r="R1265" i="13"/>
  <c r="Q1265" i="13"/>
  <c r="R1241" i="13"/>
  <c r="Q1241" i="13"/>
  <c r="R1217" i="13"/>
  <c r="Q1217" i="13"/>
  <c r="R1209" i="13"/>
  <c r="Q1209" i="13"/>
  <c r="R1201" i="13"/>
  <c r="Q1201" i="13"/>
  <c r="R1193" i="13"/>
  <c r="Q1193" i="13"/>
  <c r="R1185" i="13"/>
  <c r="Q1185" i="13"/>
  <c r="R1177" i="13"/>
  <c r="Q1177" i="13"/>
  <c r="R1169" i="13"/>
  <c r="Q1169" i="13"/>
  <c r="R1161" i="13"/>
  <c r="Q1161" i="13"/>
  <c r="R1153" i="13"/>
  <c r="Q1153" i="13"/>
  <c r="R1145" i="13"/>
  <c r="Q1145" i="13"/>
  <c r="R1137" i="13"/>
  <c r="Q1137" i="13"/>
  <c r="R1129" i="13"/>
  <c r="Q1129" i="13"/>
  <c r="R1121" i="13"/>
  <c r="Q1121" i="13"/>
  <c r="R1113" i="13"/>
  <c r="Q1113" i="13"/>
  <c r="R1105" i="13"/>
  <c r="Q1105" i="13"/>
  <c r="R1097" i="13"/>
  <c r="Q1097" i="13"/>
  <c r="R1089" i="13"/>
  <c r="Q1089" i="13"/>
  <c r="R1081" i="13"/>
  <c r="Q1081" i="13"/>
  <c r="R1073" i="13"/>
  <c r="Q1073" i="13"/>
  <c r="R1065" i="13"/>
  <c r="Q1065" i="13"/>
  <c r="R1057" i="13"/>
  <c r="Q1057" i="13"/>
  <c r="R1049" i="13"/>
  <c r="Q1049" i="13"/>
  <c r="R1041" i="13"/>
  <c r="Q1041" i="13"/>
  <c r="R1033" i="13"/>
  <c r="Q1033" i="13"/>
  <c r="R1025" i="13"/>
  <c r="Q1025" i="13"/>
  <c r="R1017" i="13"/>
  <c r="Q1017" i="13"/>
  <c r="R1009" i="13"/>
  <c r="Q1009" i="13"/>
  <c r="R1001" i="13"/>
  <c r="Q1001" i="13"/>
  <c r="R993" i="13"/>
  <c r="Q993" i="13"/>
  <c r="R985" i="13"/>
  <c r="Q985" i="13"/>
  <c r="R977" i="13"/>
  <c r="Q977" i="13"/>
  <c r="R969" i="13"/>
  <c r="Q969" i="13"/>
  <c r="R961" i="13"/>
  <c r="Q961" i="13"/>
  <c r="R953" i="13"/>
  <c r="Q953" i="13"/>
  <c r="R945" i="13"/>
  <c r="Q945" i="13"/>
  <c r="R937" i="13"/>
  <c r="Q937" i="13"/>
  <c r="R929" i="13"/>
  <c r="Q929" i="13"/>
  <c r="R921" i="13"/>
  <c r="Q921" i="13"/>
  <c r="R913" i="13"/>
  <c r="Q913" i="13"/>
  <c r="R905" i="13"/>
  <c r="Q905" i="13"/>
  <c r="R897" i="13"/>
  <c r="Q897" i="13"/>
  <c r="R889" i="13"/>
  <c r="Q889" i="13"/>
  <c r="R881" i="13"/>
  <c r="Q881" i="13"/>
  <c r="R873" i="13"/>
  <c r="Q873" i="13"/>
  <c r="R865" i="13"/>
  <c r="Q865" i="13"/>
  <c r="R857" i="13"/>
  <c r="Q857" i="13"/>
  <c r="R849" i="13"/>
  <c r="Q849" i="13"/>
  <c r="R841" i="13"/>
  <c r="Q841" i="13"/>
  <c r="R833" i="13"/>
  <c r="Q833" i="13"/>
  <c r="R825" i="13"/>
  <c r="Q825" i="13"/>
  <c r="R817" i="13"/>
  <c r="Q817" i="13"/>
  <c r="R809" i="13"/>
  <c r="Q809" i="13"/>
  <c r="R801" i="13"/>
  <c r="Q801" i="13"/>
  <c r="R793" i="13"/>
  <c r="Q793" i="13"/>
  <c r="R785" i="13"/>
  <c r="Q785" i="13"/>
  <c r="R777" i="13"/>
  <c r="Q777" i="13"/>
  <c r="R769" i="13"/>
  <c r="Q769" i="13"/>
  <c r="R761" i="13"/>
  <c r="Q761" i="13"/>
  <c r="R753" i="13"/>
  <c r="Q753" i="13"/>
  <c r="R745" i="13"/>
  <c r="Q745" i="13"/>
  <c r="R737" i="13"/>
  <c r="Q737" i="13"/>
  <c r="R729" i="13"/>
  <c r="Q729" i="13"/>
  <c r="R721" i="13"/>
  <c r="Q721" i="13"/>
  <c r="R713" i="13"/>
  <c r="Q713" i="13"/>
  <c r="R705" i="13"/>
  <c r="Q705" i="13"/>
  <c r="R697" i="13"/>
  <c r="Q697" i="13"/>
  <c r="R689" i="13"/>
  <c r="Q689" i="13"/>
  <c r="R681" i="13"/>
  <c r="Q681" i="13"/>
  <c r="R673" i="13"/>
  <c r="Q673" i="13"/>
  <c r="R665" i="13"/>
  <c r="Q665" i="13"/>
  <c r="R657" i="13"/>
  <c r="Q657" i="13"/>
  <c r="R649" i="13"/>
  <c r="Q649" i="13"/>
  <c r="R641" i="13"/>
  <c r="Q641" i="13"/>
  <c r="R633" i="13"/>
  <c r="Q633" i="13"/>
  <c r="R625" i="13"/>
  <c r="Q625" i="13"/>
  <c r="R617" i="13"/>
  <c r="Q617" i="13"/>
  <c r="R609" i="13"/>
  <c r="Q609" i="13"/>
  <c r="R601" i="13"/>
  <c r="Q601" i="13"/>
  <c r="R593" i="13"/>
  <c r="Q593" i="13"/>
  <c r="R585" i="13"/>
  <c r="Q585" i="13"/>
  <c r="R577" i="13"/>
  <c r="Q577" i="13"/>
  <c r="R569" i="13"/>
  <c r="Q569" i="13"/>
  <c r="R561" i="13"/>
  <c r="Q561" i="13"/>
  <c r="R553" i="13"/>
  <c r="Q553" i="13"/>
  <c r="R545" i="13"/>
  <c r="Q545" i="13"/>
  <c r="R537" i="13"/>
  <c r="Q537" i="13"/>
  <c r="R529" i="13"/>
  <c r="Q529" i="13"/>
  <c r="R521" i="13"/>
  <c r="Q521" i="13"/>
  <c r="R513" i="13"/>
  <c r="Q513" i="13"/>
  <c r="R505" i="13"/>
  <c r="Q505" i="13"/>
  <c r="R497" i="13"/>
  <c r="Q497" i="13"/>
  <c r="R489" i="13"/>
  <c r="Q489" i="13"/>
  <c r="R481" i="13"/>
  <c r="Q481" i="13"/>
  <c r="R473" i="13"/>
  <c r="Q473" i="13"/>
  <c r="R465" i="13"/>
  <c r="Q465" i="13"/>
  <c r="R457" i="13"/>
  <c r="Q457" i="13"/>
  <c r="R449" i="13"/>
  <c r="Q449" i="13"/>
  <c r="R441" i="13"/>
  <c r="Q441" i="13"/>
  <c r="R433" i="13"/>
  <c r="Q433" i="13"/>
  <c r="R425" i="13"/>
  <c r="Q425" i="13"/>
  <c r="R417" i="13"/>
  <c r="Q417" i="13"/>
  <c r="R409" i="13"/>
  <c r="Q409" i="13"/>
  <c r="R401" i="13"/>
  <c r="Q401" i="13"/>
  <c r="R393" i="13"/>
  <c r="Q393" i="13"/>
  <c r="R385" i="13"/>
  <c r="Q385" i="13"/>
  <c r="R377" i="13"/>
  <c r="Q377" i="13"/>
  <c r="R369" i="13"/>
  <c r="Q369" i="13"/>
  <c r="R361" i="13"/>
  <c r="Q361" i="13"/>
  <c r="R353" i="13"/>
  <c r="Q353" i="13"/>
  <c r="R345" i="13"/>
  <c r="Q345" i="13"/>
  <c r="R337" i="13"/>
  <c r="Q337" i="13"/>
  <c r="R329" i="13"/>
  <c r="Q329" i="13"/>
  <c r="R321" i="13"/>
  <c r="Q321" i="13"/>
  <c r="R313" i="13"/>
  <c r="Q313" i="13"/>
  <c r="R305" i="13"/>
  <c r="Q305" i="13"/>
  <c r="R297" i="13"/>
  <c r="Q297" i="13"/>
  <c r="R289" i="13"/>
  <c r="Q289" i="13"/>
  <c r="R281" i="13"/>
  <c r="Q281" i="13"/>
  <c r="R273" i="13"/>
  <c r="Q273" i="13"/>
  <c r="R265" i="13"/>
  <c r="Q265" i="13"/>
  <c r="R257" i="13"/>
  <c r="Q257" i="13"/>
  <c r="R249" i="13"/>
  <c r="Q249" i="13"/>
  <c r="R241" i="13"/>
  <c r="Q241" i="13"/>
  <c r="R233" i="13"/>
  <c r="Q233" i="13"/>
  <c r="R225" i="13"/>
  <c r="Q225" i="13"/>
  <c r="R217" i="13"/>
  <c r="Q217" i="13"/>
  <c r="R209" i="13"/>
  <c r="Q209" i="13"/>
  <c r="R201" i="13"/>
  <c r="Q201" i="13"/>
  <c r="R193" i="13"/>
  <c r="Q193" i="13"/>
  <c r="R185" i="13"/>
  <c r="Q185" i="13"/>
  <c r="R177" i="13"/>
  <c r="Q177" i="13"/>
  <c r="R169" i="13"/>
  <c r="Q169" i="13"/>
  <c r="R161" i="13"/>
  <c r="Q161" i="13"/>
  <c r="R153" i="13"/>
  <c r="Q153" i="13"/>
  <c r="R145" i="13"/>
  <c r="Q145" i="13"/>
  <c r="R137" i="13"/>
  <c r="Q137" i="13"/>
  <c r="R129" i="13"/>
  <c r="Q129" i="13"/>
  <c r="R121" i="13"/>
  <c r="Q121" i="13"/>
  <c r="R113" i="13"/>
  <c r="Q113" i="13"/>
  <c r="R105" i="13"/>
  <c r="Q105" i="13"/>
  <c r="R97" i="13"/>
  <c r="Q97" i="13"/>
  <c r="R89" i="13"/>
  <c r="Q89" i="13"/>
  <c r="R81" i="13"/>
  <c r="Q81" i="13"/>
  <c r="R73" i="13"/>
  <c r="Q73" i="13"/>
  <c r="R65" i="13"/>
  <c r="Q65" i="13"/>
  <c r="R57" i="13"/>
  <c r="Q57" i="13"/>
  <c r="R49" i="13"/>
  <c r="Q49" i="13"/>
  <c r="R41" i="13"/>
  <c r="Q41" i="13"/>
  <c r="R33" i="13"/>
  <c r="Q33" i="13"/>
  <c r="R25" i="13"/>
  <c r="Q25" i="13"/>
  <c r="R17" i="13"/>
  <c r="Q17" i="13"/>
  <c r="R9" i="13"/>
  <c r="Q9" i="13"/>
  <c r="J1310" i="13"/>
  <c r="J1302" i="13"/>
  <c r="J1294" i="13"/>
  <c r="J1278" i="13"/>
  <c r="J1270" i="13"/>
  <c r="J1246" i="13"/>
  <c r="J1238" i="13"/>
  <c r="J1174" i="13"/>
  <c r="J1134" i="13"/>
  <c r="J1126" i="13"/>
  <c r="J1110" i="13"/>
  <c r="J1094" i="13"/>
  <c r="J1078" i="13"/>
  <c r="J1022" i="13"/>
  <c r="J942" i="13"/>
  <c r="J918" i="13"/>
  <c r="J894" i="13"/>
  <c r="J870" i="13"/>
  <c r="J798" i="13"/>
  <c r="J742" i="13"/>
  <c r="J702" i="13"/>
  <c r="J670" i="13"/>
  <c r="J638" i="13"/>
  <c r="J590" i="13"/>
  <c r="J558" i="13"/>
  <c r="J534" i="13"/>
  <c r="J518" i="13"/>
  <c r="J510" i="13"/>
  <c r="J430" i="13"/>
  <c r="J366" i="13"/>
  <c r="J358" i="13"/>
  <c r="J302" i="13"/>
  <c r="J286" i="13"/>
  <c r="J254" i="13"/>
  <c r="J230" i="13"/>
  <c r="J182" i="13"/>
  <c r="J150" i="13"/>
  <c r="J118" i="13"/>
  <c r="J110" i="13"/>
  <c r="J102" i="13"/>
  <c r="J78" i="13"/>
  <c r="J70" i="13"/>
  <c r="K1307" i="13"/>
  <c r="L1307" i="13" s="1"/>
  <c r="I1307" i="13"/>
  <c r="J1307" i="13" s="1"/>
  <c r="K1299" i="13"/>
  <c r="L1299" i="13" s="1"/>
  <c r="I1299" i="13"/>
  <c r="J1299" i="13" s="1"/>
  <c r="K1291" i="13"/>
  <c r="L1291" i="13" s="1"/>
  <c r="I1291" i="13"/>
  <c r="J1291" i="13" s="1"/>
  <c r="K1283" i="13"/>
  <c r="L1283" i="13" s="1"/>
  <c r="I1283" i="13"/>
  <c r="J1283" i="13" s="1"/>
  <c r="K1275" i="13"/>
  <c r="L1275" i="13" s="1"/>
  <c r="I1275" i="13"/>
  <c r="J1275" i="13" s="1"/>
  <c r="K1267" i="13"/>
  <c r="L1267" i="13" s="1"/>
  <c r="I1267" i="13"/>
  <c r="J1267" i="13" s="1"/>
  <c r="K1259" i="13"/>
  <c r="L1259" i="13" s="1"/>
  <c r="I1259" i="13"/>
  <c r="J1259" i="13" s="1"/>
  <c r="K1251" i="13"/>
  <c r="L1251" i="13" s="1"/>
  <c r="I1251" i="13"/>
  <c r="J1251" i="13" s="1"/>
  <c r="K1243" i="13"/>
  <c r="L1243" i="13" s="1"/>
  <c r="I1243" i="13"/>
  <c r="J1243" i="13" s="1"/>
  <c r="K1235" i="13"/>
  <c r="L1235" i="13" s="1"/>
  <c r="I1235" i="13"/>
  <c r="J1235" i="13" s="1"/>
  <c r="K1227" i="13"/>
  <c r="L1227" i="13" s="1"/>
  <c r="I1227" i="13"/>
  <c r="J1227" i="13" s="1"/>
  <c r="K1219" i="13"/>
  <c r="L1219" i="13" s="1"/>
  <c r="I1219" i="13"/>
  <c r="J1219" i="13" s="1"/>
  <c r="K1211" i="13"/>
  <c r="L1211" i="13" s="1"/>
  <c r="I1211" i="13"/>
  <c r="J1211" i="13" s="1"/>
  <c r="K1203" i="13"/>
  <c r="L1203" i="13" s="1"/>
  <c r="I1203" i="13"/>
  <c r="J1203" i="13" s="1"/>
  <c r="K1195" i="13"/>
  <c r="L1195" i="13" s="1"/>
  <c r="I1195" i="13"/>
  <c r="J1195" i="13" s="1"/>
  <c r="K1187" i="13"/>
  <c r="L1187" i="13" s="1"/>
  <c r="I1187" i="13"/>
  <c r="J1187" i="13" s="1"/>
  <c r="K1179" i="13"/>
  <c r="L1179" i="13" s="1"/>
  <c r="I1179" i="13"/>
  <c r="J1179" i="13" s="1"/>
  <c r="K1171" i="13"/>
  <c r="L1171" i="13" s="1"/>
  <c r="I1171" i="13"/>
  <c r="J1171" i="13" s="1"/>
  <c r="K1163" i="13"/>
  <c r="L1163" i="13" s="1"/>
  <c r="I1163" i="13"/>
  <c r="J1163" i="13" s="1"/>
  <c r="K1155" i="13"/>
  <c r="L1155" i="13" s="1"/>
  <c r="I1155" i="13"/>
  <c r="J1155" i="13" s="1"/>
  <c r="K1147" i="13"/>
  <c r="L1147" i="13" s="1"/>
  <c r="I1147" i="13"/>
  <c r="J1147" i="13" s="1"/>
  <c r="K1139" i="13"/>
  <c r="L1139" i="13" s="1"/>
  <c r="I1139" i="13"/>
  <c r="J1139" i="13" s="1"/>
  <c r="K1131" i="13"/>
  <c r="L1131" i="13" s="1"/>
  <c r="I1131" i="13"/>
  <c r="J1131" i="13" s="1"/>
  <c r="K1123" i="13"/>
  <c r="L1123" i="13" s="1"/>
  <c r="I1123" i="13"/>
  <c r="J1123" i="13" s="1"/>
  <c r="K1115" i="13"/>
  <c r="L1115" i="13" s="1"/>
  <c r="I1115" i="13"/>
  <c r="J1115" i="13" s="1"/>
  <c r="K1107" i="13"/>
  <c r="L1107" i="13" s="1"/>
  <c r="I1107" i="13"/>
  <c r="J1107" i="13" s="1"/>
  <c r="K1099" i="13"/>
  <c r="L1099" i="13" s="1"/>
  <c r="I1099" i="13"/>
  <c r="J1099" i="13" s="1"/>
  <c r="K1091" i="13"/>
  <c r="L1091" i="13" s="1"/>
  <c r="I1091" i="13"/>
  <c r="J1091" i="13" s="1"/>
  <c r="K1083" i="13"/>
  <c r="L1083" i="13" s="1"/>
  <c r="I1083" i="13"/>
  <c r="J1083" i="13" s="1"/>
  <c r="K1075" i="13"/>
  <c r="L1075" i="13" s="1"/>
  <c r="I1075" i="13"/>
  <c r="J1075" i="13" s="1"/>
  <c r="K1067" i="13"/>
  <c r="L1067" i="13" s="1"/>
  <c r="I1067" i="13"/>
  <c r="J1067" i="13" s="1"/>
  <c r="K1059" i="13"/>
  <c r="L1059" i="13" s="1"/>
  <c r="I1059" i="13"/>
  <c r="J1059" i="13" s="1"/>
  <c r="K1051" i="13"/>
  <c r="L1051" i="13" s="1"/>
  <c r="I1051" i="13"/>
  <c r="J1051" i="13" s="1"/>
  <c r="K1043" i="13"/>
  <c r="L1043" i="13" s="1"/>
  <c r="I1043" i="13"/>
  <c r="J1043" i="13" s="1"/>
  <c r="K1035" i="13"/>
  <c r="L1035" i="13" s="1"/>
  <c r="I1035" i="13"/>
  <c r="J1035" i="13" s="1"/>
  <c r="I1027" i="13"/>
  <c r="J1027" i="13" s="1"/>
  <c r="K1027" i="13"/>
  <c r="L1027" i="13" s="1"/>
  <c r="K1019" i="13"/>
  <c r="L1019" i="13" s="1"/>
  <c r="I1019" i="13"/>
  <c r="J1019" i="13" s="1"/>
  <c r="K1011" i="13"/>
  <c r="L1011" i="13" s="1"/>
  <c r="I1011" i="13"/>
  <c r="J1011" i="13" s="1"/>
  <c r="K1003" i="13"/>
  <c r="L1003" i="13" s="1"/>
  <c r="I1003" i="13"/>
  <c r="J1003" i="13" s="1"/>
  <c r="K995" i="13"/>
  <c r="L995" i="13" s="1"/>
  <c r="I995" i="13"/>
  <c r="J995" i="13" s="1"/>
  <c r="K987" i="13"/>
  <c r="L987" i="13" s="1"/>
  <c r="I987" i="13"/>
  <c r="J987" i="13" s="1"/>
  <c r="K979" i="13"/>
  <c r="L979" i="13" s="1"/>
  <c r="I979" i="13"/>
  <c r="J979" i="13" s="1"/>
  <c r="K971" i="13"/>
  <c r="L971" i="13" s="1"/>
  <c r="I971" i="13"/>
  <c r="J971" i="13" s="1"/>
  <c r="K963" i="13"/>
  <c r="L963" i="13" s="1"/>
  <c r="I963" i="13"/>
  <c r="J963" i="13" s="1"/>
  <c r="K955" i="13"/>
  <c r="L955" i="13" s="1"/>
  <c r="I955" i="13"/>
  <c r="J955" i="13" s="1"/>
  <c r="K947" i="13"/>
  <c r="L947" i="13" s="1"/>
  <c r="I947" i="13"/>
  <c r="J947" i="13" s="1"/>
  <c r="K939" i="13"/>
  <c r="L939" i="13" s="1"/>
  <c r="I939" i="13"/>
  <c r="J939" i="13" s="1"/>
  <c r="K931" i="13"/>
  <c r="L931" i="13" s="1"/>
  <c r="I931" i="13"/>
  <c r="J931" i="13" s="1"/>
  <c r="K923" i="13"/>
  <c r="L923" i="13" s="1"/>
  <c r="I923" i="13"/>
  <c r="J923" i="13" s="1"/>
  <c r="K915" i="13"/>
  <c r="L915" i="13" s="1"/>
  <c r="I915" i="13"/>
  <c r="J915" i="13" s="1"/>
  <c r="K907" i="13"/>
  <c r="L907" i="13" s="1"/>
  <c r="I907" i="13"/>
  <c r="J907" i="13" s="1"/>
  <c r="K899" i="13"/>
  <c r="L899" i="13" s="1"/>
  <c r="I899" i="13"/>
  <c r="J899" i="13" s="1"/>
  <c r="K891" i="13"/>
  <c r="L891" i="13" s="1"/>
  <c r="I891" i="13"/>
  <c r="J891" i="13" s="1"/>
  <c r="K883" i="13"/>
  <c r="L883" i="13" s="1"/>
  <c r="I883" i="13"/>
  <c r="J883" i="13" s="1"/>
  <c r="K875" i="13"/>
  <c r="L875" i="13" s="1"/>
  <c r="I875" i="13"/>
  <c r="J875" i="13" s="1"/>
  <c r="K867" i="13"/>
  <c r="L867" i="13" s="1"/>
  <c r="I867" i="13"/>
  <c r="K859" i="13"/>
  <c r="L859" i="13" s="1"/>
  <c r="I859" i="13"/>
  <c r="J859" i="13" s="1"/>
  <c r="K851" i="13"/>
  <c r="L851" i="13" s="1"/>
  <c r="I851" i="13"/>
  <c r="J851" i="13" s="1"/>
  <c r="K843" i="13"/>
  <c r="L843" i="13" s="1"/>
  <c r="I843" i="13"/>
  <c r="J843" i="13" s="1"/>
  <c r="K835" i="13"/>
  <c r="L835" i="13" s="1"/>
  <c r="I835" i="13"/>
  <c r="J835" i="13" s="1"/>
  <c r="K827" i="13"/>
  <c r="L827" i="13" s="1"/>
  <c r="I827" i="13"/>
  <c r="J827" i="13" s="1"/>
  <c r="K819" i="13"/>
  <c r="L819" i="13" s="1"/>
  <c r="I819" i="13"/>
  <c r="J819" i="13" s="1"/>
  <c r="K811" i="13"/>
  <c r="L811" i="13" s="1"/>
  <c r="I811" i="13"/>
  <c r="K803" i="13"/>
  <c r="L803" i="13" s="1"/>
  <c r="I803" i="13"/>
  <c r="J803" i="13" s="1"/>
  <c r="K795" i="13"/>
  <c r="L795" i="13" s="1"/>
  <c r="I795" i="13"/>
  <c r="J795" i="13" s="1"/>
  <c r="K787" i="13"/>
  <c r="L787" i="13" s="1"/>
  <c r="I787" i="13"/>
  <c r="K779" i="13"/>
  <c r="L779" i="13" s="1"/>
  <c r="I779" i="13"/>
  <c r="J779" i="13" s="1"/>
  <c r="K771" i="13"/>
  <c r="L771" i="13" s="1"/>
  <c r="I771" i="13"/>
  <c r="K763" i="13"/>
  <c r="L763" i="13" s="1"/>
  <c r="I763" i="13"/>
  <c r="K755" i="13"/>
  <c r="L755" i="13" s="1"/>
  <c r="I755" i="13"/>
  <c r="J755" i="13" s="1"/>
  <c r="K747" i="13"/>
  <c r="L747" i="13" s="1"/>
  <c r="I747" i="13"/>
  <c r="J747" i="13" s="1"/>
  <c r="K739" i="13"/>
  <c r="L739" i="13" s="1"/>
  <c r="I739" i="13"/>
  <c r="J739" i="13" s="1"/>
  <c r="K731" i="13"/>
  <c r="L731" i="13" s="1"/>
  <c r="I731" i="13"/>
  <c r="J731" i="13" s="1"/>
  <c r="K723" i="13"/>
  <c r="L723" i="13" s="1"/>
  <c r="I723" i="13"/>
  <c r="J723" i="13" s="1"/>
  <c r="K715" i="13"/>
  <c r="L715" i="13" s="1"/>
  <c r="I715" i="13"/>
  <c r="J715" i="13" s="1"/>
  <c r="K707" i="13"/>
  <c r="L707" i="13" s="1"/>
  <c r="I707" i="13"/>
  <c r="J707" i="13" s="1"/>
  <c r="K699" i="13"/>
  <c r="L699" i="13" s="1"/>
  <c r="I699" i="13"/>
  <c r="J699" i="13" s="1"/>
  <c r="K691" i="13"/>
  <c r="L691" i="13" s="1"/>
  <c r="I691" i="13"/>
  <c r="J691" i="13" s="1"/>
  <c r="K683" i="13"/>
  <c r="L683" i="13" s="1"/>
  <c r="I683" i="13"/>
  <c r="J683" i="13" s="1"/>
  <c r="K675" i="13"/>
  <c r="L675" i="13" s="1"/>
  <c r="I675" i="13"/>
  <c r="J675" i="13" s="1"/>
  <c r="K667" i="13"/>
  <c r="L667" i="13" s="1"/>
  <c r="I667" i="13"/>
  <c r="K659" i="13"/>
  <c r="L659" i="13" s="1"/>
  <c r="I659" i="13"/>
  <c r="J659" i="13" s="1"/>
  <c r="K651" i="13"/>
  <c r="L651" i="13" s="1"/>
  <c r="I651" i="13"/>
  <c r="J651" i="13" s="1"/>
  <c r="K643" i="13"/>
  <c r="L643" i="13" s="1"/>
  <c r="I643" i="13"/>
  <c r="J643" i="13" s="1"/>
  <c r="K635" i="13"/>
  <c r="L635" i="13" s="1"/>
  <c r="I635" i="13"/>
  <c r="J635" i="13" s="1"/>
  <c r="K627" i="13"/>
  <c r="L627" i="13" s="1"/>
  <c r="I627" i="13"/>
  <c r="K619" i="13"/>
  <c r="L619" i="13" s="1"/>
  <c r="I619" i="13"/>
  <c r="J619" i="13" s="1"/>
  <c r="K611" i="13"/>
  <c r="L611" i="13" s="1"/>
  <c r="I611" i="13"/>
  <c r="J611" i="13" s="1"/>
  <c r="K603" i="13"/>
  <c r="L603" i="13" s="1"/>
  <c r="I603" i="13"/>
  <c r="J603" i="13" s="1"/>
  <c r="K595" i="13"/>
  <c r="L595" i="13" s="1"/>
  <c r="I595" i="13"/>
  <c r="J595" i="13" s="1"/>
  <c r="K587" i="13"/>
  <c r="L587" i="13" s="1"/>
  <c r="I587" i="13"/>
  <c r="J587" i="13" s="1"/>
  <c r="K579" i="13"/>
  <c r="L579" i="13" s="1"/>
  <c r="I579" i="13"/>
  <c r="J579" i="13" s="1"/>
  <c r="K571" i="13"/>
  <c r="L571" i="13" s="1"/>
  <c r="I571" i="13"/>
  <c r="K563" i="13"/>
  <c r="L563" i="13" s="1"/>
  <c r="I563" i="13"/>
  <c r="J563" i="13" s="1"/>
  <c r="K555" i="13"/>
  <c r="L555" i="13" s="1"/>
  <c r="I555" i="13"/>
  <c r="J555" i="13" s="1"/>
  <c r="K547" i="13"/>
  <c r="L547" i="13" s="1"/>
  <c r="I547" i="13"/>
  <c r="K539" i="13"/>
  <c r="L539" i="13" s="1"/>
  <c r="I539" i="13"/>
  <c r="J539" i="13" s="1"/>
  <c r="K531" i="13"/>
  <c r="L531" i="13" s="1"/>
  <c r="I531" i="13"/>
  <c r="J531" i="13" s="1"/>
  <c r="K523" i="13"/>
  <c r="L523" i="13" s="1"/>
  <c r="I523" i="13"/>
  <c r="J523" i="13" s="1"/>
  <c r="K515" i="13"/>
  <c r="L515" i="13" s="1"/>
  <c r="I515" i="13"/>
  <c r="J515" i="13" s="1"/>
  <c r="K507" i="13"/>
  <c r="L507" i="13" s="1"/>
  <c r="I507" i="13"/>
  <c r="J507" i="13" s="1"/>
  <c r="K499" i="13"/>
  <c r="L499" i="13" s="1"/>
  <c r="I499" i="13"/>
  <c r="J499" i="13" s="1"/>
  <c r="K491" i="13"/>
  <c r="L491" i="13" s="1"/>
  <c r="I491" i="13"/>
  <c r="J491" i="13" s="1"/>
  <c r="K483" i="13"/>
  <c r="L483" i="13" s="1"/>
  <c r="I483" i="13"/>
  <c r="J483" i="13" s="1"/>
  <c r="K475" i="13"/>
  <c r="L475" i="13" s="1"/>
  <c r="I475" i="13"/>
  <c r="K467" i="13"/>
  <c r="L467" i="13" s="1"/>
  <c r="I467" i="13"/>
  <c r="J467" i="13" s="1"/>
  <c r="K459" i="13"/>
  <c r="L459" i="13" s="1"/>
  <c r="I459" i="13"/>
  <c r="J459" i="13" s="1"/>
  <c r="K451" i="13"/>
  <c r="L451" i="13" s="1"/>
  <c r="I451" i="13"/>
  <c r="J451" i="13" s="1"/>
  <c r="K443" i="13"/>
  <c r="L443" i="13" s="1"/>
  <c r="I443" i="13"/>
  <c r="J443" i="13" s="1"/>
  <c r="K435" i="13"/>
  <c r="L435" i="13" s="1"/>
  <c r="I435" i="13"/>
  <c r="J435" i="13" s="1"/>
  <c r="K427" i="13"/>
  <c r="L427" i="13" s="1"/>
  <c r="I427" i="13"/>
  <c r="J427" i="13" s="1"/>
  <c r="K419" i="13"/>
  <c r="L419" i="13" s="1"/>
  <c r="I419" i="13"/>
  <c r="J419" i="13" s="1"/>
  <c r="K411" i="13"/>
  <c r="L411" i="13" s="1"/>
  <c r="I411" i="13"/>
  <c r="J411" i="13" s="1"/>
  <c r="K403" i="13"/>
  <c r="L403" i="13" s="1"/>
  <c r="I403" i="13"/>
  <c r="J403" i="13" s="1"/>
  <c r="K395" i="13"/>
  <c r="L395" i="13" s="1"/>
  <c r="I395" i="13"/>
  <c r="J395" i="13" s="1"/>
  <c r="K387" i="13"/>
  <c r="L387" i="13" s="1"/>
  <c r="I387" i="13"/>
  <c r="J387" i="13" s="1"/>
  <c r="K379" i="13"/>
  <c r="L379" i="13" s="1"/>
  <c r="I379" i="13"/>
  <c r="J379" i="13" s="1"/>
  <c r="K371" i="13"/>
  <c r="L371" i="13" s="1"/>
  <c r="I371" i="13"/>
  <c r="J371" i="13" s="1"/>
  <c r="K363" i="13"/>
  <c r="L363" i="13" s="1"/>
  <c r="I363" i="13"/>
  <c r="J363" i="13" s="1"/>
  <c r="K355" i="13"/>
  <c r="L355" i="13" s="1"/>
  <c r="I355" i="13"/>
  <c r="J355" i="13" s="1"/>
  <c r="K347" i="13"/>
  <c r="L347" i="13" s="1"/>
  <c r="I347" i="13"/>
  <c r="J347" i="13" s="1"/>
  <c r="K339" i="13"/>
  <c r="L339" i="13" s="1"/>
  <c r="I339" i="13"/>
  <c r="J339" i="13" s="1"/>
  <c r="M331" i="13"/>
  <c r="O331" i="13" s="1"/>
  <c r="K1168" i="13"/>
  <c r="L1168" i="13" s="1"/>
  <c r="K1269" i="13"/>
  <c r="L1269" i="13" s="1"/>
  <c r="I1269" i="13"/>
  <c r="J1269" i="13" s="1"/>
  <c r="K1213" i="13"/>
  <c r="L1213" i="13" s="1"/>
  <c r="I1213" i="13"/>
  <c r="J1213" i="13" s="1"/>
  <c r="K1157" i="13"/>
  <c r="L1157" i="13" s="1"/>
  <c r="I1157" i="13"/>
  <c r="J1157" i="13" s="1"/>
  <c r="K1101" i="13"/>
  <c r="L1101" i="13" s="1"/>
  <c r="I1101" i="13"/>
  <c r="J1101" i="13" s="1"/>
  <c r="K1045" i="13"/>
  <c r="L1045" i="13" s="1"/>
  <c r="I1045" i="13"/>
  <c r="J1045" i="13" s="1"/>
  <c r="K989" i="13"/>
  <c r="L989" i="13" s="1"/>
  <c r="I989" i="13"/>
  <c r="J989" i="13" s="1"/>
  <c r="K949" i="13"/>
  <c r="L949" i="13" s="1"/>
  <c r="I949" i="13"/>
  <c r="J949" i="13" s="1"/>
  <c r="K893" i="13"/>
  <c r="L893" i="13" s="1"/>
  <c r="I893" i="13"/>
  <c r="J893" i="13" s="1"/>
  <c r="K829" i="13"/>
  <c r="L829" i="13" s="1"/>
  <c r="I829" i="13"/>
  <c r="J829" i="13" s="1"/>
  <c r="K773" i="13"/>
  <c r="L773" i="13" s="1"/>
  <c r="I773" i="13"/>
  <c r="J773" i="13" s="1"/>
  <c r="K733" i="13"/>
  <c r="L733" i="13" s="1"/>
  <c r="I733" i="13"/>
  <c r="J733" i="13" s="1"/>
  <c r="K685" i="13"/>
  <c r="L685" i="13" s="1"/>
  <c r="I685" i="13"/>
  <c r="J685" i="13" s="1"/>
  <c r="K645" i="13"/>
  <c r="L645" i="13" s="1"/>
  <c r="I645" i="13"/>
  <c r="J645" i="13" s="1"/>
  <c r="K581" i="13"/>
  <c r="L581" i="13" s="1"/>
  <c r="I581" i="13"/>
  <c r="J581" i="13" s="1"/>
  <c r="K429" i="13"/>
  <c r="L429" i="13" s="1"/>
  <c r="I429" i="13"/>
  <c r="J429" i="13" s="1"/>
  <c r="R1298" i="13"/>
  <c r="Q1298" i="13"/>
  <c r="R1258" i="13"/>
  <c r="Q1258" i="13"/>
  <c r="R1210" i="13"/>
  <c r="Q1210" i="13"/>
  <c r="R1162" i="13"/>
  <c r="Q1162" i="13"/>
  <c r="R1114" i="13"/>
  <c r="Q1114" i="13"/>
  <c r="R1066" i="13"/>
  <c r="Q1066" i="13"/>
  <c r="R1026" i="13"/>
  <c r="Q1026" i="13"/>
  <c r="R986" i="13"/>
  <c r="Q986" i="13"/>
  <c r="R946" i="13"/>
  <c r="Q946" i="13"/>
  <c r="R914" i="13"/>
  <c r="Q914" i="13"/>
  <c r="R874" i="13"/>
  <c r="Q874" i="13"/>
  <c r="R842" i="13"/>
  <c r="Q842" i="13"/>
  <c r="R818" i="13"/>
  <c r="Q818" i="13"/>
  <c r="R810" i="13"/>
  <c r="Q810" i="13"/>
  <c r="R786" i="13"/>
  <c r="Q786" i="13"/>
  <c r="Q642" i="13"/>
  <c r="R642" i="13"/>
  <c r="R586" i="13"/>
  <c r="Q586" i="13"/>
  <c r="Q546" i="13"/>
  <c r="R546" i="13"/>
  <c r="Q482" i="13"/>
  <c r="R482" i="13"/>
  <c r="Q434" i="13"/>
  <c r="R434" i="13"/>
  <c r="Q386" i="13"/>
  <c r="R386" i="13"/>
  <c r="R338" i="13"/>
  <c r="Q338" i="13"/>
  <c r="R282" i="13"/>
  <c r="Q282" i="13"/>
  <c r="Q242" i="13"/>
  <c r="R242" i="13"/>
  <c r="Q194" i="13"/>
  <c r="R194" i="13"/>
  <c r="R154" i="13"/>
  <c r="Q154" i="13"/>
  <c r="Q114" i="13"/>
  <c r="R114" i="13"/>
  <c r="Q66" i="13"/>
  <c r="R66" i="13"/>
  <c r="R1297" i="13"/>
  <c r="Q1297" i="13"/>
  <c r="R1249" i="13"/>
  <c r="Q1249" i="13"/>
  <c r="R1296" i="13"/>
  <c r="Q1296" i="13"/>
  <c r="R1264" i="13"/>
  <c r="Q1264" i="13"/>
  <c r="R1216" i="13"/>
  <c r="Q1216" i="13"/>
  <c r="R1184" i="13"/>
  <c r="Q1184" i="13"/>
  <c r="R1160" i="13"/>
  <c r="Q1160" i="13"/>
  <c r="R1120" i="13"/>
  <c r="Q1120" i="13"/>
  <c r="R1080" i="13"/>
  <c r="Q1080" i="13"/>
  <c r="R1040" i="13"/>
  <c r="Q1040" i="13"/>
  <c r="R1008" i="13"/>
  <c r="Q1008" i="13"/>
  <c r="R960" i="13"/>
  <c r="Q960" i="13"/>
  <c r="R928" i="13"/>
  <c r="Q928" i="13"/>
  <c r="R896" i="13"/>
  <c r="Q896" i="13"/>
  <c r="R864" i="13"/>
  <c r="Q864" i="13"/>
  <c r="R824" i="13"/>
  <c r="Q824" i="13"/>
  <c r="R784" i="13"/>
  <c r="Q784" i="13"/>
  <c r="R744" i="13"/>
  <c r="Q744" i="13"/>
  <c r="R696" i="13"/>
  <c r="Q696" i="13"/>
  <c r="R656" i="13"/>
  <c r="Q656" i="13"/>
  <c r="R632" i="13"/>
  <c r="Q632" i="13"/>
  <c r="R608" i="13"/>
  <c r="Q608" i="13"/>
  <c r="R576" i="13"/>
  <c r="Q576" i="13"/>
  <c r="R552" i="13"/>
  <c r="Q552" i="13"/>
  <c r="R536" i="13"/>
  <c r="Q536" i="13"/>
  <c r="R520" i="13"/>
  <c r="Q520" i="13"/>
  <c r="R504" i="13"/>
  <c r="Q504" i="13"/>
  <c r="R488" i="13"/>
  <c r="Q488" i="13"/>
  <c r="R472" i="13"/>
  <c r="Q472" i="13"/>
  <c r="R456" i="13"/>
  <c r="Q456" i="13"/>
  <c r="R440" i="13"/>
  <c r="Q440" i="13"/>
  <c r="R424" i="13"/>
  <c r="Q424" i="13"/>
  <c r="R416" i="13"/>
  <c r="Q416" i="13"/>
  <c r="R408" i="13"/>
  <c r="Q408" i="13"/>
  <c r="R400" i="13"/>
  <c r="Q400" i="13"/>
  <c r="R392" i="13"/>
  <c r="Q392" i="13"/>
  <c r="R384" i="13"/>
  <c r="Q384" i="13"/>
  <c r="R376" i="13"/>
  <c r="Q376" i="13"/>
  <c r="R360" i="13"/>
  <c r="Q360" i="13"/>
  <c r="R352" i="13"/>
  <c r="Q352" i="13"/>
  <c r="R344" i="13"/>
  <c r="Q344" i="13"/>
  <c r="R336" i="13"/>
  <c r="Q336" i="13"/>
  <c r="R328" i="13"/>
  <c r="Q328" i="13"/>
  <c r="R320" i="13"/>
  <c r="Q320" i="13"/>
  <c r="R312" i="13"/>
  <c r="Q312" i="13"/>
  <c r="R304" i="13"/>
  <c r="Q304" i="13"/>
  <c r="R296" i="13"/>
  <c r="Q296" i="13"/>
  <c r="R288" i="13"/>
  <c r="Q288" i="13"/>
  <c r="R280" i="13"/>
  <c r="Q280" i="13"/>
  <c r="R272" i="13"/>
  <c r="Q272" i="13"/>
  <c r="R264" i="13"/>
  <c r="Q264" i="13"/>
  <c r="R256" i="13"/>
  <c r="Q256" i="13"/>
  <c r="R248" i="13"/>
  <c r="Q248" i="13"/>
  <c r="R240" i="13"/>
  <c r="Q240" i="13"/>
  <c r="R232" i="13"/>
  <c r="Q232" i="13"/>
  <c r="R224" i="13"/>
  <c r="Q224" i="13"/>
  <c r="R216" i="13"/>
  <c r="Q216" i="13"/>
  <c r="R208" i="13"/>
  <c r="Q208" i="13"/>
  <c r="R200" i="13"/>
  <c r="Q200" i="13"/>
  <c r="R192" i="13"/>
  <c r="Q192" i="13"/>
  <c r="R184" i="13"/>
  <c r="Q184" i="13"/>
  <c r="R176" i="13"/>
  <c r="Q176" i="13"/>
  <c r="R168" i="13"/>
  <c r="Q168" i="13"/>
  <c r="R160" i="13"/>
  <c r="Q160" i="13"/>
  <c r="R152" i="13"/>
  <c r="Q152" i="13"/>
  <c r="R144" i="13"/>
  <c r="Q144" i="13"/>
  <c r="R136" i="13"/>
  <c r="Q136" i="13"/>
  <c r="R128" i="13"/>
  <c r="Q128" i="13"/>
  <c r="R120" i="13"/>
  <c r="Q120" i="13"/>
  <c r="R112" i="13"/>
  <c r="Q112" i="13"/>
  <c r="R104" i="13"/>
  <c r="Q104" i="13"/>
  <c r="R96" i="13"/>
  <c r="Q96" i="13"/>
  <c r="R88" i="13"/>
  <c r="Q88" i="13"/>
  <c r="R80" i="13"/>
  <c r="Q80" i="13"/>
  <c r="R72" i="13"/>
  <c r="Q72" i="13"/>
  <c r="R64" i="13"/>
  <c r="Q64" i="13"/>
  <c r="R56" i="13"/>
  <c r="Q56" i="13"/>
  <c r="R48" i="13"/>
  <c r="Q48" i="13"/>
  <c r="R40" i="13"/>
  <c r="Q40" i="13"/>
  <c r="R32" i="13"/>
  <c r="Q32" i="13"/>
  <c r="R24" i="13"/>
  <c r="Q24" i="13"/>
  <c r="R16" i="13"/>
  <c r="Q16" i="13"/>
  <c r="R8" i="13"/>
  <c r="Q8" i="13"/>
  <c r="J1285" i="13"/>
  <c r="J1013" i="13"/>
  <c r="J1005" i="13"/>
  <c r="J965" i="13"/>
  <c r="J821" i="13"/>
  <c r="J701" i="13"/>
  <c r="K1306" i="13"/>
  <c r="L1306" i="13" s="1"/>
  <c r="I1306" i="13"/>
  <c r="J1306" i="13" s="1"/>
  <c r="K1298" i="13"/>
  <c r="L1298" i="13" s="1"/>
  <c r="I1298" i="13"/>
  <c r="J1298" i="13" s="1"/>
  <c r="K1290" i="13"/>
  <c r="L1290" i="13" s="1"/>
  <c r="I1290" i="13"/>
  <c r="J1290" i="13" s="1"/>
  <c r="K1282" i="13"/>
  <c r="L1282" i="13" s="1"/>
  <c r="I1282" i="13"/>
  <c r="J1282" i="13" s="1"/>
  <c r="K1274" i="13"/>
  <c r="L1274" i="13" s="1"/>
  <c r="I1274" i="13"/>
  <c r="J1274" i="13" s="1"/>
  <c r="K1266" i="13"/>
  <c r="L1266" i="13" s="1"/>
  <c r="I1266" i="13"/>
  <c r="J1266" i="13" s="1"/>
  <c r="K1258" i="13"/>
  <c r="L1258" i="13" s="1"/>
  <c r="I1258" i="13"/>
  <c r="J1258" i="13" s="1"/>
  <c r="K1250" i="13"/>
  <c r="L1250" i="13" s="1"/>
  <c r="I1250" i="13"/>
  <c r="J1250" i="13" s="1"/>
  <c r="K1242" i="13"/>
  <c r="L1242" i="13" s="1"/>
  <c r="I1242" i="13"/>
  <c r="J1242" i="13" s="1"/>
  <c r="K1234" i="13"/>
  <c r="L1234" i="13" s="1"/>
  <c r="I1234" i="13"/>
  <c r="J1234" i="13" s="1"/>
  <c r="K1226" i="13"/>
  <c r="L1226" i="13" s="1"/>
  <c r="I1226" i="13"/>
  <c r="J1226" i="13" s="1"/>
  <c r="K1218" i="13"/>
  <c r="L1218" i="13" s="1"/>
  <c r="I1218" i="13"/>
  <c r="J1218" i="13" s="1"/>
  <c r="K1210" i="13"/>
  <c r="L1210" i="13" s="1"/>
  <c r="I1210" i="13"/>
  <c r="J1210" i="13" s="1"/>
  <c r="K1202" i="13"/>
  <c r="L1202" i="13" s="1"/>
  <c r="I1202" i="13"/>
  <c r="J1202" i="13" s="1"/>
  <c r="K1194" i="13"/>
  <c r="L1194" i="13" s="1"/>
  <c r="I1194" i="13"/>
  <c r="J1194" i="13" s="1"/>
  <c r="K1186" i="13"/>
  <c r="L1186" i="13" s="1"/>
  <c r="I1186" i="13"/>
  <c r="J1186" i="13" s="1"/>
  <c r="K1178" i="13"/>
  <c r="L1178" i="13" s="1"/>
  <c r="I1178" i="13"/>
  <c r="J1178" i="13" s="1"/>
  <c r="K1170" i="13"/>
  <c r="L1170" i="13" s="1"/>
  <c r="I1170" i="13"/>
  <c r="J1170" i="13" s="1"/>
  <c r="K1162" i="13"/>
  <c r="L1162" i="13" s="1"/>
  <c r="I1162" i="13"/>
  <c r="J1162" i="13" s="1"/>
  <c r="K1154" i="13"/>
  <c r="L1154" i="13" s="1"/>
  <c r="I1154" i="13"/>
  <c r="J1154" i="13" s="1"/>
  <c r="K1146" i="13"/>
  <c r="L1146" i="13" s="1"/>
  <c r="I1146" i="13"/>
  <c r="J1146" i="13" s="1"/>
  <c r="K1138" i="13"/>
  <c r="L1138" i="13" s="1"/>
  <c r="I1138" i="13"/>
  <c r="J1138" i="13" s="1"/>
  <c r="K1130" i="13"/>
  <c r="L1130" i="13" s="1"/>
  <c r="I1130" i="13"/>
  <c r="J1130" i="13" s="1"/>
  <c r="K1122" i="13"/>
  <c r="L1122" i="13" s="1"/>
  <c r="I1122" i="13"/>
  <c r="K1114" i="13"/>
  <c r="L1114" i="13" s="1"/>
  <c r="I1114" i="13"/>
  <c r="J1114" i="13" s="1"/>
  <c r="K1106" i="13"/>
  <c r="L1106" i="13" s="1"/>
  <c r="I1106" i="13"/>
  <c r="J1106" i="13" s="1"/>
  <c r="K1098" i="13"/>
  <c r="L1098" i="13" s="1"/>
  <c r="I1098" i="13"/>
  <c r="J1098" i="13" s="1"/>
  <c r="K1090" i="13"/>
  <c r="L1090" i="13" s="1"/>
  <c r="I1090" i="13"/>
  <c r="J1090" i="13" s="1"/>
  <c r="K1082" i="13"/>
  <c r="L1082" i="13" s="1"/>
  <c r="I1082" i="13"/>
  <c r="J1082" i="13" s="1"/>
  <c r="K1074" i="13"/>
  <c r="L1074" i="13" s="1"/>
  <c r="I1074" i="13"/>
  <c r="J1074" i="13" s="1"/>
  <c r="K1066" i="13"/>
  <c r="L1066" i="13" s="1"/>
  <c r="I1066" i="13"/>
  <c r="J1066" i="13" s="1"/>
  <c r="K1058" i="13"/>
  <c r="L1058" i="13" s="1"/>
  <c r="I1058" i="13"/>
  <c r="K1050" i="13"/>
  <c r="L1050" i="13" s="1"/>
  <c r="I1050" i="13"/>
  <c r="J1050" i="13" s="1"/>
  <c r="K1042" i="13"/>
  <c r="L1042" i="13" s="1"/>
  <c r="I1042" i="13"/>
  <c r="J1042" i="13" s="1"/>
  <c r="K1034" i="13"/>
  <c r="L1034" i="13" s="1"/>
  <c r="I1034" i="13"/>
  <c r="K1026" i="13"/>
  <c r="L1026" i="13" s="1"/>
  <c r="I1026" i="13"/>
  <c r="J1026" i="13" s="1"/>
  <c r="K1018" i="13"/>
  <c r="L1018" i="13" s="1"/>
  <c r="I1018" i="13"/>
  <c r="J1018" i="13" s="1"/>
  <c r="K1010" i="13"/>
  <c r="L1010" i="13" s="1"/>
  <c r="I1010" i="13"/>
  <c r="J1010" i="13" s="1"/>
  <c r="K1002" i="13"/>
  <c r="L1002" i="13" s="1"/>
  <c r="I1002" i="13"/>
  <c r="J1002" i="13" s="1"/>
  <c r="K994" i="13"/>
  <c r="L994" i="13" s="1"/>
  <c r="I994" i="13"/>
  <c r="J994" i="13" s="1"/>
  <c r="K986" i="13"/>
  <c r="L986" i="13" s="1"/>
  <c r="I986" i="13"/>
  <c r="J986" i="13" s="1"/>
  <c r="K978" i="13"/>
  <c r="L978" i="13" s="1"/>
  <c r="I978" i="13"/>
  <c r="J978" i="13" s="1"/>
  <c r="K970" i="13"/>
  <c r="L970" i="13" s="1"/>
  <c r="I970" i="13"/>
  <c r="J970" i="13" s="1"/>
  <c r="K962" i="13"/>
  <c r="L962" i="13" s="1"/>
  <c r="I962" i="13"/>
  <c r="J962" i="13" s="1"/>
  <c r="K954" i="13"/>
  <c r="L954" i="13" s="1"/>
  <c r="I954" i="13"/>
  <c r="J954" i="13" s="1"/>
  <c r="K946" i="13"/>
  <c r="L946" i="13" s="1"/>
  <c r="I946" i="13"/>
  <c r="J946" i="13" s="1"/>
  <c r="K938" i="13"/>
  <c r="L938" i="13" s="1"/>
  <c r="I938" i="13"/>
  <c r="J938" i="13" s="1"/>
  <c r="K930" i="13"/>
  <c r="L930" i="13" s="1"/>
  <c r="I930" i="13"/>
  <c r="J930" i="13" s="1"/>
  <c r="K922" i="13"/>
  <c r="L922" i="13" s="1"/>
  <c r="I922" i="13"/>
  <c r="J922" i="13" s="1"/>
  <c r="K914" i="13"/>
  <c r="L914" i="13" s="1"/>
  <c r="I914" i="13"/>
  <c r="J914" i="13" s="1"/>
  <c r="K906" i="13"/>
  <c r="L906" i="13" s="1"/>
  <c r="I906" i="13"/>
  <c r="J906" i="13" s="1"/>
  <c r="K898" i="13"/>
  <c r="L898" i="13" s="1"/>
  <c r="I898" i="13"/>
  <c r="J898" i="13" s="1"/>
  <c r="K890" i="13"/>
  <c r="L890" i="13" s="1"/>
  <c r="I890" i="13"/>
  <c r="J890" i="13" s="1"/>
  <c r="K882" i="13"/>
  <c r="L882" i="13" s="1"/>
  <c r="I882" i="13"/>
  <c r="J882" i="13" s="1"/>
  <c r="K874" i="13"/>
  <c r="L874" i="13" s="1"/>
  <c r="I874" i="13"/>
  <c r="J874" i="13" s="1"/>
  <c r="K866" i="13"/>
  <c r="L866" i="13" s="1"/>
  <c r="I866" i="13"/>
  <c r="J866" i="13" s="1"/>
  <c r="K858" i="13"/>
  <c r="L858" i="13" s="1"/>
  <c r="I858" i="13"/>
  <c r="J858" i="13" s="1"/>
  <c r="K850" i="13"/>
  <c r="L850" i="13" s="1"/>
  <c r="I850" i="13"/>
  <c r="J850" i="13" s="1"/>
  <c r="K842" i="13"/>
  <c r="L842" i="13" s="1"/>
  <c r="I842" i="13"/>
  <c r="J842" i="13" s="1"/>
  <c r="K834" i="13"/>
  <c r="L834" i="13" s="1"/>
  <c r="I834" i="13"/>
  <c r="J834" i="13" s="1"/>
  <c r="K826" i="13"/>
  <c r="L826" i="13" s="1"/>
  <c r="I826" i="13"/>
  <c r="J826" i="13" s="1"/>
  <c r="K818" i="13"/>
  <c r="L818" i="13" s="1"/>
  <c r="I818" i="13"/>
  <c r="J818" i="13" s="1"/>
  <c r="K810" i="13"/>
  <c r="L810" i="13" s="1"/>
  <c r="I810" i="13"/>
  <c r="J810" i="13" s="1"/>
  <c r="K802" i="13"/>
  <c r="L802" i="13" s="1"/>
  <c r="I802" i="13"/>
  <c r="J802" i="13" s="1"/>
  <c r="K794" i="13"/>
  <c r="L794" i="13" s="1"/>
  <c r="I794" i="13"/>
  <c r="J794" i="13" s="1"/>
  <c r="K786" i="13"/>
  <c r="L786" i="13" s="1"/>
  <c r="I786" i="13"/>
  <c r="J786" i="13" s="1"/>
  <c r="K778" i="13"/>
  <c r="L778" i="13" s="1"/>
  <c r="I778" i="13"/>
  <c r="J778" i="13" s="1"/>
  <c r="K770" i="13"/>
  <c r="L770" i="13" s="1"/>
  <c r="I770" i="13"/>
  <c r="J770" i="13" s="1"/>
  <c r="K762" i="13"/>
  <c r="L762" i="13" s="1"/>
  <c r="I762" i="13"/>
  <c r="J762" i="13" s="1"/>
  <c r="K754" i="13"/>
  <c r="L754" i="13" s="1"/>
  <c r="I754" i="13"/>
  <c r="J754" i="13" s="1"/>
  <c r="K746" i="13"/>
  <c r="L746" i="13" s="1"/>
  <c r="I746" i="13"/>
  <c r="J746" i="13" s="1"/>
  <c r="K738" i="13"/>
  <c r="L738" i="13" s="1"/>
  <c r="I738" i="13"/>
  <c r="K730" i="13"/>
  <c r="L730" i="13" s="1"/>
  <c r="I730" i="13"/>
  <c r="J730" i="13" s="1"/>
  <c r="K722" i="13"/>
  <c r="L722" i="13" s="1"/>
  <c r="I722" i="13"/>
  <c r="J722" i="13" s="1"/>
  <c r="K714" i="13"/>
  <c r="L714" i="13" s="1"/>
  <c r="I714" i="13"/>
  <c r="J714" i="13" s="1"/>
  <c r="K706" i="13"/>
  <c r="L706" i="13" s="1"/>
  <c r="I706" i="13"/>
  <c r="J706" i="13" s="1"/>
  <c r="K698" i="13"/>
  <c r="L698" i="13" s="1"/>
  <c r="I698" i="13"/>
  <c r="J698" i="13" s="1"/>
  <c r="K690" i="13"/>
  <c r="L690" i="13" s="1"/>
  <c r="I690" i="13"/>
  <c r="J690" i="13" s="1"/>
  <c r="K682" i="13"/>
  <c r="L682" i="13" s="1"/>
  <c r="I682" i="13"/>
  <c r="J682" i="13" s="1"/>
  <c r="K674" i="13"/>
  <c r="L674" i="13" s="1"/>
  <c r="I674" i="13"/>
  <c r="J674" i="13" s="1"/>
  <c r="K666" i="13"/>
  <c r="L666" i="13" s="1"/>
  <c r="I666" i="13"/>
  <c r="K658" i="13"/>
  <c r="L658" i="13" s="1"/>
  <c r="I658" i="13"/>
  <c r="J658" i="13" s="1"/>
  <c r="K650" i="13"/>
  <c r="L650" i="13" s="1"/>
  <c r="I650" i="13"/>
  <c r="J650" i="13" s="1"/>
  <c r="K642" i="13"/>
  <c r="L642" i="13" s="1"/>
  <c r="I642" i="13"/>
  <c r="J642" i="13" s="1"/>
  <c r="K634" i="13"/>
  <c r="L634" i="13" s="1"/>
  <c r="I634" i="13"/>
  <c r="J634" i="13" s="1"/>
  <c r="K626" i="13"/>
  <c r="L626" i="13" s="1"/>
  <c r="I626" i="13"/>
  <c r="J626" i="13" s="1"/>
  <c r="K618" i="13"/>
  <c r="L618" i="13" s="1"/>
  <c r="I618" i="13"/>
  <c r="J618" i="13" s="1"/>
  <c r="K610" i="13"/>
  <c r="L610" i="13" s="1"/>
  <c r="I610" i="13"/>
  <c r="J610" i="13" s="1"/>
  <c r="K602" i="13"/>
  <c r="L602" i="13" s="1"/>
  <c r="I602" i="13"/>
  <c r="J602" i="13" s="1"/>
  <c r="K594" i="13"/>
  <c r="L594" i="13" s="1"/>
  <c r="I594" i="13"/>
  <c r="J594" i="13" s="1"/>
  <c r="K586" i="13"/>
  <c r="L586" i="13" s="1"/>
  <c r="I586" i="13"/>
  <c r="J586" i="13" s="1"/>
  <c r="K578" i="13"/>
  <c r="L578" i="13" s="1"/>
  <c r="I578" i="13"/>
  <c r="J578" i="13" s="1"/>
  <c r="K570" i="13"/>
  <c r="L570" i="13" s="1"/>
  <c r="I570" i="13"/>
  <c r="J570" i="13" s="1"/>
  <c r="K562" i="13"/>
  <c r="L562" i="13" s="1"/>
  <c r="I562" i="13"/>
  <c r="J562" i="13" s="1"/>
  <c r="K554" i="13"/>
  <c r="L554" i="13" s="1"/>
  <c r="I554" i="13"/>
  <c r="J554" i="13" s="1"/>
  <c r="K546" i="13"/>
  <c r="L546" i="13" s="1"/>
  <c r="I546" i="13"/>
  <c r="J546" i="13" s="1"/>
  <c r="K538" i="13"/>
  <c r="L538" i="13" s="1"/>
  <c r="I538" i="13"/>
  <c r="J538" i="13" s="1"/>
  <c r="K530" i="13"/>
  <c r="L530" i="13" s="1"/>
  <c r="I530" i="13"/>
  <c r="J530" i="13" s="1"/>
  <c r="K522" i="13"/>
  <c r="L522" i="13" s="1"/>
  <c r="I522" i="13"/>
  <c r="J522" i="13" s="1"/>
  <c r="K514" i="13"/>
  <c r="L514" i="13" s="1"/>
  <c r="I514" i="13"/>
  <c r="J514" i="13" s="1"/>
  <c r="K506" i="13"/>
  <c r="L506" i="13" s="1"/>
  <c r="I506" i="13"/>
  <c r="J506" i="13" s="1"/>
  <c r="K498" i="13"/>
  <c r="L498" i="13" s="1"/>
  <c r="I498" i="13"/>
  <c r="J498" i="13" s="1"/>
  <c r="K490" i="13"/>
  <c r="L490" i="13" s="1"/>
  <c r="I490" i="13"/>
  <c r="K482" i="13"/>
  <c r="L482" i="13" s="1"/>
  <c r="I482" i="13"/>
  <c r="K474" i="13"/>
  <c r="L474" i="13" s="1"/>
  <c r="I474" i="13"/>
  <c r="J474" i="13" s="1"/>
  <c r="K466" i="13"/>
  <c r="L466" i="13" s="1"/>
  <c r="I466" i="13"/>
  <c r="J466" i="13" s="1"/>
  <c r="K458" i="13"/>
  <c r="L458" i="13" s="1"/>
  <c r="I458" i="13"/>
  <c r="J458" i="13" s="1"/>
  <c r="K450" i="13"/>
  <c r="L450" i="13" s="1"/>
  <c r="I450" i="13"/>
  <c r="J450" i="13" s="1"/>
  <c r="K442" i="13"/>
  <c r="L442" i="13" s="1"/>
  <c r="I442" i="13"/>
  <c r="J442" i="13" s="1"/>
  <c r="K434" i="13"/>
  <c r="L434" i="13" s="1"/>
  <c r="I434" i="13"/>
  <c r="J434" i="13" s="1"/>
  <c r="K426" i="13"/>
  <c r="L426" i="13" s="1"/>
  <c r="I426" i="13"/>
  <c r="J426" i="13" s="1"/>
  <c r="K418" i="13"/>
  <c r="L418" i="13" s="1"/>
  <c r="I418" i="13"/>
  <c r="J418" i="13" s="1"/>
  <c r="K410" i="13"/>
  <c r="L410" i="13" s="1"/>
  <c r="I410" i="13"/>
  <c r="K402" i="13"/>
  <c r="L402" i="13" s="1"/>
  <c r="I402" i="13"/>
  <c r="J402" i="13" s="1"/>
  <c r="K394" i="13"/>
  <c r="L394" i="13" s="1"/>
  <c r="I394" i="13"/>
  <c r="J394" i="13" s="1"/>
  <c r="K386" i="13"/>
  <c r="L386" i="13" s="1"/>
  <c r="I386" i="13"/>
  <c r="J386" i="13" s="1"/>
  <c r="K378" i="13"/>
  <c r="L378" i="13" s="1"/>
  <c r="I378" i="13"/>
  <c r="J378" i="13" s="1"/>
  <c r="K370" i="13"/>
  <c r="L370" i="13" s="1"/>
  <c r="I370" i="13"/>
  <c r="J370" i="13" s="1"/>
  <c r="K362" i="13"/>
  <c r="L362" i="13" s="1"/>
  <c r="I362" i="13"/>
  <c r="J362" i="13" s="1"/>
  <c r="K354" i="13"/>
  <c r="L354" i="13" s="1"/>
  <c r="I354" i="13"/>
  <c r="K346" i="13"/>
  <c r="L346" i="13" s="1"/>
  <c r="I346" i="13"/>
  <c r="J346" i="13" s="1"/>
  <c r="K338" i="13"/>
  <c r="L338" i="13" s="1"/>
  <c r="I338" i="13"/>
  <c r="J338" i="13" s="1"/>
  <c r="K330" i="13"/>
  <c r="L330" i="13" s="1"/>
  <c r="I330" i="13"/>
  <c r="K1104" i="13"/>
  <c r="L1104" i="13" s="1"/>
  <c r="K1277" i="13"/>
  <c r="L1277" i="13" s="1"/>
  <c r="I1277" i="13"/>
  <c r="J1277" i="13" s="1"/>
  <c r="K1221" i="13"/>
  <c r="L1221" i="13" s="1"/>
  <c r="I1221" i="13"/>
  <c r="J1221" i="13" s="1"/>
  <c r="K1165" i="13"/>
  <c r="L1165" i="13" s="1"/>
  <c r="I1165" i="13"/>
  <c r="J1165" i="13" s="1"/>
  <c r="K1117" i="13"/>
  <c r="L1117" i="13" s="1"/>
  <c r="I1117" i="13"/>
  <c r="J1117" i="13" s="1"/>
  <c r="K1069" i="13"/>
  <c r="L1069" i="13" s="1"/>
  <c r="I1069" i="13"/>
  <c r="J1069" i="13" s="1"/>
  <c r="K1029" i="13"/>
  <c r="L1029" i="13" s="1"/>
  <c r="I1029" i="13"/>
  <c r="J1029" i="13" s="1"/>
  <c r="K973" i="13"/>
  <c r="L973" i="13" s="1"/>
  <c r="I973" i="13"/>
  <c r="J973" i="13" s="1"/>
  <c r="K917" i="13"/>
  <c r="L917" i="13" s="1"/>
  <c r="I917" i="13"/>
  <c r="J917" i="13" s="1"/>
  <c r="K861" i="13"/>
  <c r="L861" i="13" s="1"/>
  <c r="I861" i="13"/>
  <c r="J861" i="13" s="1"/>
  <c r="K813" i="13"/>
  <c r="L813" i="13" s="1"/>
  <c r="I813" i="13"/>
  <c r="J813" i="13" s="1"/>
  <c r="K757" i="13"/>
  <c r="L757" i="13" s="1"/>
  <c r="I757" i="13"/>
  <c r="J757" i="13" s="1"/>
  <c r="K709" i="13"/>
  <c r="L709" i="13" s="1"/>
  <c r="I709" i="13"/>
  <c r="J709" i="13" s="1"/>
  <c r="K653" i="13"/>
  <c r="L653" i="13" s="1"/>
  <c r="I653" i="13"/>
  <c r="J653" i="13" s="1"/>
  <c r="K621" i="13"/>
  <c r="L621" i="13" s="1"/>
  <c r="I621" i="13"/>
  <c r="J621" i="13" s="1"/>
  <c r="K597" i="13"/>
  <c r="L597" i="13" s="1"/>
  <c r="I597" i="13"/>
  <c r="J597" i="13" s="1"/>
  <c r="K565" i="13"/>
  <c r="L565" i="13" s="1"/>
  <c r="I565" i="13"/>
  <c r="J565" i="13" s="1"/>
  <c r="K541" i="13"/>
  <c r="L541" i="13" s="1"/>
  <c r="I541" i="13"/>
  <c r="J541" i="13" s="1"/>
  <c r="K525" i="13"/>
  <c r="L525" i="13" s="1"/>
  <c r="I525" i="13"/>
  <c r="J525" i="13" s="1"/>
  <c r="K389" i="13"/>
  <c r="L389" i="13" s="1"/>
  <c r="I389" i="13"/>
  <c r="J389" i="13" s="1"/>
  <c r="R1274" i="13"/>
  <c r="Q1274" i="13"/>
  <c r="R1234" i="13"/>
  <c r="Q1234" i="13"/>
  <c r="R1186" i="13"/>
  <c r="Q1186" i="13"/>
  <c r="R1138" i="13"/>
  <c r="Q1138" i="13"/>
  <c r="R1074" i="13"/>
  <c r="Q1074" i="13"/>
  <c r="R1018" i="13"/>
  <c r="Q1018" i="13"/>
  <c r="R970" i="13"/>
  <c r="Q970" i="13"/>
  <c r="R938" i="13"/>
  <c r="Q938" i="13"/>
  <c r="R898" i="13"/>
  <c r="Q898" i="13"/>
  <c r="R866" i="13"/>
  <c r="Q866" i="13"/>
  <c r="R826" i="13"/>
  <c r="Q826" i="13"/>
  <c r="R794" i="13"/>
  <c r="Q794" i="13"/>
  <c r="R658" i="13"/>
  <c r="Q658" i="13"/>
  <c r="Q626" i="13"/>
  <c r="R626" i="13"/>
  <c r="R602" i="13"/>
  <c r="Q602" i="13"/>
  <c r="Q562" i="13"/>
  <c r="R562" i="13"/>
  <c r="R522" i="13"/>
  <c r="Q522" i="13"/>
  <c r="Q490" i="13"/>
  <c r="R490" i="13"/>
  <c r="R458" i="13"/>
  <c r="Q458" i="13"/>
  <c r="Q426" i="13"/>
  <c r="R426" i="13"/>
  <c r="R402" i="13"/>
  <c r="Q402" i="13"/>
  <c r="Q370" i="13"/>
  <c r="R370" i="13"/>
  <c r="R330" i="13"/>
  <c r="Q330" i="13"/>
  <c r="Q306" i="13"/>
  <c r="R306" i="13"/>
  <c r="Q250" i="13"/>
  <c r="R250" i="13"/>
  <c r="R210" i="13"/>
  <c r="Q210" i="13"/>
  <c r="Q178" i="13"/>
  <c r="R178" i="13"/>
  <c r="R138" i="13"/>
  <c r="Q138" i="13"/>
  <c r="Q106" i="13"/>
  <c r="R106" i="13"/>
  <c r="R74" i="13"/>
  <c r="Q74" i="13"/>
  <c r="Q34" i="13"/>
  <c r="R34" i="13"/>
  <c r="R18" i="13"/>
  <c r="Q18" i="13"/>
  <c r="R1289" i="13"/>
  <c r="Q1289" i="13"/>
  <c r="R1225" i="13"/>
  <c r="Q1225" i="13"/>
  <c r="R1288" i="13"/>
  <c r="Q1288" i="13"/>
  <c r="R1256" i="13"/>
  <c r="Q1256" i="13"/>
  <c r="R1240" i="13"/>
  <c r="Q1240" i="13"/>
  <c r="R1200" i="13"/>
  <c r="Q1200" i="13"/>
  <c r="R1168" i="13"/>
  <c r="Q1168" i="13"/>
  <c r="R1136" i="13"/>
  <c r="Q1136" i="13"/>
  <c r="R1112" i="13"/>
  <c r="Q1112" i="13"/>
  <c r="R1088" i="13"/>
  <c r="Q1088" i="13"/>
  <c r="R1056" i="13"/>
  <c r="Q1056" i="13"/>
  <c r="R1024" i="13"/>
  <c r="Q1024" i="13"/>
  <c r="R984" i="13"/>
  <c r="Q984" i="13"/>
  <c r="R968" i="13"/>
  <c r="Q968" i="13"/>
  <c r="R936" i="13"/>
  <c r="Q936" i="13"/>
  <c r="R904" i="13"/>
  <c r="Q904" i="13"/>
  <c r="R872" i="13"/>
  <c r="Q872" i="13"/>
  <c r="R848" i="13"/>
  <c r="Q848" i="13"/>
  <c r="R816" i="13"/>
  <c r="Q816" i="13"/>
  <c r="R792" i="13"/>
  <c r="Q792" i="13"/>
  <c r="R760" i="13"/>
  <c r="Q760" i="13"/>
  <c r="R728" i="13"/>
  <c r="Q728" i="13"/>
  <c r="R712" i="13"/>
  <c r="Q712" i="13"/>
  <c r="R688" i="13"/>
  <c r="Q688" i="13"/>
  <c r="R664" i="13"/>
  <c r="Q664" i="13"/>
  <c r="R640" i="13"/>
  <c r="Q640" i="13"/>
  <c r="R616" i="13"/>
  <c r="Q616" i="13"/>
  <c r="R600" i="13"/>
  <c r="Q600" i="13"/>
  <c r="R584" i="13"/>
  <c r="Q584" i="13"/>
  <c r="R568" i="13"/>
  <c r="Q568" i="13"/>
  <c r="R544" i="13"/>
  <c r="Q544" i="13"/>
  <c r="R528" i="13"/>
  <c r="Q528" i="13"/>
  <c r="R512" i="13"/>
  <c r="Q512" i="13"/>
  <c r="R496" i="13"/>
  <c r="Q496" i="13"/>
  <c r="R480" i="13"/>
  <c r="Q480" i="13"/>
  <c r="R464" i="13"/>
  <c r="Q464" i="13"/>
  <c r="R432" i="13"/>
  <c r="Q432" i="13"/>
  <c r="R368" i="13"/>
  <c r="Q368" i="13"/>
  <c r="R1311" i="13"/>
  <c r="Q1311" i="13"/>
  <c r="R1303" i="13"/>
  <c r="Q1303" i="13"/>
  <c r="R1295" i="13"/>
  <c r="Q1295" i="13"/>
  <c r="R1287" i="13"/>
  <c r="Q1287" i="13"/>
  <c r="R1279" i="13"/>
  <c r="Q1279" i="13"/>
  <c r="R1271" i="13"/>
  <c r="Q1271" i="13"/>
  <c r="R1263" i="13"/>
  <c r="Q1263" i="13"/>
  <c r="R1255" i="13"/>
  <c r="Q1255" i="13"/>
  <c r="R1247" i="13"/>
  <c r="Q1247" i="13"/>
  <c r="R1239" i="13"/>
  <c r="Q1239" i="13"/>
  <c r="R1231" i="13"/>
  <c r="Q1231" i="13"/>
  <c r="R1223" i="13"/>
  <c r="Q1223" i="13"/>
  <c r="R1215" i="13"/>
  <c r="Q1215" i="13"/>
  <c r="R1207" i="13"/>
  <c r="Q1207" i="13"/>
  <c r="R1199" i="13"/>
  <c r="Q1199" i="13"/>
  <c r="R1191" i="13"/>
  <c r="Q1191" i="13"/>
  <c r="R1183" i="13"/>
  <c r="Q1183" i="13"/>
  <c r="R1175" i="13"/>
  <c r="Q1175" i="13"/>
  <c r="R1167" i="13"/>
  <c r="Q1167" i="13"/>
  <c r="R1159" i="13"/>
  <c r="Q1159" i="13"/>
  <c r="R1151" i="13"/>
  <c r="Q1151" i="13"/>
  <c r="R1143" i="13"/>
  <c r="Q1143" i="13"/>
  <c r="R1135" i="13"/>
  <c r="Q1135" i="13"/>
  <c r="R1127" i="13"/>
  <c r="Q1127" i="13"/>
  <c r="R1119" i="13"/>
  <c r="Q1119" i="13"/>
  <c r="R1111" i="13"/>
  <c r="Q1111" i="13"/>
  <c r="R1103" i="13"/>
  <c r="Q1103" i="13"/>
  <c r="R1095" i="13"/>
  <c r="Q1095" i="13"/>
  <c r="R1087" i="13"/>
  <c r="Q1087" i="13"/>
  <c r="R1079" i="13"/>
  <c r="Q1079" i="13"/>
  <c r="R1071" i="13"/>
  <c r="Q1071" i="13"/>
  <c r="R1063" i="13"/>
  <c r="Q1063" i="13"/>
  <c r="R1055" i="13"/>
  <c r="Q1055" i="13"/>
  <c r="R1047" i="13"/>
  <c r="Q1047" i="13"/>
  <c r="R1039" i="13"/>
  <c r="Q1039" i="13"/>
  <c r="R1031" i="13"/>
  <c r="Q1031" i="13"/>
  <c r="R1023" i="13"/>
  <c r="Q1023" i="13"/>
  <c r="R1015" i="13"/>
  <c r="Q1015" i="13"/>
  <c r="R1007" i="13"/>
  <c r="Q1007" i="13"/>
  <c r="R999" i="13"/>
  <c r="Q999" i="13"/>
  <c r="R991" i="13"/>
  <c r="Q991" i="13"/>
  <c r="R983" i="13"/>
  <c r="Q983" i="13"/>
  <c r="R975" i="13"/>
  <c r="Q975" i="13"/>
  <c r="R967" i="13"/>
  <c r="Q967" i="13"/>
  <c r="R959" i="13"/>
  <c r="Q959" i="13"/>
  <c r="R951" i="13"/>
  <c r="Q951" i="13"/>
  <c r="R943" i="13"/>
  <c r="Q943" i="13"/>
  <c r="R935" i="13"/>
  <c r="Q935" i="13"/>
  <c r="R927" i="13"/>
  <c r="Q927" i="13"/>
  <c r="R919" i="13"/>
  <c r="Q919" i="13"/>
  <c r="R911" i="13"/>
  <c r="Q911" i="13"/>
  <c r="R903" i="13"/>
  <c r="Q903" i="13"/>
  <c r="R895" i="13"/>
  <c r="Q895" i="13"/>
  <c r="R887" i="13"/>
  <c r="Q887" i="13"/>
  <c r="R879" i="13"/>
  <c r="Q879" i="13"/>
  <c r="R871" i="13"/>
  <c r="Q871" i="13"/>
  <c r="R863" i="13"/>
  <c r="Q863" i="13"/>
  <c r="R855" i="13"/>
  <c r="Q855" i="13"/>
  <c r="R847" i="13"/>
  <c r="Q847" i="13"/>
  <c r="R839" i="13"/>
  <c r="Q839" i="13"/>
  <c r="R831" i="13"/>
  <c r="Q831" i="13"/>
  <c r="R823" i="13"/>
  <c r="Q823" i="13"/>
  <c r="R815" i="13"/>
  <c r="Q815" i="13"/>
  <c r="R807" i="13"/>
  <c r="Q807" i="13"/>
  <c r="R799" i="13"/>
  <c r="Q799" i="13"/>
  <c r="R791" i="13"/>
  <c r="Q791" i="13"/>
  <c r="R783" i="13"/>
  <c r="Q783" i="13"/>
  <c r="R775" i="13"/>
  <c r="Q775" i="13"/>
  <c r="R767" i="13"/>
  <c r="Q767" i="13"/>
  <c r="R759" i="13"/>
  <c r="Q759" i="13"/>
  <c r="R751" i="13"/>
  <c r="Q751" i="13"/>
  <c r="R743" i="13"/>
  <c r="Q743" i="13"/>
  <c r="R735" i="13"/>
  <c r="Q735" i="13"/>
  <c r="R727" i="13"/>
  <c r="Q727" i="13"/>
  <c r="R719" i="13"/>
  <c r="Q719" i="13"/>
  <c r="R711" i="13"/>
  <c r="Q711" i="13"/>
  <c r="R703" i="13"/>
  <c r="Q703" i="13"/>
  <c r="R695" i="13"/>
  <c r="Q695" i="13"/>
  <c r="R687" i="13"/>
  <c r="Q687" i="13"/>
  <c r="R679" i="13"/>
  <c r="Q679" i="13"/>
  <c r="R671" i="13"/>
  <c r="Q671" i="13"/>
  <c r="R663" i="13"/>
  <c r="Q663" i="13"/>
  <c r="R655" i="13"/>
  <c r="Q655" i="13"/>
  <c r="R647" i="13"/>
  <c r="Q647" i="13"/>
  <c r="R639" i="13"/>
  <c r="Q639" i="13"/>
  <c r="R631" i="13"/>
  <c r="Q631" i="13"/>
  <c r="R623" i="13"/>
  <c r="Q623" i="13"/>
  <c r="R615" i="13"/>
  <c r="Q615" i="13"/>
  <c r="R607" i="13"/>
  <c r="Q607" i="13"/>
  <c r="R599" i="13"/>
  <c r="Q599" i="13"/>
  <c r="R591" i="13"/>
  <c r="Q591" i="13"/>
  <c r="R583" i="13"/>
  <c r="Q583" i="13"/>
  <c r="R575" i="13"/>
  <c r="Q575" i="13"/>
  <c r="R567" i="13"/>
  <c r="Q567" i="13"/>
  <c r="R559" i="13"/>
  <c r="Q559" i="13"/>
  <c r="R551" i="13"/>
  <c r="Q551" i="13"/>
  <c r="R543" i="13"/>
  <c r="Q543" i="13"/>
  <c r="R535" i="13"/>
  <c r="Q535" i="13"/>
  <c r="R527" i="13"/>
  <c r="Q527" i="13"/>
  <c r="R519" i="13"/>
  <c r="Q519" i="13"/>
  <c r="R511" i="13"/>
  <c r="Q511" i="13"/>
  <c r="R503" i="13"/>
  <c r="Q503" i="13"/>
  <c r="R495" i="13"/>
  <c r="Q495" i="13"/>
  <c r="R487" i="13"/>
  <c r="Q487" i="13"/>
  <c r="R479" i="13"/>
  <c r="Q479" i="13"/>
  <c r="R471" i="13"/>
  <c r="Q471" i="13"/>
  <c r="R463" i="13"/>
  <c r="Q463" i="13"/>
  <c r="R455" i="13"/>
  <c r="Q455" i="13"/>
  <c r="R447" i="13"/>
  <c r="Q447" i="13"/>
  <c r="R439" i="13"/>
  <c r="Q439" i="13"/>
  <c r="R431" i="13"/>
  <c r="Q431" i="13"/>
  <c r="R423" i="13"/>
  <c r="Q423" i="13"/>
  <c r="R415" i="13"/>
  <c r="Q415" i="13"/>
  <c r="R407" i="13"/>
  <c r="Q407" i="13"/>
  <c r="R399" i="13"/>
  <c r="Q399" i="13"/>
  <c r="R391" i="13"/>
  <c r="Q391" i="13"/>
  <c r="R383" i="13"/>
  <c r="Q383" i="13"/>
  <c r="R375" i="13"/>
  <c r="Q375" i="13"/>
  <c r="R367" i="13"/>
  <c r="Q367" i="13"/>
  <c r="R359" i="13"/>
  <c r="Q359" i="13"/>
  <c r="R351" i="13"/>
  <c r="Q351" i="13"/>
  <c r="R343" i="13"/>
  <c r="Q343" i="13"/>
  <c r="R335" i="13"/>
  <c r="Q335" i="13"/>
  <c r="R327" i="13"/>
  <c r="Q327" i="13"/>
  <c r="R319" i="13"/>
  <c r="Q319" i="13"/>
  <c r="R311" i="13"/>
  <c r="Q311" i="13"/>
  <c r="R303" i="13"/>
  <c r="Q303" i="13"/>
  <c r="R295" i="13"/>
  <c r="Q295" i="13"/>
  <c r="R287" i="13"/>
  <c r="Q287" i="13"/>
  <c r="R279" i="13"/>
  <c r="Q279" i="13"/>
  <c r="R271" i="13"/>
  <c r="Q271" i="13"/>
  <c r="R263" i="13"/>
  <c r="Q263" i="13"/>
  <c r="R255" i="13"/>
  <c r="Q255" i="13"/>
  <c r="R247" i="13"/>
  <c r="Q247" i="13"/>
  <c r="R239" i="13"/>
  <c r="Q239" i="13"/>
  <c r="R231" i="13"/>
  <c r="Q231" i="13"/>
  <c r="R223" i="13"/>
  <c r="Q223" i="13"/>
  <c r="R215" i="13"/>
  <c r="Q215" i="13"/>
  <c r="R207" i="13"/>
  <c r="Q207" i="13"/>
  <c r="R199" i="13"/>
  <c r="Q199" i="13"/>
  <c r="R191" i="13"/>
  <c r="Q191" i="13"/>
  <c r="R183" i="13"/>
  <c r="Q183" i="13"/>
  <c r="R175" i="13"/>
  <c r="Q175" i="13"/>
  <c r="R167" i="13"/>
  <c r="Q167" i="13"/>
  <c r="R159" i="13"/>
  <c r="Q159" i="13"/>
  <c r="R151" i="13"/>
  <c r="Q151" i="13"/>
  <c r="R143" i="13"/>
  <c r="Q143" i="13"/>
  <c r="R135" i="13"/>
  <c r="Q135" i="13"/>
  <c r="R127" i="13"/>
  <c r="Q127" i="13"/>
  <c r="R119" i="13"/>
  <c r="Q119" i="13"/>
  <c r="R111" i="13"/>
  <c r="Q111" i="13"/>
  <c r="R103" i="13"/>
  <c r="Q103" i="13"/>
  <c r="R95" i="13"/>
  <c r="Q95" i="13"/>
  <c r="R87" i="13"/>
  <c r="Q87" i="13"/>
  <c r="R79" i="13"/>
  <c r="Q79" i="13"/>
  <c r="R71" i="13"/>
  <c r="Q71" i="13"/>
  <c r="R63" i="13"/>
  <c r="Q63" i="13"/>
  <c r="R55" i="13"/>
  <c r="Q55" i="13"/>
  <c r="R47" i="13"/>
  <c r="Q47" i="13"/>
  <c r="R39" i="13"/>
  <c r="Q39" i="13"/>
  <c r="R31" i="13"/>
  <c r="Q31" i="13"/>
  <c r="R23" i="13"/>
  <c r="Q23" i="13"/>
  <c r="R15" i="13"/>
  <c r="Q15" i="13"/>
  <c r="R7" i="13"/>
  <c r="Q7" i="13"/>
  <c r="J1244" i="13"/>
  <c r="J1196" i="13"/>
  <c r="J1108" i="13"/>
  <c r="J1004" i="13"/>
  <c r="J908" i="13"/>
  <c r="J868" i="13"/>
  <c r="J860" i="13"/>
  <c r="J724" i="13"/>
  <c r="J668" i="13"/>
  <c r="J572" i="13"/>
  <c r="J524" i="13"/>
  <c r="J508" i="13"/>
  <c r="J484" i="13"/>
  <c r="J428" i="13"/>
  <c r="J100" i="13"/>
  <c r="K1305" i="13"/>
  <c r="L1305" i="13" s="1"/>
  <c r="I1305" i="13"/>
  <c r="J1305" i="13" s="1"/>
  <c r="K1297" i="13"/>
  <c r="L1297" i="13" s="1"/>
  <c r="I1297" i="13"/>
  <c r="J1297" i="13" s="1"/>
  <c r="K1289" i="13"/>
  <c r="L1289" i="13" s="1"/>
  <c r="I1289" i="13"/>
  <c r="J1289" i="13" s="1"/>
  <c r="K1281" i="13"/>
  <c r="L1281" i="13" s="1"/>
  <c r="I1281" i="13"/>
  <c r="J1281" i="13" s="1"/>
  <c r="K1273" i="13"/>
  <c r="L1273" i="13" s="1"/>
  <c r="I1273" i="13"/>
  <c r="J1273" i="13" s="1"/>
  <c r="K1265" i="13"/>
  <c r="L1265" i="13" s="1"/>
  <c r="I1265" i="13"/>
  <c r="J1265" i="13" s="1"/>
  <c r="K1257" i="13"/>
  <c r="L1257" i="13" s="1"/>
  <c r="I1257" i="13"/>
  <c r="J1257" i="13" s="1"/>
  <c r="K1249" i="13"/>
  <c r="L1249" i="13" s="1"/>
  <c r="I1249" i="13"/>
  <c r="J1249" i="13" s="1"/>
  <c r="K1241" i="13"/>
  <c r="L1241" i="13" s="1"/>
  <c r="I1241" i="13"/>
  <c r="J1241" i="13" s="1"/>
  <c r="K1233" i="13"/>
  <c r="L1233" i="13" s="1"/>
  <c r="I1233" i="13"/>
  <c r="J1233" i="13" s="1"/>
  <c r="K1225" i="13"/>
  <c r="L1225" i="13" s="1"/>
  <c r="I1225" i="13"/>
  <c r="J1225" i="13" s="1"/>
  <c r="K1217" i="13"/>
  <c r="L1217" i="13" s="1"/>
  <c r="I1217" i="13"/>
  <c r="J1217" i="13" s="1"/>
  <c r="K1209" i="13"/>
  <c r="L1209" i="13" s="1"/>
  <c r="I1209" i="13"/>
  <c r="J1209" i="13" s="1"/>
  <c r="K1201" i="13"/>
  <c r="L1201" i="13" s="1"/>
  <c r="I1201" i="13"/>
  <c r="J1201" i="13" s="1"/>
  <c r="K1193" i="13"/>
  <c r="L1193" i="13" s="1"/>
  <c r="I1193" i="13"/>
  <c r="J1193" i="13" s="1"/>
  <c r="K1185" i="13"/>
  <c r="L1185" i="13" s="1"/>
  <c r="I1185" i="13"/>
  <c r="J1185" i="13" s="1"/>
  <c r="K1177" i="13"/>
  <c r="L1177" i="13" s="1"/>
  <c r="I1177" i="13"/>
  <c r="J1177" i="13" s="1"/>
  <c r="K1169" i="13"/>
  <c r="L1169" i="13" s="1"/>
  <c r="I1169" i="13"/>
  <c r="J1169" i="13" s="1"/>
  <c r="K1161" i="13"/>
  <c r="L1161" i="13" s="1"/>
  <c r="I1161" i="13"/>
  <c r="J1161" i="13" s="1"/>
  <c r="K1153" i="13"/>
  <c r="L1153" i="13" s="1"/>
  <c r="I1153" i="13"/>
  <c r="J1153" i="13" s="1"/>
  <c r="K1145" i="13"/>
  <c r="L1145" i="13" s="1"/>
  <c r="I1145" i="13"/>
  <c r="J1145" i="13" s="1"/>
  <c r="K1137" i="13"/>
  <c r="L1137" i="13" s="1"/>
  <c r="I1137" i="13"/>
  <c r="J1137" i="13" s="1"/>
  <c r="K1129" i="13"/>
  <c r="L1129" i="13" s="1"/>
  <c r="I1129" i="13"/>
  <c r="J1129" i="13" s="1"/>
  <c r="K1121" i="13"/>
  <c r="L1121" i="13" s="1"/>
  <c r="I1121" i="13"/>
  <c r="J1121" i="13" s="1"/>
  <c r="K1113" i="13"/>
  <c r="L1113" i="13" s="1"/>
  <c r="I1113" i="13"/>
  <c r="J1113" i="13" s="1"/>
  <c r="K1105" i="13"/>
  <c r="L1105" i="13" s="1"/>
  <c r="I1105" i="13"/>
  <c r="J1105" i="13" s="1"/>
  <c r="K1097" i="13"/>
  <c r="L1097" i="13" s="1"/>
  <c r="I1097" i="13"/>
  <c r="J1097" i="13" s="1"/>
  <c r="K1089" i="13"/>
  <c r="L1089" i="13" s="1"/>
  <c r="I1089" i="13"/>
  <c r="J1089" i="13" s="1"/>
  <c r="K1081" i="13"/>
  <c r="L1081" i="13" s="1"/>
  <c r="I1081" i="13"/>
  <c r="J1081" i="13" s="1"/>
  <c r="K1073" i="13"/>
  <c r="L1073" i="13" s="1"/>
  <c r="I1073" i="13"/>
  <c r="J1073" i="13" s="1"/>
  <c r="K1065" i="13"/>
  <c r="L1065" i="13" s="1"/>
  <c r="I1065" i="13"/>
  <c r="J1065" i="13" s="1"/>
  <c r="K1057" i="13"/>
  <c r="L1057" i="13" s="1"/>
  <c r="I1057" i="13"/>
  <c r="J1057" i="13" s="1"/>
  <c r="K1049" i="13"/>
  <c r="L1049" i="13" s="1"/>
  <c r="I1049" i="13"/>
  <c r="J1049" i="13" s="1"/>
  <c r="K1041" i="13"/>
  <c r="L1041" i="13" s="1"/>
  <c r="I1041" i="13"/>
  <c r="J1041" i="13" s="1"/>
  <c r="K1033" i="13"/>
  <c r="L1033" i="13" s="1"/>
  <c r="I1033" i="13"/>
  <c r="J1033" i="13" s="1"/>
  <c r="K1025" i="13"/>
  <c r="L1025" i="13" s="1"/>
  <c r="I1025" i="13"/>
  <c r="J1025" i="13" s="1"/>
  <c r="K1017" i="13"/>
  <c r="L1017" i="13" s="1"/>
  <c r="I1017" i="13"/>
  <c r="J1017" i="13" s="1"/>
  <c r="K1009" i="13"/>
  <c r="L1009" i="13" s="1"/>
  <c r="I1009" i="13"/>
  <c r="J1009" i="13" s="1"/>
  <c r="K1001" i="13"/>
  <c r="L1001" i="13" s="1"/>
  <c r="I1001" i="13"/>
  <c r="J1001" i="13" s="1"/>
  <c r="K993" i="13"/>
  <c r="L993" i="13" s="1"/>
  <c r="I993" i="13"/>
  <c r="J993" i="13" s="1"/>
  <c r="K985" i="13"/>
  <c r="L985" i="13" s="1"/>
  <c r="I985" i="13"/>
  <c r="J985" i="13" s="1"/>
  <c r="K977" i="13"/>
  <c r="L977" i="13" s="1"/>
  <c r="I977" i="13"/>
  <c r="J977" i="13" s="1"/>
  <c r="K969" i="13"/>
  <c r="L969" i="13" s="1"/>
  <c r="I969" i="13"/>
  <c r="J969" i="13" s="1"/>
  <c r="K961" i="13"/>
  <c r="L961" i="13" s="1"/>
  <c r="I961" i="13"/>
  <c r="J961" i="13" s="1"/>
  <c r="K953" i="13"/>
  <c r="L953" i="13" s="1"/>
  <c r="I953" i="13"/>
  <c r="J953" i="13" s="1"/>
  <c r="K945" i="13"/>
  <c r="L945" i="13" s="1"/>
  <c r="I945" i="13"/>
  <c r="J945" i="13" s="1"/>
  <c r="K937" i="13"/>
  <c r="L937" i="13" s="1"/>
  <c r="I937" i="13"/>
  <c r="J937" i="13" s="1"/>
  <c r="K929" i="13"/>
  <c r="L929" i="13" s="1"/>
  <c r="I929" i="13"/>
  <c r="J929" i="13" s="1"/>
  <c r="K921" i="13"/>
  <c r="L921" i="13" s="1"/>
  <c r="I921" i="13"/>
  <c r="J921" i="13" s="1"/>
  <c r="K913" i="13"/>
  <c r="L913" i="13" s="1"/>
  <c r="I913" i="13"/>
  <c r="J913" i="13" s="1"/>
  <c r="K905" i="13"/>
  <c r="L905" i="13" s="1"/>
  <c r="I905" i="13"/>
  <c r="J905" i="13" s="1"/>
  <c r="K897" i="13"/>
  <c r="L897" i="13" s="1"/>
  <c r="I897" i="13"/>
  <c r="J897" i="13" s="1"/>
  <c r="K889" i="13"/>
  <c r="L889" i="13" s="1"/>
  <c r="I889" i="13"/>
  <c r="J889" i="13" s="1"/>
  <c r="K881" i="13"/>
  <c r="L881" i="13" s="1"/>
  <c r="I881" i="13"/>
  <c r="J881" i="13" s="1"/>
  <c r="K873" i="13"/>
  <c r="L873" i="13" s="1"/>
  <c r="I873" i="13"/>
  <c r="J873" i="13" s="1"/>
  <c r="K865" i="13"/>
  <c r="L865" i="13" s="1"/>
  <c r="I865" i="13"/>
  <c r="J865" i="13" s="1"/>
  <c r="K857" i="13"/>
  <c r="L857" i="13" s="1"/>
  <c r="I857" i="13"/>
  <c r="J857" i="13" s="1"/>
  <c r="K849" i="13"/>
  <c r="L849" i="13" s="1"/>
  <c r="I849" i="13"/>
  <c r="J849" i="13" s="1"/>
  <c r="K841" i="13"/>
  <c r="L841" i="13" s="1"/>
  <c r="I841" i="13"/>
  <c r="J841" i="13" s="1"/>
  <c r="K833" i="13"/>
  <c r="L833" i="13" s="1"/>
  <c r="I833" i="13"/>
  <c r="J833" i="13" s="1"/>
  <c r="K825" i="13"/>
  <c r="L825" i="13" s="1"/>
  <c r="I825" i="13"/>
  <c r="J825" i="13" s="1"/>
  <c r="K817" i="13"/>
  <c r="L817" i="13" s="1"/>
  <c r="I817" i="13"/>
  <c r="J817" i="13" s="1"/>
  <c r="K809" i="13"/>
  <c r="L809" i="13" s="1"/>
  <c r="I809" i="13"/>
  <c r="J809" i="13" s="1"/>
  <c r="K801" i="13"/>
  <c r="L801" i="13" s="1"/>
  <c r="I801" i="13"/>
  <c r="J801" i="13" s="1"/>
  <c r="K793" i="13"/>
  <c r="L793" i="13" s="1"/>
  <c r="I793" i="13"/>
  <c r="J793" i="13" s="1"/>
  <c r="K785" i="13"/>
  <c r="L785" i="13" s="1"/>
  <c r="I785" i="13"/>
  <c r="J785" i="13" s="1"/>
  <c r="K777" i="13"/>
  <c r="L777" i="13" s="1"/>
  <c r="I777" i="13"/>
  <c r="J777" i="13" s="1"/>
  <c r="K769" i="13"/>
  <c r="L769" i="13" s="1"/>
  <c r="I769" i="13"/>
  <c r="J769" i="13" s="1"/>
  <c r="K761" i="13"/>
  <c r="L761" i="13" s="1"/>
  <c r="I761" i="13"/>
  <c r="J761" i="13" s="1"/>
  <c r="K1040" i="13"/>
  <c r="L1040" i="13" s="1"/>
  <c r="K1261" i="13"/>
  <c r="L1261" i="13" s="1"/>
  <c r="I1261" i="13"/>
  <c r="J1261" i="13" s="1"/>
  <c r="K1205" i="13"/>
  <c r="L1205" i="13" s="1"/>
  <c r="I1205" i="13"/>
  <c r="J1205" i="13" s="1"/>
  <c r="K1149" i="13"/>
  <c r="L1149" i="13" s="1"/>
  <c r="I1149" i="13"/>
  <c r="J1149" i="13" s="1"/>
  <c r="K1093" i="13"/>
  <c r="L1093" i="13" s="1"/>
  <c r="I1093" i="13"/>
  <c r="J1093" i="13" s="1"/>
  <c r="K1053" i="13"/>
  <c r="L1053" i="13" s="1"/>
  <c r="I1053" i="13"/>
  <c r="J1053" i="13" s="1"/>
  <c r="K997" i="13"/>
  <c r="L997" i="13" s="1"/>
  <c r="I997" i="13"/>
  <c r="J997" i="13" s="1"/>
  <c r="K941" i="13"/>
  <c r="L941" i="13" s="1"/>
  <c r="I941" i="13"/>
  <c r="J941" i="13" s="1"/>
  <c r="K885" i="13"/>
  <c r="L885" i="13" s="1"/>
  <c r="I885" i="13"/>
  <c r="J885" i="13" s="1"/>
  <c r="K837" i="13"/>
  <c r="L837" i="13" s="1"/>
  <c r="I837" i="13"/>
  <c r="J837" i="13" s="1"/>
  <c r="K781" i="13"/>
  <c r="L781" i="13" s="1"/>
  <c r="I781" i="13"/>
  <c r="J781" i="13" s="1"/>
  <c r="K725" i="13"/>
  <c r="L725" i="13" s="1"/>
  <c r="I725" i="13"/>
  <c r="J725" i="13" s="1"/>
  <c r="K677" i="13"/>
  <c r="L677" i="13" s="1"/>
  <c r="I677" i="13"/>
  <c r="J677" i="13" s="1"/>
  <c r="K629" i="13"/>
  <c r="L629" i="13" s="1"/>
  <c r="I629" i="13"/>
  <c r="J629" i="13" s="1"/>
  <c r="K573" i="13"/>
  <c r="L573" i="13" s="1"/>
  <c r="I573" i="13"/>
  <c r="J573" i="13" s="1"/>
  <c r="K421" i="13"/>
  <c r="L421" i="13" s="1"/>
  <c r="I421" i="13"/>
  <c r="J421" i="13" s="1"/>
  <c r="R1290" i="13"/>
  <c r="Q1290" i="13"/>
  <c r="R1242" i="13"/>
  <c r="Q1242" i="13"/>
  <c r="R1202" i="13"/>
  <c r="Q1202" i="13"/>
  <c r="R1170" i="13"/>
  <c r="Q1170" i="13"/>
  <c r="R1122" i="13"/>
  <c r="Q1122" i="13"/>
  <c r="R1082" i="13"/>
  <c r="Q1082" i="13"/>
  <c r="R1042" i="13"/>
  <c r="Q1042" i="13"/>
  <c r="R1002" i="13"/>
  <c r="Q1002" i="13"/>
  <c r="R962" i="13"/>
  <c r="Q962" i="13"/>
  <c r="R922" i="13"/>
  <c r="Q922" i="13"/>
  <c r="R882" i="13"/>
  <c r="Q882" i="13"/>
  <c r="R858" i="13"/>
  <c r="Q858" i="13"/>
  <c r="R834" i="13"/>
  <c r="Q834" i="13"/>
  <c r="R802" i="13"/>
  <c r="Q802" i="13"/>
  <c r="R778" i="13"/>
  <c r="Q778" i="13"/>
  <c r="R682" i="13"/>
  <c r="Q682" i="13"/>
  <c r="R594" i="13"/>
  <c r="Q594" i="13"/>
  <c r="Q554" i="13"/>
  <c r="R554" i="13"/>
  <c r="Q498" i="13"/>
  <c r="R498" i="13"/>
  <c r="Q450" i="13"/>
  <c r="R450" i="13"/>
  <c r="R410" i="13"/>
  <c r="Q410" i="13"/>
  <c r="Q362" i="13"/>
  <c r="R362" i="13"/>
  <c r="Q314" i="13"/>
  <c r="R314" i="13"/>
  <c r="R274" i="13"/>
  <c r="Q274" i="13"/>
  <c r="Q234" i="13"/>
  <c r="R234" i="13"/>
  <c r="Q186" i="13"/>
  <c r="R186" i="13"/>
  <c r="R146" i="13"/>
  <c r="Q146" i="13"/>
  <c r="Q98" i="13"/>
  <c r="R98" i="13"/>
  <c r="Q50" i="13"/>
  <c r="R50" i="13"/>
  <c r="R10" i="13"/>
  <c r="Q10" i="13"/>
  <c r="R1281" i="13"/>
  <c r="Q1281" i="13"/>
  <c r="R1233" i="13"/>
  <c r="Q1233" i="13"/>
  <c r="R1272" i="13"/>
  <c r="Q1272" i="13"/>
  <c r="R1232" i="13"/>
  <c r="Q1232" i="13"/>
  <c r="R1192" i="13"/>
  <c r="Q1192" i="13"/>
  <c r="R1144" i="13"/>
  <c r="Q1144" i="13"/>
  <c r="R1104" i="13"/>
  <c r="Q1104" i="13"/>
  <c r="R1072" i="13"/>
  <c r="Q1072" i="13"/>
  <c r="R1032" i="13"/>
  <c r="Q1032" i="13"/>
  <c r="R1000" i="13"/>
  <c r="Q1000" i="13"/>
  <c r="R952" i="13"/>
  <c r="Q952" i="13"/>
  <c r="R920" i="13"/>
  <c r="Q920" i="13"/>
  <c r="R888" i="13"/>
  <c r="Q888" i="13"/>
  <c r="R840" i="13"/>
  <c r="Q840" i="13"/>
  <c r="R800" i="13"/>
  <c r="Q800" i="13"/>
  <c r="R776" i="13"/>
  <c r="Q776" i="13"/>
  <c r="R752" i="13"/>
  <c r="Q752" i="13"/>
  <c r="R720" i="13"/>
  <c r="Q720" i="13"/>
  <c r="R680" i="13"/>
  <c r="Q680" i="13"/>
  <c r="R648" i="13"/>
  <c r="Q648" i="13"/>
  <c r="R624" i="13"/>
  <c r="Q624" i="13"/>
  <c r="R592" i="13"/>
  <c r="Q592" i="13"/>
  <c r="R448" i="13"/>
  <c r="Q448" i="13"/>
  <c r="R1310" i="13"/>
  <c r="Q1310" i="13"/>
  <c r="R1302" i="13"/>
  <c r="Q1302" i="13"/>
  <c r="R1294" i="13"/>
  <c r="Q1294" i="13"/>
  <c r="R1286" i="13"/>
  <c r="Q1286" i="13"/>
  <c r="R1278" i="13"/>
  <c r="Q1278" i="13"/>
  <c r="R1270" i="13"/>
  <c r="Q1270" i="13"/>
  <c r="R1262" i="13"/>
  <c r="Q1262" i="13"/>
  <c r="R1254" i="13"/>
  <c r="Q1254" i="13"/>
  <c r="R1246" i="13"/>
  <c r="Q1246" i="13"/>
  <c r="R1238" i="13"/>
  <c r="Q1238" i="13"/>
  <c r="R1230" i="13"/>
  <c r="Q1230" i="13"/>
  <c r="R1222" i="13"/>
  <c r="Q1222" i="13"/>
  <c r="R1214" i="13"/>
  <c r="Q1214" i="13"/>
  <c r="R1206" i="13"/>
  <c r="Q1206" i="13"/>
  <c r="R1198" i="13"/>
  <c r="Q1198" i="13"/>
  <c r="R1190" i="13"/>
  <c r="Q1190" i="13"/>
  <c r="R1182" i="13"/>
  <c r="Q1182" i="13"/>
  <c r="R1174" i="13"/>
  <c r="Q1174" i="13"/>
  <c r="R1166" i="13"/>
  <c r="Q1166" i="13"/>
  <c r="R1158" i="13"/>
  <c r="Q1158" i="13"/>
  <c r="R1150" i="13"/>
  <c r="Q1150" i="13"/>
  <c r="R1142" i="13"/>
  <c r="Q1142" i="13"/>
  <c r="R1134" i="13"/>
  <c r="Q1134" i="13"/>
  <c r="R1126" i="13"/>
  <c r="Q1126" i="13"/>
  <c r="R1118" i="13"/>
  <c r="Q1118" i="13"/>
  <c r="R1110" i="13"/>
  <c r="Q1110" i="13"/>
  <c r="R1102" i="13"/>
  <c r="Q1102" i="13"/>
  <c r="R1094" i="13"/>
  <c r="Q1094" i="13"/>
  <c r="R1086" i="13"/>
  <c r="Q1086" i="13"/>
  <c r="R1078" i="13"/>
  <c r="Q1078" i="13"/>
  <c r="R1070" i="13"/>
  <c r="Q1070" i="13"/>
  <c r="R1062" i="13"/>
  <c r="Q1062" i="13"/>
  <c r="R1054" i="13"/>
  <c r="Q1054" i="13"/>
  <c r="R1046" i="13"/>
  <c r="Q1046" i="13"/>
  <c r="R1038" i="13"/>
  <c r="Q1038" i="13"/>
  <c r="R1030" i="13"/>
  <c r="Q1030" i="13"/>
  <c r="R1022" i="13"/>
  <c r="Q1022" i="13"/>
  <c r="R1014" i="13"/>
  <c r="Q1014" i="13"/>
  <c r="R1006" i="13"/>
  <c r="Q1006" i="13"/>
  <c r="R998" i="13"/>
  <c r="Q998" i="13"/>
  <c r="R990" i="13"/>
  <c r="Q990" i="13"/>
  <c r="R982" i="13"/>
  <c r="Q982" i="13"/>
  <c r="R974" i="13"/>
  <c r="Q974" i="13"/>
  <c r="R966" i="13"/>
  <c r="Q966" i="13"/>
  <c r="R958" i="13"/>
  <c r="Q958" i="13"/>
  <c r="R950" i="13"/>
  <c r="Q950" i="13"/>
  <c r="R942" i="13"/>
  <c r="Q942" i="13"/>
  <c r="R934" i="13"/>
  <c r="Q934" i="13"/>
  <c r="R926" i="13"/>
  <c r="Q926" i="13"/>
  <c r="R918" i="13"/>
  <c r="Q918" i="13"/>
  <c r="R910" i="13"/>
  <c r="Q910" i="13"/>
  <c r="R902" i="13"/>
  <c r="Q902" i="13"/>
  <c r="R894" i="13"/>
  <c r="Q894" i="13"/>
  <c r="R886" i="13"/>
  <c r="Q886" i="13"/>
  <c r="R878" i="13"/>
  <c r="Q878" i="13"/>
  <c r="R870" i="13"/>
  <c r="Q870" i="13"/>
  <c r="R862" i="13"/>
  <c r="Q862" i="13"/>
  <c r="R854" i="13"/>
  <c r="Q854" i="13"/>
  <c r="R846" i="13"/>
  <c r="Q846" i="13"/>
  <c r="R838" i="13"/>
  <c r="Q838" i="13"/>
  <c r="R830" i="13"/>
  <c r="Q830" i="13"/>
  <c r="R822" i="13"/>
  <c r="Q822" i="13"/>
  <c r="R814" i="13"/>
  <c r="Q814" i="13"/>
  <c r="R806" i="13"/>
  <c r="Q806" i="13"/>
  <c r="R798" i="13"/>
  <c r="Q798" i="13"/>
  <c r="R790" i="13"/>
  <c r="Q790" i="13"/>
  <c r="R782" i="13"/>
  <c r="Q782" i="13"/>
  <c r="R774" i="13"/>
  <c r="Q774" i="13"/>
  <c r="R766" i="13"/>
  <c r="Q766" i="13"/>
  <c r="R758" i="13"/>
  <c r="Q758" i="13"/>
  <c r="R750" i="13"/>
  <c r="Q750" i="13"/>
  <c r="R742" i="13"/>
  <c r="Q742" i="13"/>
  <c r="R734" i="13"/>
  <c r="Q734" i="13"/>
  <c r="R726" i="13"/>
  <c r="Q726" i="13"/>
  <c r="R718" i="13"/>
  <c r="Q718" i="13"/>
  <c r="R710" i="13"/>
  <c r="Q710" i="13"/>
  <c r="R702" i="13"/>
  <c r="Q702" i="13"/>
  <c r="R694" i="13"/>
  <c r="Q694" i="13"/>
  <c r="R686" i="13"/>
  <c r="Q686" i="13"/>
  <c r="R678" i="13"/>
  <c r="Q678" i="13"/>
  <c r="R670" i="13"/>
  <c r="Q670" i="13"/>
  <c r="R662" i="13"/>
  <c r="Q662" i="13"/>
  <c r="R654" i="13"/>
  <c r="Q654" i="13"/>
  <c r="R646" i="13"/>
  <c r="Q646" i="13"/>
  <c r="R638" i="13"/>
  <c r="Q638" i="13"/>
  <c r="R630" i="13"/>
  <c r="Q630" i="13"/>
  <c r="R622" i="13"/>
  <c r="Q622" i="13"/>
  <c r="R614" i="13"/>
  <c r="Q614" i="13"/>
  <c r="R606" i="13"/>
  <c r="Q606" i="13"/>
  <c r="R598" i="13"/>
  <c r="Q598" i="13"/>
  <c r="R590" i="13"/>
  <c r="Q590" i="13"/>
  <c r="R582" i="13"/>
  <c r="Q582" i="13"/>
  <c r="R574" i="13"/>
  <c r="Q574" i="13"/>
  <c r="R566" i="13"/>
  <c r="Q566" i="13"/>
  <c r="R558" i="13"/>
  <c r="Q558" i="13"/>
  <c r="R550" i="13"/>
  <c r="Q550" i="13"/>
  <c r="R542" i="13"/>
  <c r="Q542" i="13"/>
  <c r="R534" i="13"/>
  <c r="Q534" i="13"/>
  <c r="R526" i="13"/>
  <c r="Q526" i="13"/>
  <c r="R518" i="13"/>
  <c r="Q518" i="13"/>
  <c r="R510" i="13"/>
  <c r="Q510" i="13"/>
  <c r="R502" i="13"/>
  <c r="Q502" i="13"/>
  <c r="R494" i="13"/>
  <c r="Q494" i="13"/>
  <c r="R486" i="13"/>
  <c r="Q486" i="13"/>
  <c r="R478" i="13"/>
  <c r="Q478" i="13"/>
  <c r="R470" i="13"/>
  <c r="Q470" i="13"/>
  <c r="R462" i="13"/>
  <c r="Q462" i="13"/>
  <c r="R454" i="13"/>
  <c r="Q454" i="13"/>
  <c r="R446" i="13"/>
  <c r="Q446" i="13"/>
  <c r="R438" i="13"/>
  <c r="Q438" i="13"/>
  <c r="R430" i="13"/>
  <c r="Q430" i="13"/>
  <c r="R422" i="13"/>
  <c r="Q422" i="13"/>
  <c r="R414" i="13"/>
  <c r="Q414" i="13"/>
  <c r="R406" i="13"/>
  <c r="Q406" i="13"/>
  <c r="R398" i="13"/>
  <c r="Q398" i="13"/>
  <c r="R390" i="13"/>
  <c r="Q390" i="13"/>
  <c r="R382" i="13"/>
  <c r="Q382" i="13"/>
  <c r="R374" i="13"/>
  <c r="Q374" i="13"/>
  <c r="R366" i="13"/>
  <c r="Q366" i="13"/>
  <c r="R358" i="13"/>
  <c r="Q358" i="13"/>
  <c r="R350" i="13"/>
  <c r="Q350" i="13"/>
  <c r="R342" i="13"/>
  <c r="Q342" i="13"/>
  <c r="R334" i="13"/>
  <c r="Q334" i="13"/>
  <c r="R326" i="13"/>
  <c r="Q326" i="13"/>
  <c r="R318" i="13"/>
  <c r="Q318" i="13"/>
  <c r="R310" i="13"/>
  <c r="Q310" i="13"/>
  <c r="R302" i="13"/>
  <c r="Q302" i="13"/>
  <c r="R294" i="13"/>
  <c r="Q294" i="13"/>
  <c r="R286" i="13"/>
  <c r="Q286" i="13"/>
  <c r="R278" i="13"/>
  <c r="Q278" i="13"/>
  <c r="R270" i="13"/>
  <c r="Q270" i="13"/>
  <c r="R262" i="13"/>
  <c r="Q262" i="13"/>
  <c r="R254" i="13"/>
  <c r="Q254" i="13"/>
  <c r="R246" i="13"/>
  <c r="Q246" i="13"/>
  <c r="R238" i="13"/>
  <c r="Q238" i="13"/>
  <c r="R230" i="13"/>
  <c r="Q230" i="13"/>
  <c r="R222" i="13"/>
  <c r="Q222" i="13"/>
  <c r="R214" i="13"/>
  <c r="Q214" i="13"/>
  <c r="R206" i="13"/>
  <c r="Q206" i="13"/>
  <c r="R198" i="13"/>
  <c r="Q198" i="13"/>
  <c r="R190" i="13"/>
  <c r="Q190" i="13"/>
  <c r="R182" i="13"/>
  <c r="Q182" i="13"/>
  <c r="R174" i="13"/>
  <c r="Q174" i="13"/>
  <c r="R166" i="13"/>
  <c r="Q166" i="13"/>
  <c r="R158" i="13"/>
  <c r="Q158" i="13"/>
  <c r="R150" i="13"/>
  <c r="Q150" i="13"/>
  <c r="R142" i="13"/>
  <c r="Q142" i="13"/>
  <c r="R134" i="13"/>
  <c r="Q134" i="13"/>
  <c r="R126" i="13"/>
  <c r="Q126" i="13"/>
  <c r="R118" i="13"/>
  <c r="Q118" i="13"/>
  <c r="R110" i="13"/>
  <c r="Q110" i="13"/>
  <c r="R102" i="13"/>
  <c r="Q102" i="13"/>
  <c r="R94" i="13"/>
  <c r="Q94" i="13"/>
  <c r="R86" i="13"/>
  <c r="Q86" i="13"/>
  <c r="R78" i="13"/>
  <c r="Q78" i="13"/>
  <c r="R70" i="13"/>
  <c r="Q70" i="13"/>
  <c r="R62" i="13"/>
  <c r="Q62" i="13"/>
  <c r="R54" i="13"/>
  <c r="Q54" i="13"/>
  <c r="R46" i="13"/>
  <c r="Q46" i="13"/>
  <c r="R38" i="13"/>
  <c r="Q38" i="13"/>
  <c r="R30" i="13"/>
  <c r="Q30" i="13"/>
  <c r="R22" i="13"/>
  <c r="Q22" i="13"/>
  <c r="R14" i="13"/>
  <c r="Q14" i="13"/>
  <c r="R6" i="13"/>
  <c r="Q6" i="13"/>
  <c r="J867" i="13"/>
  <c r="J811" i="13"/>
  <c r="J787" i="13"/>
  <c r="J771" i="13"/>
  <c r="J763" i="13"/>
  <c r="J667" i="13"/>
  <c r="J627" i="13"/>
  <c r="J571" i="13"/>
  <c r="J547" i="13"/>
  <c r="J475" i="13"/>
  <c r="K1304" i="13"/>
  <c r="L1304" i="13" s="1"/>
  <c r="I1304" i="13"/>
  <c r="J1304" i="13" s="1"/>
  <c r="I1288" i="13"/>
  <c r="J1288" i="13" s="1"/>
  <c r="K1288" i="13"/>
  <c r="L1288" i="13" s="1"/>
  <c r="I1280" i="13"/>
  <c r="J1280" i="13" s="1"/>
  <c r="K1280" i="13"/>
  <c r="L1280" i="13" s="1"/>
  <c r="I1272" i="13"/>
  <c r="J1272" i="13" s="1"/>
  <c r="K1272" i="13"/>
  <c r="L1272" i="13" s="1"/>
  <c r="I1264" i="13"/>
  <c r="J1264" i="13" s="1"/>
  <c r="K1264" i="13"/>
  <c r="L1264" i="13" s="1"/>
  <c r="I1256" i="13"/>
  <c r="J1256" i="13" s="1"/>
  <c r="K1256" i="13"/>
  <c r="L1256" i="13" s="1"/>
  <c r="K1248" i="13"/>
  <c r="L1248" i="13" s="1"/>
  <c r="I1248" i="13"/>
  <c r="J1248" i="13" s="1"/>
  <c r="K1240" i="13"/>
  <c r="L1240" i="13" s="1"/>
  <c r="I1240" i="13"/>
  <c r="J1240" i="13" s="1"/>
  <c r="I1224" i="13"/>
  <c r="J1224" i="13" s="1"/>
  <c r="K1224" i="13"/>
  <c r="L1224" i="13" s="1"/>
  <c r="I1216" i="13"/>
  <c r="J1216" i="13" s="1"/>
  <c r="K1216" i="13"/>
  <c r="L1216" i="13" s="1"/>
  <c r="I1208" i="13"/>
  <c r="J1208" i="13" s="1"/>
  <c r="K1208" i="13"/>
  <c r="L1208" i="13" s="1"/>
  <c r="I1200" i="13"/>
  <c r="J1200" i="13" s="1"/>
  <c r="K1200" i="13"/>
  <c r="L1200" i="13" s="1"/>
  <c r="I1192" i="13"/>
  <c r="J1192" i="13" s="1"/>
  <c r="K1192" i="13"/>
  <c r="L1192" i="13" s="1"/>
  <c r="K1184" i="13"/>
  <c r="L1184" i="13" s="1"/>
  <c r="I1184" i="13"/>
  <c r="J1184" i="13" s="1"/>
  <c r="K1176" i="13"/>
  <c r="L1176" i="13" s="1"/>
  <c r="I1176" i="13"/>
  <c r="J1176" i="13" s="1"/>
  <c r="I1160" i="13"/>
  <c r="J1160" i="13" s="1"/>
  <c r="K1160" i="13"/>
  <c r="L1160" i="13" s="1"/>
  <c r="I1152" i="13"/>
  <c r="J1152" i="13" s="1"/>
  <c r="K1152" i="13"/>
  <c r="L1152" i="13" s="1"/>
  <c r="I1144" i="13"/>
  <c r="J1144" i="13" s="1"/>
  <c r="K1144" i="13"/>
  <c r="L1144" i="13" s="1"/>
  <c r="I1136" i="13"/>
  <c r="J1136" i="13" s="1"/>
  <c r="K1136" i="13"/>
  <c r="L1136" i="13" s="1"/>
  <c r="I1128" i="13"/>
  <c r="J1128" i="13" s="1"/>
  <c r="K1128" i="13"/>
  <c r="L1128" i="13" s="1"/>
  <c r="K1120" i="13"/>
  <c r="L1120" i="13" s="1"/>
  <c r="I1120" i="13"/>
  <c r="J1120" i="13" s="1"/>
  <c r="K1112" i="13"/>
  <c r="L1112" i="13" s="1"/>
  <c r="I1112" i="13"/>
  <c r="J1112" i="13" s="1"/>
  <c r="I1096" i="13"/>
  <c r="J1096" i="13" s="1"/>
  <c r="K1096" i="13"/>
  <c r="L1096" i="13" s="1"/>
  <c r="I1088" i="13"/>
  <c r="J1088" i="13" s="1"/>
  <c r="K1088" i="13"/>
  <c r="L1088" i="13" s="1"/>
  <c r="I1080" i="13"/>
  <c r="J1080" i="13" s="1"/>
  <c r="K1080" i="13"/>
  <c r="L1080" i="13" s="1"/>
  <c r="I1072" i="13"/>
  <c r="J1072" i="13" s="1"/>
  <c r="K1072" i="13"/>
  <c r="L1072" i="13" s="1"/>
  <c r="I1064" i="13"/>
  <c r="J1064" i="13" s="1"/>
  <c r="K1064" i="13"/>
  <c r="L1064" i="13" s="1"/>
  <c r="K1056" i="13"/>
  <c r="L1056" i="13" s="1"/>
  <c r="I1056" i="13"/>
  <c r="J1056" i="13" s="1"/>
  <c r="K1048" i="13"/>
  <c r="L1048" i="13" s="1"/>
  <c r="I1048" i="13"/>
  <c r="J1048" i="13" s="1"/>
  <c r="K1032" i="13"/>
  <c r="L1032" i="13" s="1"/>
  <c r="I1032" i="13"/>
  <c r="J1032" i="13" s="1"/>
  <c r="K1024" i="13"/>
  <c r="L1024" i="13" s="1"/>
  <c r="I1024" i="13"/>
  <c r="J1024" i="13" s="1"/>
  <c r="K1016" i="13"/>
  <c r="L1016" i="13" s="1"/>
  <c r="I1016" i="13"/>
  <c r="J1016" i="13" s="1"/>
  <c r="K1008" i="13"/>
  <c r="L1008" i="13" s="1"/>
  <c r="I1008" i="13"/>
  <c r="J1008" i="13" s="1"/>
  <c r="K1000" i="13"/>
  <c r="L1000" i="13" s="1"/>
  <c r="I1000" i="13"/>
  <c r="J1000" i="13" s="1"/>
  <c r="K992" i="13"/>
  <c r="L992" i="13" s="1"/>
  <c r="I992" i="13"/>
  <c r="J992" i="13" s="1"/>
  <c r="I984" i="13"/>
  <c r="J984" i="13" s="1"/>
  <c r="K984" i="13"/>
  <c r="L984" i="13" s="1"/>
  <c r="K976" i="13"/>
  <c r="L976" i="13" s="1"/>
  <c r="I976" i="13"/>
  <c r="J976" i="13" s="1"/>
  <c r="K968" i="13"/>
  <c r="L968" i="13" s="1"/>
  <c r="I968" i="13"/>
  <c r="J968" i="13" s="1"/>
  <c r="K960" i="13"/>
  <c r="L960" i="13" s="1"/>
  <c r="I960" i="13"/>
  <c r="J960" i="13" s="1"/>
  <c r="K952" i="13"/>
  <c r="L952" i="13" s="1"/>
  <c r="I952" i="13"/>
  <c r="J952" i="13" s="1"/>
  <c r="K944" i="13"/>
  <c r="L944" i="13" s="1"/>
  <c r="I944" i="13"/>
  <c r="J944" i="13" s="1"/>
  <c r="I936" i="13"/>
  <c r="J936" i="13" s="1"/>
  <c r="K936" i="13"/>
  <c r="L936" i="13" s="1"/>
  <c r="K928" i="13"/>
  <c r="L928" i="13" s="1"/>
  <c r="I928" i="13"/>
  <c r="J928" i="13" s="1"/>
  <c r="K920" i="13"/>
  <c r="L920" i="13" s="1"/>
  <c r="I920" i="13"/>
  <c r="J920" i="13" s="1"/>
  <c r="K912" i="13"/>
  <c r="L912" i="13" s="1"/>
  <c r="I912" i="13"/>
  <c r="J912" i="13" s="1"/>
  <c r="K904" i="13"/>
  <c r="L904" i="13" s="1"/>
  <c r="I904" i="13"/>
  <c r="J904" i="13" s="1"/>
  <c r="K896" i="13"/>
  <c r="L896" i="13" s="1"/>
  <c r="I896" i="13"/>
  <c r="J896" i="13" s="1"/>
  <c r="K888" i="13"/>
  <c r="L888" i="13" s="1"/>
  <c r="I888" i="13"/>
  <c r="J888" i="13" s="1"/>
  <c r="K880" i="13"/>
  <c r="L880" i="13" s="1"/>
  <c r="I880" i="13"/>
  <c r="J880" i="13" s="1"/>
  <c r="I872" i="13"/>
  <c r="J872" i="13" s="1"/>
  <c r="K872" i="13"/>
  <c r="L872" i="13" s="1"/>
  <c r="K864" i="13"/>
  <c r="L864" i="13" s="1"/>
  <c r="I864" i="13"/>
  <c r="J864" i="13" s="1"/>
  <c r="K856" i="13"/>
  <c r="L856" i="13" s="1"/>
  <c r="I856" i="13"/>
  <c r="J856" i="13" s="1"/>
  <c r="K848" i="13"/>
  <c r="L848" i="13" s="1"/>
  <c r="I848" i="13"/>
  <c r="J848" i="13" s="1"/>
  <c r="K840" i="13"/>
  <c r="L840" i="13" s="1"/>
  <c r="I840" i="13"/>
  <c r="J840" i="13" s="1"/>
  <c r="K832" i="13"/>
  <c r="L832" i="13" s="1"/>
  <c r="I832" i="13"/>
  <c r="J832" i="13" s="1"/>
  <c r="K824" i="13"/>
  <c r="L824" i="13" s="1"/>
  <c r="I824" i="13"/>
  <c r="J824" i="13" s="1"/>
  <c r="K816" i="13"/>
  <c r="L816" i="13" s="1"/>
  <c r="I816" i="13"/>
  <c r="J816" i="13" s="1"/>
  <c r="K808" i="13"/>
  <c r="L808" i="13" s="1"/>
  <c r="I808" i="13"/>
  <c r="J808" i="13" s="1"/>
  <c r="K800" i="13"/>
  <c r="L800" i="13" s="1"/>
  <c r="I800" i="13"/>
  <c r="J800" i="13" s="1"/>
  <c r="K792" i="13"/>
  <c r="L792" i="13" s="1"/>
  <c r="I792" i="13"/>
  <c r="J792" i="13" s="1"/>
  <c r="K784" i="13"/>
  <c r="L784" i="13" s="1"/>
  <c r="I784" i="13"/>
  <c r="J784" i="13" s="1"/>
  <c r="K776" i="13"/>
  <c r="L776" i="13" s="1"/>
  <c r="I776" i="13"/>
  <c r="J776" i="13" s="1"/>
  <c r="K768" i="13"/>
  <c r="L768" i="13" s="1"/>
  <c r="I768" i="13"/>
  <c r="J768" i="13" s="1"/>
  <c r="K760" i="13"/>
  <c r="L760" i="13" s="1"/>
  <c r="I760" i="13"/>
  <c r="J760" i="13" s="1"/>
  <c r="K752" i="13"/>
  <c r="L752" i="13" s="1"/>
  <c r="I752" i="13"/>
  <c r="J752" i="13" s="1"/>
  <c r="K744" i="13"/>
  <c r="L744" i="13" s="1"/>
  <c r="I744" i="13"/>
  <c r="J744" i="13" s="1"/>
  <c r="K736" i="13"/>
  <c r="L736" i="13" s="1"/>
  <c r="I736" i="13"/>
  <c r="J736" i="13" s="1"/>
  <c r="K728" i="13"/>
  <c r="L728" i="13" s="1"/>
  <c r="I728" i="13"/>
  <c r="J728" i="13" s="1"/>
  <c r="K720" i="13"/>
  <c r="L720" i="13" s="1"/>
  <c r="I720" i="13"/>
  <c r="J720" i="13" s="1"/>
  <c r="K712" i="13"/>
  <c r="L712" i="13" s="1"/>
  <c r="I712" i="13"/>
  <c r="J712" i="13" s="1"/>
  <c r="K704" i="13"/>
  <c r="L704" i="13" s="1"/>
  <c r="I704" i="13"/>
  <c r="J704" i="13" s="1"/>
  <c r="K696" i="13"/>
  <c r="L696" i="13" s="1"/>
  <c r="I696" i="13"/>
  <c r="J696" i="13" s="1"/>
  <c r="K688" i="13"/>
  <c r="L688" i="13" s="1"/>
  <c r="I688" i="13"/>
  <c r="J688" i="13" s="1"/>
  <c r="K672" i="13"/>
  <c r="L672" i="13" s="1"/>
  <c r="I672" i="13"/>
  <c r="J672" i="13" s="1"/>
  <c r="K664" i="13"/>
  <c r="L664" i="13" s="1"/>
  <c r="I664" i="13"/>
  <c r="J664" i="13" s="1"/>
  <c r="K656" i="13"/>
  <c r="L656" i="13" s="1"/>
  <c r="I656" i="13"/>
  <c r="J656" i="13" s="1"/>
  <c r="K648" i="13"/>
  <c r="L648" i="13" s="1"/>
  <c r="I648" i="13"/>
  <c r="J648" i="13" s="1"/>
  <c r="K640" i="13"/>
  <c r="L640" i="13" s="1"/>
  <c r="I640" i="13"/>
  <c r="J640" i="13" s="1"/>
  <c r="K632" i="13"/>
  <c r="L632" i="13" s="1"/>
  <c r="I632" i="13"/>
  <c r="J632" i="13" s="1"/>
  <c r="K624" i="13"/>
  <c r="L624" i="13" s="1"/>
  <c r="I624" i="13"/>
  <c r="J624" i="13" s="1"/>
  <c r="I616" i="13"/>
  <c r="J616" i="13" s="1"/>
  <c r="K616" i="13"/>
  <c r="L616" i="13" s="1"/>
  <c r="K608" i="13"/>
  <c r="L608" i="13" s="1"/>
  <c r="I608" i="13"/>
  <c r="J608" i="13" s="1"/>
  <c r="K600" i="13"/>
  <c r="L600" i="13" s="1"/>
  <c r="I600" i="13"/>
  <c r="J600" i="13" s="1"/>
  <c r="K592" i="13"/>
  <c r="L592" i="13" s="1"/>
  <c r="I592" i="13"/>
  <c r="J592" i="13" s="1"/>
  <c r="K584" i="13"/>
  <c r="L584" i="13" s="1"/>
  <c r="I584" i="13"/>
  <c r="J584" i="13" s="1"/>
  <c r="K576" i="13"/>
  <c r="L576" i="13" s="1"/>
  <c r="I576" i="13"/>
  <c r="J576" i="13" s="1"/>
  <c r="K568" i="13"/>
  <c r="L568" i="13" s="1"/>
  <c r="I568" i="13"/>
  <c r="J568" i="13" s="1"/>
  <c r="K560" i="13"/>
  <c r="L560" i="13" s="1"/>
  <c r="I560" i="13"/>
  <c r="J560" i="13" s="1"/>
  <c r="I552" i="13"/>
  <c r="J552" i="13" s="1"/>
  <c r="K552" i="13"/>
  <c r="L552" i="13" s="1"/>
  <c r="K544" i="13"/>
  <c r="L544" i="13" s="1"/>
  <c r="I544" i="13"/>
  <c r="J544" i="13" s="1"/>
  <c r="K536" i="13"/>
  <c r="L536" i="13" s="1"/>
  <c r="I536" i="13"/>
  <c r="J536" i="13" s="1"/>
  <c r="K528" i="13"/>
  <c r="L528" i="13" s="1"/>
  <c r="I528" i="13"/>
  <c r="J528" i="13" s="1"/>
  <c r="K520" i="13"/>
  <c r="L520" i="13" s="1"/>
  <c r="I520" i="13"/>
  <c r="J520" i="13" s="1"/>
  <c r="K512" i="13"/>
  <c r="L512" i="13" s="1"/>
  <c r="I512" i="13"/>
  <c r="J512" i="13" s="1"/>
  <c r="K504" i="13"/>
  <c r="L504" i="13" s="1"/>
  <c r="I504" i="13"/>
  <c r="J504" i="13" s="1"/>
  <c r="K496" i="13"/>
  <c r="L496" i="13" s="1"/>
  <c r="I496" i="13"/>
  <c r="J496" i="13" s="1"/>
  <c r="I488" i="13"/>
  <c r="J488" i="13" s="1"/>
  <c r="K488" i="13"/>
  <c r="L488" i="13" s="1"/>
  <c r="K480" i="13"/>
  <c r="L480" i="13" s="1"/>
  <c r="I480" i="13"/>
  <c r="J480" i="13" s="1"/>
  <c r="K472" i="13"/>
  <c r="L472" i="13" s="1"/>
  <c r="I472" i="13"/>
  <c r="J472" i="13" s="1"/>
  <c r="K464" i="13"/>
  <c r="L464" i="13" s="1"/>
  <c r="I464" i="13"/>
  <c r="J464" i="13" s="1"/>
  <c r="K456" i="13"/>
  <c r="L456" i="13" s="1"/>
  <c r="I456" i="13"/>
  <c r="J456" i="13" s="1"/>
  <c r="K448" i="13"/>
  <c r="L448" i="13" s="1"/>
  <c r="I448" i="13"/>
  <c r="J448" i="13" s="1"/>
  <c r="K440" i="13"/>
  <c r="L440" i="13" s="1"/>
  <c r="I440" i="13"/>
  <c r="J440" i="13" s="1"/>
  <c r="K432" i="13"/>
  <c r="L432" i="13" s="1"/>
  <c r="I432" i="13"/>
  <c r="J432" i="13" s="1"/>
  <c r="I424" i="13"/>
  <c r="J424" i="13" s="1"/>
  <c r="K424" i="13"/>
  <c r="L424" i="13" s="1"/>
  <c r="K416" i="13"/>
  <c r="L416" i="13" s="1"/>
  <c r="I416" i="13"/>
  <c r="J416" i="13" s="1"/>
  <c r="K408" i="13"/>
  <c r="L408" i="13" s="1"/>
  <c r="I408" i="13"/>
  <c r="J408" i="13" s="1"/>
  <c r="K400" i="13"/>
  <c r="L400" i="13" s="1"/>
  <c r="I400" i="13"/>
  <c r="J400" i="13" s="1"/>
  <c r="K392" i="13"/>
  <c r="L392" i="13" s="1"/>
  <c r="I392" i="13"/>
  <c r="J392" i="13" s="1"/>
  <c r="K384" i="13"/>
  <c r="L384" i="13" s="1"/>
  <c r="I384" i="13"/>
  <c r="J384" i="13" s="1"/>
  <c r="K376" i="13"/>
  <c r="L376" i="13" s="1"/>
  <c r="I376" i="13"/>
  <c r="J376" i="13" s="1"/>
  <c r="K368" i="13"/>
  <c r="L368" i="13" s="1"/>
  <c r="I368" i="13"/>
  <c r="J368" i="13" s="1"/>
  <c r="I360" i="13"/>
  <c r="J360" i="13" s="1"/>
  <c r="K360" i="13"/>
  <c r="L360" i="13" s="1"/>
  <c r="K352" i="13"/>
  <c r="L352" i="13" s="1"/>
  <c r="I352" i="13"/>
  <c r="J352" i="13" s="1"/>
  <c r="K344" i="13"/>
  <c r="L344" i="13" s="1"/>
  <c r="I344" i="13"/>
  <c r="J344" i="13" s="1"/>
  <c r="K336" i="13"/>
  <c r="L336" i="13" s="1"/>
  <c r="I336" i="13"/>
  <c r="J336" i="13" s="1"/>
  <c r="K328" i="13"/>
  <c r="L328" i="13" s="1"/>
  <c r="I328" i="13"/>
  <c r="J328" i="13" s="1"/>
  <c r="K320" i="13"/>
  <c r="L320" i="13" s="1"/>
  <c r="I320" i="13"/>
  <c r="J320" i="13" s="1"/>
  <c r="K312" i="13"/>
  <c r="L312" i="13" s="1"/>
  <c r="I312" i="13"/>
  <c r="J312" i="13" s="1"/>
  <c r="M304" i="13"/>
  <c r="O304" i="13" s="1"/>
  <c r="M296" i="13"/>
  <c r="M232" i="13"/>
  <c r="N232" i="13" s="1"/>
  <c r="K680" i="13"/>
  <c r="L680" i="13" s="1"/>
  <c r="K1309" i="13"/>
  <c r="L1309" i="13" s="1"/>
  <c r="I1309" i="13"/>
  <c r="J1309" i="13" s="1"/>
  <c r="K1253" i="13"/>
  <c r="L1253" i="13" s="1"/>
  <c r="I1253" i="13"/>
  <c r="J1253" i="13" s="1"/>
  <c r="K1189" i="13"/>
  <c r="L1189" i="13" s="1"/>
  <c r="I1189" i="13"/>
  <c r="J1189" i="13" s="1"/>
  <c r="K1133" i="13"/>
  <c r="L1133" i="13" s="1"/>
  <c r="I1133" i="13"/>
  <c r="J1133" i="13" s="1"/>
  <c r="K1077" i="13"/>
  <c r="L1077" i="13" s="1"/>
  <c r="I1077" i="13"/>
  <c r="J1077" i="13" s="1"/>
  <c r="K1021" i="13"/>
  <c r="L1021" i="13" s="1"/>
  <c r="I1021" i="13"/>
  <c r="J1021" i="13" s="1"/>
  <c r="K957" i="13"/>
  <c r="L957" i="13" s="1"/>
  <c r="I957" i="13"/>
  <c r="J957" i="13" s="1"/>
  <c r="K901" i="13"/>
  <c r="L901" i="13" s="1"/>
  <c r="I901" i="13"/>
  <c r="J901" i="13" s="1"/>
  <c r="K853" i="13"/>
  <c r="L853" i="13" s="1"/>
  <c r="I853" i="13"/>
  <c r="J853" i="13" s="1"/>
  <c r="K797" i="13"/>
  <c r="L797" i="13" s="1"/>
  <c r="I797" i="13"/>
  <c r="J797" i="13" s="1"/>
  <c r="K749" i="13"/>
  <c r="L749" i="13" s="1"/>
  <c r="I749" i="13"/>
  <c r="J749" i="13" s="1"/>
  <c r="K693" i="13"/>
  <c r="L693" i="13" s="1"/>
  <c r="I693" i="13"/>
  <c r="J693" i="13" s="1"/>
  <c r="K613" i="13"/>
  <c r="L613" i="13" s="1"/>
  <c r="I613" i="13"/>
  <c r="J613" i="13" s="1"/>
  <c r="K461" i="13"/>
  <c r="L461" i="13" s="1"/>
  <c r="I461" i="13"/>
  <c r="J461" i="13" s="1"/>
  <c r="R1282" i="13"/>
  <c r="Q1282" i="13"/>
  <c r="R1226" i="13"/>
  <c r="Q1226" i="13"/>
  <c r="R1178" i="13"/>
  <c r="Q1178" i="13"/>
  <c r="R1130" i="13"/>
  <c r="Q1130" i="13"/>
  <c r="R1090" i="13"/>
  <c r="Q1090" i="13"/>
  <c r="R1034" i="13"/>
  <c r="Q1034" i="13"/>
  <c r="R994" i="13"/>
  <c r="Q994" i="13"/>
  <c r="R954" i="13"/>
  <c r="Q954" i="13"/>
  <c r="R906" i="13"/>
  <c r="Q906" i="13"/>
  <c r="R850" i="13"/>
  <c r="Q850" i="13"/>
  <c r="R770" i="13"/>
  <c r="Q770" i="13"/>
  <c r="R762" i="13"/>
  <c r="Q762" i="13"/>
  <c r="R754" i="13"/>
  <c r="Q754" i="13"/>
  <c r="R746" i="13"/>
  <c r="Q746" i="13"/>
  <c r="R738" i="13"/>
  <c r="Q738" i="13"/>
  <c r="R730" i="13"/>
  <c r="Q730" i="13"/>
  <c r="R722" i="13"/>
  <c r="Q722" i="13"/>
  <c r="R714" i="13"/>
  <c r="Q714" i="13"/>
  <c r="R706" i="13"/>
  <c r="Q706" i="13"/>
  <c r="R698" i="13"/>
  <c r="Q698" i="13"/>
  <c r="R690" i="13"/>
  <c r="Q690" i="13"/>
  <c r="R666" i="13"/>
  <c r="Q666" i="13"/>
  <c r="Q634" i="13"/>
  <c r="R634" i="13"/>
  <c r="Q610" i="13"/>
  <c r="R610" i="13"/>
  <c r="Q578" i="13"/>
  <c r="R578" i="13"/>
  <c r="R538" i="13"/>
  <c r="Q538" i="13"/>
  <c r="Q514" i="13"/>
  <c r="R514" i="13"/>
  <c r="R474" i="13"/>
  <c r="Q474" i="13"/>
  <c r="Q442" i="13"/>
  <c r="R442" i="13"/>
  <c r="R394" i="13"/>
  <c r="Q394" i="13"/>
  <c r="Q354" i="13"/>
  <c r="R354" i="13"/>
  <c r="Q322" i="13"/>
  <c r="R322" i="13"/>
  <c r="Q298" i="13"/>
  <c r="R298" i="13"/>
  <c r="R266" i="13"/>
  <c r="Q266" i="13"/>
  <c r="Q226" i="13"/>
  <c r="R226" i="13"/>
  <c r="R202" i="13"/>
  <c r="Q202" i="13"/>
  <c r="Q162" i="13"/>
  <c r="R162" i="13"/>
  <c r="Q122" i="13"/>
  <c r="R122" i="13"/>
  <c r="R82" i="13"/>
  <c r="Q82" i="13"/>
  <c r="Q42" i="13"/>
  <c r="R42" i="13"/>
  <c r="R26" i="13"/>
  <c r="Q26" i="13"/>
  <c r="R1273" i="13"/>
  <c r="Q1273" i="13"/>
  <c r="R1257" i="13"/>
  <c r="Q1257" i="13"/>
  <c r="R1304" i="13"/>
  <c r="Q1304" i="13"/>
  <c r="R1280" i="13"/>
  <c r="Q1280" i="13"/>
  <c r="R1248" i="13"/>
  <c r="Q1248" i="13"/>
  <c r="R1224" i="13"/>
  <c r="Q1224" i="13"/>
  <c r="R1208" i="13"/>
  <c r="Q1208" i="13"/>
  <c r="R1176" i="13"/>
  <c r="Q1176" i="13"/>
  <c r="R1152" i="13"/>
  <c r="Q1152" i="13"/>
  <c r="R1128" i="13"/>
  <c r="Q1128" i="13"/>
  <c r="R1096" i="13"/>
  <c r="Q1096" i="13"/>
  <c r="R1064" i="13"/>
  <c r="Q1064" i="13"/>
  <c r="R1048" i="13"/>
  <c r="Q1048" i="13"/>
  <c r="R1016" i="13"/>
  <c r="Q1016" i="13"/>
  <c r="R992" i="13"/>
  <c r="Q992" i="13"/>
  <c r="R976" i="13"/>
  <c r="Q976" i="13"/>
  <c r="R944" i="13"/>
  <c r="Q944" i="13"/>
  <c r="R912" i="13"/>
  <c r="Q912" i="13"/>
  <c r="R880" i="13"/>
  <c r="Q880" i="13"/>
  <c r="R856" i="13"/>
  <c r="Q856" i="13"/>
  <c r="R832" i="13"/>
  <c r="Q832" i="13"/>
  <c r="R808" i="13"/>
  <c r="Q808" i="13"/>
  <c r="R768" i="13"/>
  <c r="Q768" i="13"/>
  <c r="R736" i="13"/>
  <c r="Q736" i="13"/>
  <c r="R704" i="13"/>
  <c r="Q704" i="13"/>
  <c r="R672" i="13"/>
  <c r="Q672" i="13"/>
  <c r="R560" i="13"/>
  <c r="Q560" i="13"/>
  <c r="R1309" i="13"/>
  <c r="Q1309" i="13"/>
  <c r="R1301" i="13"/>
  <c r="Q1301" i="13"/>
  <c r="R1293" i="13"/>
  <c r="Q1293" i="13"/>
  <c r="R1285" i="13"/>
  <c r="Q1285" i="13"/>
  <c r="R1277" i="13"/>
  <c r="Q1277" i="13"/>
  <c r="R1269" i="13"/>
  <c r="Q1269" i="13"/>
  <c r="R1261" i="13"/>
  <c r="Q1261" i="13"/>
  <c r="R1253" i="13"/>
  <c r="Q1253" i="13"/>
  <c r="R1245" i="13"/>
  <c r="Q1245" i="13"/>
  <c r="R1237" i="13"/>
  <c r="Q1237" i="13"/>
  <c r="R1229" i="13"/>
  <c r="Q1229" i="13"/>
  <c r="R1221" i="13"/>
  <c r="Q1221" i="13"/>
  <c r="R1213" i="13"/>
  <c r="Q1213" i="13"/>
  <c r="R1205" i="13"/>
  <c r="Q1205" i="13"/>
  <c r="R1197" i="13"/>
  <c r="Q1197" i="13"/>
  <c r="R1189" i="13"/>
  <c r="Q1189" i="13"/>
  <c r="R1181" i="13"/>
  <c r="Q1181" i="13"/>
  <c r="R1173" i="13"/>
  <c r="Q1173" i="13"/>
  <c r="R1165" i="13"/>
  <c r="Q1165" i="13"/>
  <c r="R1157" i="13"/>
  <c r="Q1157" i="13"/>
  <c r="R1149" i="13"/>
  <c r="Q1149" i="13"/>
  <c r="R1141" i="13"/>
  <c r="Q1141" i="13"/>
  <c r="R1133" i="13"/>
  <c r="Q1133" i="13"/>
  <c r="R1125" i="13"/>
  <c r="Q1125" i="13"/>
  <c r="R1117" i="13"/>
  <c r="Q1117" i="13"/>
  <c r="R1109" i="13"/>
  <c r="Q1109" i="13"/>
  <c r="R1101" i="13"/>
  <c r="Q1101" i="13"/>
  <c r="R1093" i="13"/>
  <c r="Q1093" i="13"/>
  <c r="R1085" i="13"/>
  <c r="Q1085" i="13"/>
  <c r="R1077" i="13"/>
  <c r="Q1077" i="13"/>
  <c r="R1069" i="13"/>
  <c r="Q1069" i="13"/>
  <c r="R1061" i="13"/>
  <c r="Q1061" i="13"/>
  <c r="R1053" i="13"/>
  <c r="Q1053" i="13"/>
  <c r="R1045" i="13"/>
  <c r="Q1045" i="13"/>
  <c r="R1037" i="13"/>
  <c r="Q1037" i="13"/>
  <c r="R1029" i="13"/>
  <c r="Q1029" i="13"/>
  <c r="R1021" i="13"/>
  <c r="Q1021" i="13"/>
  <c r="R1013" i="13"/>
  <c r="Q1013" i="13"/>
  <c r="R1005" i="13"/>
  <c r="Q1005" i="13"/>
  <c r="R997" i="13"/>
  <c r="Q997" i="13"/>
  <c r="R989" i="13"/>
  <c r="Q989" i="13"/>
  <c r="R981" i="13"/>
  <c r="Q981" i="13"/>
  <c r="R973" i="13"/>
  <c r="Q973" i="13"/>
  <c r="R965" i="13"/>
  <c r="Q965" i="13"/>
  <c r="R957" i="13"/>
  <c r="Q957" i="13"/>
  <c r="R949" i="13"/>
  <c r="Q949" i="13"/>
  <c r="R941" i="13"/>
  <c r="Q941" i="13"/>
  <c r="R933" i="13"/>
  <c r="Q933" i="13"/>
  <c r="R925" i="13"/>
  <c r="Q925" i="13"/>
  <c r="R917" i="13"/>
  <c r="Q917" i="13"/>
  <c r="R909" i="13"/>
  <c r="Q909" i="13"/>
  <c r="R901" i="13"/>
  <c r="Q901" i="13"/>
  <c r="R893" i="13"/>
  <c r="Q893" i="13"/>
  <c r="R885" i="13"/>
  <c r="Q885" i="13"/>
  <c r="R877" i="13"/>
  <c r="Q877" i="13"/>
  <c r="R869" i="13"/>
  <c r="Q869" i="13"/>
  <c r="R861" i="13"/>
  <c r="Q861" i="13"/>
  <c r="R853" i="13"/>
  <c r="Q853" i="13"/>
  <c r="R845" i="13"/>
  <c r="Q845" i="13"/>
  <c r="R837" i="13"/>
  <c r="Q837" i="13"/>
  <c r="R829" i="13"/>
  <c r="Q829" i="13"/>
  <c r="R821" i="13"/>
  <c r="Q821" i="13"/>
  <c r="R813" i="13"/>
  <c r="Q813" i="13"/>
  <c r="R805" i="13"/>
  <c r="Q805" i="13"/>
  <c r="R797" i="13"/>
  <c r="Q797" i="13"/>
  <c r="R789" i="13"/>
  <c r="Q789" i="13"/>
  <c r="R781" i="13"/>
  <c r="Q781" i="13"/>
  <c r="R773" i="13"/>
  <c r="Q773" i="13"/>
  <c r="R765" i="13"/>
  <c r="Q765" i="13"/>
  <c r="R757" i="13"/>
  <c r="Q757" i="13"/>
  <c r="R749" i="13"/>
  <c r="Q749" i="13"/>
  <c r="R741" i="13"/>
  <c r="Q741" i="13"/>
  <c r="R733" i="13"/>
  <c r="Q733" i="13"/>
  <c r="R725" i="13"/>
  <c r="Q725" i="13"/>
  <c r="R717" i="13"/>
  <c r="Q717" i="13"/>
  <c r="R709" i="13"/>
  <c r="Q709" i="13"/>
  <c r="R701" i="13"/>
  <c r="Q701" i="13"/>
  <c r="R693" i="13"/>
  <c r="Q693" i="13"/>
  <c r="R685" i="13"/>
  <c r="Q685" i="13"/>
  <c r="R677" i="13"/>
  <c r="Q677" i="13"/>
  <c r="R669" i="13"/>
  <c r="Q669" i="13"/>
  <c r="R661" i="13"/>
  <c r="Q661" i="13"/>
  <c r="R653" i="13"/>
  <c r="Q653" i="13"/>
  <c r="R645" i="13"/>
  <c r="Q645" i="13"/>
  <c r="R637" i="13"/>
  <c r="Q637" i="13"/>
  <c r="R629" i="13"/>
  <c r="Q629" i="13"/>
  <c r="R621" i="13"/>
  <c r="Q621" i="13"/>
  <c r="R613" i="13"/>
  <c r="Q613" i="13"/>
  <c r="R605" i="13"/>
  <c r="Q605" i="13"/>
  <c r="R597" i="13"/>
  <c r="Q597" i="13"/>
  <c r="R589" i="13"/>
  <c r="Q589" i="13"/>
  <c r="R581" i="13"/>
  <c r="Q581" i="13"/>
  <c r="R573" i="13"/>
  <c r="Q573" i="13"/>
  <c r="R565" i="13"/>
  <c r="Q565" i="13"/>
  <c r="R557" i="13"/>
  <c r="Q557" i="13"/>
  <c r="R549" i="13"/>
  <c r="Q549" i="13"/>
  <c r="R541" i="13"/>
  <c r="Q541" i="13"/>
  <c r="R533" i="13"/>
  <c r="Q533" i="13"/>
  <c r="R525" i="13"/>
  <c r="Q525" i="13"/>
  <c r="R517" i="13"/>
  <c r="Q517" i="13"/>
  <c r="R509" i="13"/>
  <c r="Q509" i="13"/>
  <c r="R501" i="13"/>
  <c r="Q501" i="13"/>
  <c r="R493" i="13"/>
  <c r="Q493" i="13"/>
  <c r="R485" i="13"/>
  <c r="Q485" i="13"/>
  <c r="R477" i="13"/>
  <c r="Q477" i="13"/>
  <c r="R469" i="13"/>
  <c r="Q469" i="13"/>
  <c r="R461" i="13"/>
  <c r="Q461" i="13"/>
  <c r="R453" i="13"/>
  <c r="Q453" i="13"/>
  <c r="R445" i="13"/>
  <c r="Q445" i="13"/>
  <c r="R437" i="13"/>
  <c r="Q437" i="13"/>
  <c r="R429" i="13"/>
  <c r="Q429" i="13"/>
  <c r="R421" i="13"/>
  <c r="Q421" i="13"/>
  <c r="R413" i="13"/>
  <c r="Q413" i="13"/>
  <c r="R405" i="13"/>
  <c r="Q405" i="13"/>
  <c r="R397" i="13"/>
  <c r="Q397" i="13"/>
  <c r="R389" i="13"/>
  <c r="Q389" i="13"/>
  <c r="R381" i="13"/>
  <c r="Q381" i="13"/>
  <c r="R373" i="13"/>
  <c r="Q373" i="13"/>
  <c r="R365" i="13"/>
  <c r="Q365" i="13"/>
  <c r="R357" i="13"/>
  <c r="Q357" i="13"/>
  <c r="R349" i="13"/>
  <c r="Q349" i="13"/>
  <c r="R341" i="13"/>
  <c r="Q341" i="13"/>
  <c r="R333" i="13"/>
  <c r="Q333" i="13"/>
  <c r="R325" i="13"/>
  <c r="Q325" i="13"/>
  <c r="R317" i="13"/>
  <c r="Q317" i="13"/>
  <c r="R309" i="13"/>
  <c r="Q309" i="13"/>
  <c r="R301" i="13"/>
  <c r="Q301" i="13"/>
  <c r="R293" i="13"/>
  <c r="Q293" i="13"/>
  <c r="R285" i="13"/>
  <c r="Q285" i="13"/>
  <c r="R277" i="13"/>
  <c r="Q277" i="13"/>
  <c r="R269" i="13"/>
  <c r="Q269" i="13"/>
  <c r="R261" i="13"/>
  <c r="Q261" i="13"/>
  <c r="R253" i="13"/>
  <c r="Q253" i="13"/>
  <c r="R245" i="13"/>
  <c r="Q245" i="13"/>
  <c r="R237" i="13"/>
  <c r="Q237" i="13"/>
  <c r="R229" i="13"/>
  <c r="Q229" i="13"/>
  <c r="R221" i="13"/>
  <c r="Q221" i="13"/>
  <c r="R213" i="13"/>
  <c r="Q213" i="13"/>
  <c r="R205" i="13"/>
  <c r="Q205" i="13"/>
  <c r="R197" i="13"/>
  <c r="Q197" i="13"/>
  <c r="R189" i="13"/>
  <c r="Q189" i="13"/>
  <c r="R181" i="13"/>
  <c r="Q181" i="13"/>
  <c r="R173" i="13"/>
  <c r="Q173" i="13"/>
  <c r="R165" i="13"/>
  <c r="Q165" i="13"/>
  <c r="R157" i="13"/>
  <c r="Q157" i="13"/>
  <c r="R149" i="13"/>
  <c r="Q149" i="13"/>
  <c r="R141" i="13"/>
  <c r="Q141" i="13"/>
  <c r="R133" i="13"/>
  <c r="Q133" i="13"/>
  <c r="R125" i="13"/>
  <c r="Q125" i="13"/>
  <c r="R117" i="13"/>
  <c r="Q117" i="13"/>
  <c r="R109" i="13"/>
  <c r="Q109" i="13"/>
  <c r="R101" i="13"/>
  <c r="Q101" i="13"/>
  <c r="R93" i="13"/>
  <c r="Q93" i="13"/>
  <c r="R85" i="13"/>
  <c r="Q85" i="13"/>
  <c r="R77" i="13"/>
  <c r="Q77" i="13"/>
  <c r="R69" i="13"/>
  <c r="Q69" i="13"/>
  <c r="R61" i="13"/>
  <c r="Q61" i="13"/>
  <c r="R53" i="13"/>
  <c r="Q53" i="13"/>
  <c r="R45" i="13"/>
  <c r="Q45" i="13"/>
  <c r="R37" i="13"/>
  <c r="Q37" i="13"/>
  <c r="R29" i="13"/>
  <c r="Q29" i="13"/>
  <c r="R21" i="13"/>
  <c r="Q21" i="13"/>
  <c r="R13" i="13"/>
  <c r="Q13" i="13"/>
  <c r="R5" i="13"/>
  <c r="Q5" i="13"/>
  <c r="J1122" i="13"/>
  <c r="J1058" i="13"/>
  <c r="J1034" i="13"/>
  <c r="J738" i="13"/>
  <c r="J666" i="13"/>
  <c r="J490" i="13"/>
  <c r="J482" i="13"/>
  <c r="J410" i="13"/>
  <c r="J354" i="13"/>
  <c r="J330" i="13"/>
  <c r="K1311" i="13"/>
  <c r="L1311" i="13" s="1"/>
  <c r="I1311" i="13"/>
  <c r="J1311" i="13" s="1"/>
  <c r="K1303" i="13"/>
  <c r="L1303" i="13" s="1"/>
  <c r="I1303" i="13"/>
  <c r="J1303" i="13" s="1"/>
  <c r="K1295" i="13"/>
  <c r="L1295" i="13" s="1"/>
  <c r="I1295" i="13"/>
  <c r="J1295" i="13" s="1"/>
  <c r="K1287" i="13"/>
  <c r="L1287" i="13" s="1"/>
  <c r="I1287" i="13"/>
  <c r="J1287" i="13" s="1"/>
  <c r="K1279" i="13"/>
  <c r="L1279" i="13" s="1"/>
  <c r="I1279" i="13"/>
  <c r="J1279" i="13" s="1"/>
  <c r="K1271" i="13"/>
  <c r="L1271" i="13" s="1"/>
  <c r="I1271" i="13"/>
  <c r="J1271" i="13" s="1"/>
  <c r="K1263" i="13"/>
  <c r="L1263" i="13" s="1"/>
  <c r="I1263" i="13"/>
  <c r="J1263" i="13" s="1"/>
  <c r="K1255" i="13"/>
  <c r="L1255" i="13" s="1"/>
  <c r="I1255" i="13"/>
  <c r="J1255" i="13" s="1"/>
  <c r="K1247" i="13"/>
  <c r="L1247" i="13" s="1"/>
  <c r="I1247" i="13"/>
  <c r="J1247" i="13" s="1"/>
  <c r="K1239" i="13"/>
  <c r="L1239" i="13" s="1"/>
  <c r="I1239" i="13"/>
  <c r="J1239" i="13" s="1"/>
  <c r="K1231" i="13"/>
  <c r="L1231" i="13" s="1"/>
  <c r="I1231" i="13"/>
  <c r="J1231" i="13" s="1"/>
  <c r="K1223" i="13"/>
  <c r="L1223" i="13" s="1"/>
  <c r="I1223" i="13"/>
  <c r="J1223" i="13" s="1"/>
  <c r="K1215" i="13"/>
  <c r="L1215" i="13" s="1"/>
  <c r="I1215" i="13"/>
  <c r="J1215" i="13" s="1"/>
  <c r="K1207" i="13"/>
  <c r="L1207" i="13" s="1"/>
  <c r="I1207" i="13"/>
  <c r="J1207" i="13" s="1"/>
  <c r="K1199" i="13"/>
  <c r="L1199" i="13" s="1"/>
  <c r="I1199" i="13"/>
  <c r="J1199" i="13" s="1"/>
  <c r="K1191" i="13"/>
  <c r="L1191" i="13" s="1"/>
  <c r="I1191" i="13"/>
  <c r="J1191" i="13" s="1"/>
  <c r="K1183" i="13"/>
  <c r="L1183" i="13" s="1"/>
  <c r="I1183" i="13"/>
  <c r="J1183" i="13" s="1"/>
  <c r="K1175" i="13"/>
  <c r="L1175" i="13" s="1"/>
  <c r="I1175" i="13"/>
  <c r="J1175" i="13" s="1"/>
  <c r="K1167" i="13"/>
  <c r="L1167" i="13" s="1"/>
  <c r="I1167" i="13"/>
  <c r="J1167" i="13" s="1"/>
  <c r="K1159" i="13"/>
  <c r="L1159" i="13" s="1"/>
  <c r="I1159" i="13"/>
  <c r="J1159" i="13" s="1"/>
  <c r="K1151" i="13"/>
  <c r="L1151" i="13" s="1"/>
  <c r="I1151" i="13"/>
  <c r="J1151" i="13" s="1"/>
  <c r="K1143" i="13"/>
  <c r="L1143" i="13" s="1"/>
  <c r="I1143" i="13"/>
  <c r="J1143" i="13" s="1"/>
  <c r="K1135" i="13"/>
  <c r="L1135" i="13" s="1"/>
  <c r="I1135" i="13"/>
  <c r="J1135" i="13" s="1"/>
  <c r="K1127" i="13"/>
  <c r="L1127" i="13" s="1"/>
  <c r="I1127" i="13"/>
  <c r="J1127" i="13" s="1"/>
  <c r="K1119" i="13"/>
  <c r="L1119" i="13" s="1"/>
  <c r="I1119" i="13"/>
  <c r="J1119" i="13" s="1"/>
  <c r="K1111" i="13"/>
  <c r="L1111" i="13" s="1"/>
  <c r="I1111" i="13"/>
  <c r="J1111" i="13" s="1"/>
  <c r="K1103" i="13"/>
  <c r="L1103" i="13" s="1"/>
  <c r="I1103" i="13"/>
  <c r="J1103" i="13" s="1"/>
  <c r="K1095" i="13"/>
  <c r="L1095" i="13" s="1"/>
  <c r="I1095" i="13"/>
  <c r="J1095" i="13" s="1"/>
  <c r="K1087" i="13"/>
  <c r="L1087" i="13" s="1"/>
  <c r="I1087" i="13"/>
  <c r="J1087" i="13" s="1"/>
  <c r="K1079" i="13"/>
  <c r="L1079" i="13" s="1"/>
  <c r="I1079" i="13"/>
  <c r="J1079" i="13" s="1"/>
  <c r="K1071" i="13"/>
  <c r="L1071" i="13" s="1"/>
  <c r="I1071" i="13"/>
  <c r="J1071" i="13" s="1"/>
  <c r="K1063" i="13"/>
  <c r="L1063" i="13" s="1"/>
  <c r="I1063" i="13"/>
  <c r="J1063" i="13" s="1"/>
  <c r="K1055" i="13"/>
  <c r="L1055" i="13" s="1"/>
  <c r="I1055" i="13"/>
  <c r="J1055" i="13" s="1"/>
  <c r="K1047" i="13"/>
  <c r="L1047" i="13" s="1"/>
  <c r="I1047" i="13"/>
  <c r="J1047" i="13" s="1"/>
  <c r="K1039" i="13"/>
  <c r="L1039" i="13" s="1"/>
  <c r="I1039" i="13"/>
  <c r="J1039" i="13" s="1"/>
  <c r="K1031" i="13"/>
  <c r="L1031" i="13" s="1"/>
  <c r="I1031" i="13"/>
  <c r="J1031" i="13" s="1"/>
  <c r="K1023" i="13"/>
  <c r="L1023" i="13" s="1"/>
  <c r="I1023" i="13"/>
  <c r="J1023" i="13" s="1"/>
  <c r="K1015" i="13"/>
  <c r="L1015" i="13" s="1"/>
  <c r="I1015" i="13"/>
  <c r="J1015" i="13" s="1"/>
  <c r="K1007" i="13"/>
  <c r="L1007" i="13" s="1"/>
  <c r="I1007" i="13"/>
  <c r="J1007" i="13" s="1"/>
  <c r="K999" i="13"/>
  <c r="L999" i="13" s="1"/>
  <c r="I999" i="13"/>
  <c r="J999" i="13" s="1"/>
  <c r="K991" i="13"/>
  <c r="L991" i="13" s="1"/>
  <c r="I991" i="13"/>
  <c r="J991" i="13" s="1"/>
  <c r="K983" i="13"/>
  <c r="L983" i="13" s="1"/>
  <c r="I983" i="13"/>
  <c r="J983" i="13" s="1"/>
  <c r="K975" i="13"/>
  <c r="L975" i="13" s="1"/>
  <c r="I975" i="13"/>
  <c r="J975" i="13" s="1"/>
  <c r="K967" i="13"/>
  <c r="L967" i="13" s="1"/>
  <c r="I967" i="13"/>
  <c r="J967" i="13" s="1"/>
  <c r="K959" i="13"/>
  <c r="L959" i="13" s="1"/>
  <c r="I959" i="13"/>
  <c r="J959" i="13" s="1"/>
  <c r="K951" i="13"/>
  <c r="L951" i="13" s="1"/>
  <c r="I951" i="13"/>
  <c r="J951" i="13" s="1"/>
  <c r="K943" i="13"/>
  <c r="L943" i="13" s="1"/>
  <c r="I943" i="13"/>
  <c r="J943" i="13" s="1"/>
  <c r="K935" i="13"/>
  <c r="L935" i="13" s="1"/>
  <c r="I935" i="13"/>
  <c r="J935" i="13" s="1"/>
  <c r="K927" i="13"/>
  <c r="L927" i="13" s="1"/>
  <c r="I927" i="13"/>
  <c r="J927" i="13" s="1"/>
  <c r="K919" i="13"/>
  <c r="L919" i="13" s="1"/>
  <c r="I919" i="13"/>
  <c r="J919" i="13" s="1"/>
  <c r="K911" i="13"/>
  <c r="L911" i="13" s="1"/>
  <c r="I911" i="13"/>
  <c r="J911" i="13" s="1"/>
  <c r="K903" i="13"/>
  <c r="L903" i="13" s="1"/>
  <c r="I903" i="13"/>
  <c r="J903" i="13" s="1"/>
  <c r="K895" i="13"/>
  <c r="L895" i="13" s="1"/>
  <c r="I895" i="13"/>
  <c r="J895" i="13" s="1"/>
  <c r="K887" i="13"/>
  <c r="L887" i="13" s="1"/>
  <c r="I887" i="13"/>
  <c r="J887" i="13" s="1"/>
  <c r="K879" i="13"/>
  <c r="L879" i="13" s="1"/>
  <c r="I879" i="13"/>
  <c r="J879" i="13" s="1"/>
  <c r="K871" i="13"/>
  <c r="L871" i="13" s="1"/>
  <c r="I871" i="13"/>
  <c r="J871" i="13" s="1"/>
  <c r="K863" i="13"/>
  <c r="L863" i="13" s="1"/>
  <c r="I863" i="13"/>
  <c r="J863" i="13" s="1"/>
  <c r="K855" i="13"/>
  <c r="L855" i="13" s="1"/>
  <c r="I855" i="13"/>
  <c r="J855" i="13" s="1"/>
  <c r="K847" i="13"/>
  <c r="L847" i="13" s="1"/>
  <c r="I847" i="13"/>
  <c r="J847" i="13" s="1"/>
  <c r="K839" i="13"/>
  <c r="L839" i="13" s="1"/>
  <c r="I839" i="13"/>
  <c r="J839" i="13" s="1"/>
  <c r="K831" i="13"/>
  <c r="L831" i="13" s="1"/>
  <c r="I831" i="13"/>
  <c r="J831" i="13" s="1"/>
  <c r="K823" i="13"/>
  <c r="L823" i="13" s="1"/>
  <c r="I823" i="13"/>
  <c r="J823" i="13" s="1"/>
  <c r="K815" i="13"/>
  <c r="L815" i="13" s="1"/>
  <c r="I815" i="13"/>
  <c r="J815" i="13" s="1"/>
  <c r="K807" i="13"/>
  <c r="L807" i="13" s="1"/>
  <c r="I807" i="13"/>
  <c r="J807" i="13" s="1"/>
  <c r="K799" i="13"/>
  <c r="L799" i="13" s="1"/>
  <c r="I799" i="13"/>
  <c r="J799" i="13" s="1"/>
  <c r="K791" i="13"/>
  <c r="L791" i="13" s="1"/>
  <c r="I791" i="13"/>
  <c r="J791" i="13" s="1"/>
  <c r="K783" i="13"/>
  <c r="L783" i="13" s="1"/>
  <c r="I783" i="13"/>
  <c r="J783" i="13" s="1"/>
  <c r="K775" i="13"/>
  <c r="L775" i="13" s="1"/>
  <c r="I775" i="13"/>
  <c r="J775" i="13" s="1"/>
  <c r="K767" i="13"/>
  <c r="L767" i="13" s="1"/>
  <c r="I767" i="13"/>
  <c r="J767" i="13" s="1"/>
  <c r="K759" i="13"/>
  <c r="L759" i="13" s="1"/>
  <c r="I759" i="13"/>
  <c r="J759" i="13" s="1"/>
  <c r="K751" i="13"/>
  <c r="L751" i="13" s="1"/>
  <c r="I751" i="13"/>
  <c r="J751" i="13" s="1"/>
  <c r="K743" i="13"/>
  <c r="L743" i="13" s="1"/>
  <c r="I743" i="13"/>
  <c r="J743" i="13" s="1"/>
  <c r="K735" i="13"/>
  <c r="L735" i="13" s="1"/>
  <c r="I735" i="13"/>
  <c r="J735" i="13" s="1"/>
  <c r="K727" i="13"/>
  <c r="L727" i="13" s="1"/>
  <c r="I727" i="13"/>
  <c r="J727" i="13" s="1"/>
  <c r="K719" i="13"/>
  <c r="L719" i="13" s="1"/>
  <c r="I719" i="13"/>
  <c r="J719" i="13" s="1"/>
  <c r="K711" i="13"/>
  <c r="L711" i="13" s="1"/>
  <c r="I711" i="13"/>
  <c r="J711" i="13" s="1"/>
  <c r="K703" i="13"/>
  <c r="L703" i="13" s="1"/>
  <c r="I703" i="13"/>
  <c r="J703" i="13" s="1"/>
  <c r="K695" i="13"/>
  <c r="L695" i="13" s="1"/>
  <c r="I695" i="13"/>
  <c r="J695" i="13" s="1"/>
  <c r="K687" i="13"/>
  <c r="L687" i="13" s="1"/>
  <c r="I687" i="13"/>
  <c r="J687" i="13" s="1"/>
  <c r="K679" i="13"/>
  <c r="L679" i="13" s="1"/>
  <c r="I679" i="13"/>
  <c r="J679" i="13" s="1"/>
  <c r="K671" i="13"/>
  <c r="L671" i="13" s="1"/>
  <c r="I671" i="13"/>
  <c r="J671" i="13" s="1"/>
  <c r="K663" i="13"/>
  <c r="L663" i="13" s="1"/>
  <c r="I663" i="13"/>
  <c r="J663" i="13" s="1"/>
  <c r="K655" i="13"/>
  <c r="L655" i="13" s="1"/>
  <c r="I655" i="13"/>
  <c r="J655" i="13" s="1"/>
  <c r="K647" i="13"/>
  <c r="L647" i="13" s="1"/>
  <c r="I647" i="13"/>
  <c r="J647" i="13" s="1"/>
  <c r="K639" i="13"/>
  <c r="L639" i="13" s="1"/>
  <c r="I639" i="13"/>
  <c r="J639" i="13" s="1"/>
  <c r="K631" i="13"/>
  <c r="L631" i="13" s="1"/>
  <c r="I631" i="13"/>
  <c r="J631" i="13" s="1"/>
  <c r="K623" i="13"/>
  <c r="L623" i="13" s="1"/>
  <c r="I623" i="13"/>
  <c r="J623" i="13" s="1"/>
  <c r="K615" i="13"/>
  <c r="L615" i="13" s="1"/>
  <c r="I615" i="13"/>
  <c r="J615" i="13" s="1"/>
  <c r="K607" i="13"/>
  <c r="L607" i="13" s="1"/>
  <c r="I607" i="13"/>
  <c r="J607" i="13" s="1"/>
  <c r="K599" i="13"/>
  <c r="L599" i="13" s="1"/>
  <c r="I599" i="13"/>
  <c r="J599" i="13" s="1"/>
  <c r="K591" i="13"/>
  <c r="L591" i="13" s="1"/>
  <c r="I591" i="13"/>
  <c r="J591" i="13" s="1"/>
  <c r="K583" i="13"/>
  <c r="L583" i="13" s="1"/>
  <c r="I583" i="13"/>
  <c r="J583" i="13" s="1"/>
  <c r="K575" i="13"/>
  <c r="L575" i="13" s="1"/>
  <c r="I575" i="13"/>
  <c r="J575" i="13" s="1"/>
  <c r="K567" i="13"/>
  <c r="L567" i="13" s="1"/>
  <c r="I567" i="13"/>
  <c r="J567" i="13" s="1"/>
  <c r="K559" i="13"/>
  <c r="L559" i="13" s="1"/>
  <c r="I559" i="13"/>
  <c r="J559" i="13" s="1"/>
  <c r="K551" i="13"/>
  <c r="L551" i="13" s="1"/>
  <c r="I551" i="13"/>
  <c r="J551" i="13" s="1"/>
  <c r="K543" i="13"/>
  <c r="L543" i="13" s="1"/>
  <c r="I543" i="13"/>
  <c r="J543" i="13" s="1"/>
  <c r="K535" i="13"/>
  <c r="L535" i="13" s="1"/>
  <c r="I535" i="13"/>
  <c r="J535" i="13" s="1"/>
  <c r="K527" i="13"/>
  <c r="L527" i="13" s="1"/>
  <c r="I527" i="13"/>
  <c r="J527" i="13" s="1"/>
  <c r="K519" i="13"/>
  <c r="L519" i="13" s="1"/>
  <c r="I519" i="13"/>
  <c r="J519" i="13" s="1"/>
  <c r="K511" i="13"/>
  <c r="L511" i="13" s="1"/>
  <c r="I511" i="13"/>
  <c r="J511" i="13" s="1"/>
  <c r="K503" i="13"/>
  <c r="L503" i="13" s="1"/>
  <c r="I503" i="13"/>
  <c r="J503" i="13" s="1"/>
  <c r="K495" i="13"/>
  <c r="L495" i="13" s="1"/>
  <c r="I495" i="13"/>
  <c r="J495" i="13" s="1"/>
  <c r="K487" i="13"/>
  <c r="L487" i="13" s="1"/>
  <c r="I487" i="13"/>
  <c r="J487" i="13" s="1"/>
  <c r="K479" i="13"/>
  <c r="L479" i="13" s="1"/>
  <c r="I479" i="13"/>
  <c r="J479" i="13" s="1"/>
  <c r="K471" i="13"/>
  <c r="L471" i="13" s="1"/>
  <c r="I471" i="13"/>
  <c r="J471" i="13" s="1"/>
  <c r="K463" i="13"/>
  <c r="L463" i="13" s="1"/>
  <c r="I463" i="13"/>
  <c r="J463" i="13" s="1"/>
  <c r="K455" i="13"/>
  <c r="L455" i="13" s="1"/>
  <c r="I455" i="13"/>
  <c r="J455" i="13" s="1"/>
  <c r="K447" i="13"/>
  <c r="L447" i="13" s="1"/>
  <c r="I447" i="13"/>
  <c r="J447" i="13" s="1"/>
  <c r="K439" i="13"/>
  <c r="L439" i="13" s="1"/>
  <c r="I439" i="13"/>
  <c r="J439" i="13" s="1"/>
  <c r="K431" i="13"/>
  <c r="L431" i="13" s="1"/>
  <c r="I431" i="13"/>
  <c r="J431" i="13" s="1"/>
  <c r="K423" i="13"/>
  <c r="L423" i="13" s="1"/>
  <c r="I423" i="13"/>
  <c r="J423" i="13" s="1"/>
  <c r="K415" i="13"/>
  <c r="L415" i="13" s="1"/>
  <c r="I415" i="13"/>
  <c r="J415" i="13" s="1"/>
  <c r="K407" i="13"/>
  <c r="L407" i="13" s="1"/>
  <c r="I407" i="13"/>
  <c r="J407" i="13" s="1"/>
  <c r="K399" i="13"/>
  <c r="L399" i="13" s="1"/>
  <c r="I399" i="13"/>
  <c r="J399" i="13" s="1"/>
  <c r="K391" i="13"/>
  <c r="L391" i="13" s="1"/>
  <c r="I391" i="13"/>
  <c r="J391" i="13" s="1"/>
  <c r="K383" i="13"/>
  <c r="L383" i="13" s="1"/>
  <c r="I383" i="13"/>
  <c r="J383" i="13" s="1"/>
  <c r="K375" i="13"/>
  <c r="L375" i="13" s="1"/>
  <c r="I375" i="13"/>
  <c r="J375" i="13" s="1"/>
  <c r="K367" i="13"/>
  <c r="L367" i="13" s="1"/>
  <c r="I367" i="13"/>
  <c r="J367" i="13" s="1"/>
  <c r="K359" i="13"/>
  <c r="L359" i="13" s="1"/>
  <c r="I359" i="13"/>
  <c r="J359" i="13" s="1"/>
  <c r="K351" i="13"/>
  <c r="L351" i="13" s="1"/>
  <c r="I351" i="13"/>
  <c r="J351" i="13" s="1"/>
  <c r="K343" i="13"/>
  <c r="L343" i="13" s="1"/>
  <c r="I343" i="13"/>
  <c r="J343" i="13" s="1"/>
  <c r="M335" i="13"/>
  <c r="O335" i="13" s="1"/>
  <c r="M168" i="13"/>
  <c r="O168" i="13" s="1"/>
  <c r="P168" i="13" s="1"/>
  <c r="M315" i="13"/>
  <c r="O315" i="13" s="1"/>
  <c r="M307" i="13"/>
  <c r="N307" i="13" s="1"/>
  <c r="M299" i="13"/>
  <c r="N299" i="13" s="1"/>
  <c r="M291" i="13"/>
  <c r="M283" i="13"/>
  <c r="O283" i="13" s="1"/>
  <c r="M267" i="13"/>
  <c r="O267" i="13" s="1"/>
  <c r="M259" i="13"/>
  <c r="O259" i="13" s="1"/>
  <c r="M235" i="13"/>
  <c r="O235" i="13" s="1"/>
  <c r="M211" i="13"/>
  <c r="M187" i="13"/>
  <c r="O187" i="13" s="1"/>
  <c r="M171" i="13"/>
  <c r="O171" i="13" s="1"/>
  <c r="M163" i="13"/>
  <c r="M155" i="13"/>
  <c r="O155" i="13" s="1"/>
  <c r="M147" i="13"/>
  <c r="M139" i="13"/>
  <c r="O139" i="13" s="1"/>
  <c r="M123" i="13"/>
  <c r="O123" i="13" s="1"/>
  <c r="M115" i="13"/>
  <c r="O115" i="13" s="1"/>
  <c r="M99" i="13"/>
  <c r="O99" i="13" s="1"/>
  <c r="M91" i="13"/>
  <c r="O91" i="13" s="1"/>
  <c r="M75" i="13"/>
  <c r="N75" i="13" s="1"/>
  <c r="M67" i="13"/>
  <c r="O67" i="13" s="1"/>
  <c r="M43" i="13"/>
  <c r="O43" i="13" s="1"/>
  <c r="M27" i="13"/>
  <c r="O27" i="13" s="1"/>
  <c r="M19" i="13"/>
  <c r="O19" i="13" s="1"/>
  <c r="M11" i="13"/>
  <c r="N11" i="13" s="1"/>
  <c r="M3" i="13"/>
  <c r="O3" i="13" s="1"/>
  <c r="I293" i="13"/>
  <c r="J293" i="13" s="1"/>
  <c r="I285" i="13"/>
  <c r="J285" i="13" s="1"/>
  <c r="I277" i="13"/>
  <c r="J277" i="13" s="1"/>
  <c r="I269" i="13"/>
  <c r="J269" i="13" s="1"/>
  <c r="I261" i="13"/>
  <c r="J261" i="13" s="1"/>
  <c r="I253" i="13"/>
  <c r="J253" i="13" s="1"/>
  <c r="I245" i="13"/>
  <c r="J245" i="13" s="1"/>
  <c r="I237" i="13"/>
  <c r="J237" i="13" s="1"/>
  <c r="I229" i="13"/>
  <c r="J229" i="13" s="1"/>
  <c r="I221" i="13"/>
  <c r="J221" i="13" s="1"/>
  <c r="I213" i="13"/>
  <c r="J213" i="13" s="1"/>
  <c r="I205" i="13"/>
  <c r="J205" i="13" s="1"/>
  <c r="I197" i="13"/>
  <c r="J197" i="13" s="1"/>
  <c r="I189" i="13"/>
  <c r="J189" i="13" s="1"/>
  <c r="I181" i="13"/>
  <c r="J181" i="13" s="1"/>
  <c r="I173" i="13"/>
  <c r="J173" i="13" s="1"/>
  <c r="I165" i="13"/>
  <c r="J165" i="13" s="1"/>
  <c r="I157" i="13"/>
  <c r="J157" i="13" s="1"/>
  <c r="I149" i="13"/>
  <c r="J149" i="13" s="1"/>
  <c r="I141" i="13"/>
  <c r="J141" i="13" s="1"/>
  <c r="I133" i="13"/>
  <c r="J133" i="13" s="1"/>
  <c r="I125" i="13"/>
  <c r="J125" i="13" s="1"/>
  <c r="I117" i="13"/>
  <c r="J117" i="13" s="1"/>
  <c r="I109" i="13"/>
  <c r="J109" i="13" s="1"/>
  <c r="I101" i="13"/>
  <c r="J101" i="13" s="1"/>
  <c r="I93" i="13"/>
  <c r="J93" i="13" s="1"/>
  <c r="I85" i="13"/>
  <c r="J85" i="13" s="1"/>
  <c r="I77" i="13"/>
  <c r="J77" i="13" s="1"/>
  <c r="I69" i="13"/>
  <c r="J69" i="13" s="1"/>
  <c r="I61" i="13"/>
  <c r="J61" i="13" s="1"/>
  <c r="I53" i="13"/>
  <c r="J53" i="13" s="1"/>
  <c r="I45" i="13"/>
  <c r="J45" i="13" s="1"/>
  <c r="I37" i="13"/>
  <c r="J37" i="13" s="1"/>
  <c r="I29" i="13"/>
  <c r="J29" i="13" s="1"/>
  <c r="I21" i="13"/>
  <c r="J21" i="13" s="1"/>
  <c r="I13" i="13"/>
  <c r="J13" i="13" s="1"/>
  <c r="I5" i="13"/>
  <c r="J5" i="13" s="1"/>
  <c r="K104" i="13"/>
  <c r="L104" i="13" s="1"/>
  <c r="M306" i="13"/>
  <c r="O306" i="13" s="1"/>
  <c r="M298" i="13"/>
  <c r="O298" i="13" s="1"/>
  <c r="M290" i="13"/>
  <c r="O290" i="13" s="1"/>
  <c r="M282" i="13"/>
  <c r="O282" i="13" s="1"/>
  <c r="M258" i="13"/>
  <c r="O258" i="13" s="1"/>
  <c r="M242" i="13"/>
  <c r="O242" i="13" s="1"/>
  <c r="M234" i="13"/>
  <c r="O234" i="13" s="1"/>
  <c r="M226" i="13"/>
  <c r="O226" i="13" s="1"/>
  <c r="M210" i="13"/>
  <c r="O210" i="13" s="1"/>
  <c r="M202" i="13"/>
  <c r="O202" i="13" s="1"/>
  <c r="M186" i="13"/>
  <c r="O186" i="13" s="1"/>
  <c r="M170" i="13"/>
  <c r="N170" i="13" s="1"/>
  <c r="M162" i="13"/>
  <c r="O162" i="13" s="1"/>
  <c r="M154" i="13"/>
  <c r="O154" i="13" s="1"/>
  <c r="M138" i="13"/>
  <c r="O138" i="13" s="1"/>
  <c r="M130" i="13"/>
  <c r="N130" i="13" s="1"/>
  <c r="M114" i="13"/>
  <c r="O114" i="13" s="1"/>
  <c r="M90" i="13"/>
  <c r="O90" i="13" s="1"/>
  <c r="M74" i="13"/>
  <c r="O74" i="13" s="1"/>
  <c r="M66" i="13"/>
  <c r="N66" i="13" s="1"/>
  <c r="M50" i="13"/>
  <c r="O50" i="13" s="1"/>
  <c r="M42" i="13"/>
  <c r="O42" i="13" s="1"/>
  <c r="M26" i="13"/>
  <c r="O26" i="13" s="1"/>
  <c r="M18" i="13"/>
  <c r="O18" i="13" s="1"/>
  <c r="M10" i="13"/>
  <c r="O10" i="13" s="1"/>
  <c r="K40" i="13"/>
  <c r="L40" i="13" s="1"/>
  <c r="K753" i="13"/>
  <c r="L753" i="13" s="1"/>
  <c r="K745" i="13"/>
  <c r="L745" i="13" s="1"/>
  <c r="K737" i="13"/>
  <c r="L737" i="13" s="1"/>
  <c r="K729" i="13"/>
  <c r="L729" i="13" s="1"/>
  <c r="K721" i="13"/>
  <c r="L721" i="13" s="1"/>
  <c r="K713" i="13"/>
  <c r="L713" i="13" s="1"/>
  <c r="K705" i="13"/>
  <c r="L705" i="13" s="1"/>
  <c r="K697" i="13"/>
  <c r="L697" i="13" s="1"/>
  <c r="K689" i="13"/>
  <c r="L689" i="13" s="1"/>
  <c r="K681" i="13"/>
  <c r="L681" i="13" s="1"/>
  <c r="K673" i="13"/>
  <c r="L673" i="13" s="1"/>
  <c r="K665" i="13"/>
  <c r="L665" i="13" s="1"/>
  <c r="K657" i="13"/>
  <c r="L657" i="13" s="1"/>
  <c r="K649" i="13"/>
  <c r="L649" i="13" s="1"/>
  <c r="K641" i="13"/>
  <c r="L641" i="13" s="1"/>
  <c r="K633" i="13"/>
  <c r="L633" i="13" s="1"/>
  <c r="K625" i="13"/>
  <c r="L625" i="13" s="1"/>
  <c r="K617" i="13"/>
  <c r="L617" i="13" s="1"/>
  <c r="K609" i="13"/>
  <c r="L609" i="13" s="1"/>
  <c r="K601" i="13"/>
  <c r="L601" i="13" s="1"/>
  <c r="K593" i="13"/>
  <c r="L593" i="13" s="1"/>
  <c r="K585" i="13"/>
  <c r="L585" i="13" s="1"/>
  <c r="K577" i="13"/>
  <c r="L577" i="13" s="1"/>
  <c r="K569" i="13"/>
  <c r="L569" i="13" s="1"/>
  <c r="K561" i="13"/>
  <c r="L561" i="13" s="1"/>
  <c r="K553" i="13"/>
  <c r="L553" i="13" s="1"/>
  <c r="K545" i="13"/>
  <c r="L545" i="13" s="1"/>
  <c r="K537" i="13"/>
  <c r="L537" i="13" s="1"/>
  <c r="K529" i="13"/>
  <c r="L529" i="13" s="1"/>
  <c r="K521" i="13"/>
  <c r="L521" i="13" s="1"/>
  <c r="K513" i="13"/>
  <c r="L513" i="13" s="1"/>
  <c r="K505" i="13"/>
  <c r="L505" i="13" s="1"/>
  <c r="K497" i="13"/>
  <c r="L497" i="13" s="1"/>
  <c r="K489" i="13"/>
  <c r="L489" i="13" s="1"/>
  <c r="K481" i="13"/>
  <c r="L481" i="13" s="1"/>
  <c r="K473" i="13"/>
  <c r="L473" i="13" s="1"/>
  <c r="K465" i="13"/>
  <c r="L465" i="13" s="1"/>
  <c r="K457" i="13"/>
  <c r="L457" i="13" s="1"/>
  <c r="K449" i="13"/>
  <c r="L449" i="13" s="1"/>
  <c r="K441" i="13"/>
  <c r="L441" i="13" s="1"/>
  <c r="K433" i="13"/>
  <c r="L433" i="13" s="1"/>
  <c r="K425" i="13"/>
  <c r="L425" i="13" s="1"/>
  <c r="K417" i="13"/>
  <c r="L417" i="13" s="1"/>
  <c r="K409" i="13"/>
  <c r="L409" i="13" s="1"/>
  <c r="K401" i="13"/>
  <c r="L401" i="13" s="1"/>
  <c r="K393" i="13"/>
  <c r="L393" i="13" s="1"/>
  <c r="K385" i="13"/>
  <c r="L385" i="13" s="1"/>
  <c r="K377" i="13"/>
  <c r="L377" i="13" s="1"/>
  <c r="K369" i="13"/>
  <c r="L369" i="13" s="1"/>
  <c r="K361" i="13"/>
  <c r="L361" i="13" s="1"/>
  <c r="K353" i="13"/>
  <c r="L353" i="13" s="1"/>
  <c r="K345" i="13"/>
  <c r="L345" i="13" s="1"/>
  <c r="K337" i="13"/>
  <c r="L337" i="13" s="1"/>
  <c r="K329" i="13"/>
  <c r="L329" i="13" s="1"/>
  <c r="K321" i="13"/>
  <c r="L321" i="13" s="1"/>
  <c r="K313" i="13"/>
  <c r="L313" i="13" s="1"/>
  <c r="K305" i="13"/>
  <c r="L305" i="13" s="1"/>
  <c r="K297" i="13"/>
  <c r="L297" i="13" s="1"/>
  <c r="K289" i="13"/>
  <c r="L289" i="13" s="1"/>
  <c r="K281" i="13"/>
  <c r="L281" i="13" s="1"/>
  <c r="K273" i="13"/>
  <c r="L273" i="13" s="1"/>
  <c r="K265" i="13"/>
  <c r="L265" i="13" s="1"/>
  <c r="K257" i="13"/>
  <c r="L257" i="13" s="1"/>
  <c r="K249" i="13"/>
  <c r="L249" i="13" s="1"/>
  <c r="K241" i="13"/>
  <c r="L241" i="13" s="1"/>
  <c r="K233" i="13"/>
  <c r="L233" i="13" s="1"/>
  <c r="K225" i="13"/>
  <c r="L225" i="13" s="1"/>
  <c r="K217" i="13"/>
  <c r="L217" i="13" s="1"/>
  <c r="K209" i="13"/>
  <c r="L209" i="13" s="1"/>
  <c r="K201" i="13"/>
  <c r="L201" i="13" s="1"/>
  <c r="K193" i="13"/>
  <c r="L193" i="13" s="1"/>
  <c r="K185" i="13"/>
  <c r="L185" i="13" s="1"/>
  <c r="K177" i="13"/>
  <c r="L177" i="13" s="1"/>
  <c r="K169" i="13"/>
  <c r="L169" i="13" s="1"/>
  <c r="K161" i="13"/>
  <c r="L161" i="13" s="1"/>
  <c r="K153" i="13"/>
  <c r="L153" i="13" s="1"/>
  <c r="K145" i="13"/>
  <c r="L145" i="13" s="1"/>
  <c r="K137" i="13"/>
  <c r="L137" i="13" s="1"/>
  <c r="K129" i="13"/>
  <c r="L129" i="13" s="1"/>
  <c r="K121" i="13"/>
  <c r="L121" i="13" s="1"/>
  <c r="K113" i="13"/>
  <c r="L113" i="13" s="1"/>
  <c r="K105" i="13"/>
  <c r="L105" i="13" s="1"/>
  <c r="K97" i="13"/>
  <c r="L97" i="13" s="1"/>
  <c r="K89" i="13"/>
  <c r="L89" i="13" s="1"/>
  <c r="K81" i="13"/>
  <c r="L81" i="13" s="1"/>
  <c r="K73" i="13"/>
  <c r="L73" i="13" s="1"/>
  <c r="K65" i="13"/>
  <c r="L65" i="13" s="1"/>
  <c r="K57" i="13"/>
  <c r="L57" i="13" s="1"/>
  <c r="K49" i="13"/>
  <c r="L49" i="13" s="1"/>
  <c r="K41" i="13"/>
  <c r="L41" i="13" s="1"/>
  <c r="K33" i="13"/>
  <c r="L33" i="13" s="1"/>
  <c r="K25" i="13"/>
  <c r="L25" i="13" s="1"/>
  <c r="K17" i="13"/>
  <c r="L17" i="13" s="1"/>
  <c r="K9" i="13"/>
  <c r="L9" i="13" s="1"/>
  <c r="I331" i="13"/>
  <c r="J331" i="13" s="1"/>
  <c r="I323" i="13"/>
  <c r="J323" i="13" s="1"/>
  <c r="I315" i="13"/>
  <c r="J315" i="13" s="1"/>
  <c r="I307" i="13"/>
  <c r="J307" i="13" s="1"/>
  <c r="I299" i="13"/>
  <c r="J299" i="13" s="1"/>
  <c r="I291" i="13"/>
  <c r="J291" i="13" s="1"/>
  <c r="I283" i="13"/>
  <c r="J283" i="13" s="1"/>
  <c r="I275" i="13"/>
  <c r="J275" i="13" s="1"/>
  <c r="I267" i="13"/>
  <c r="J267" i="13" s="1"/>
  <c r="I259" i="13"/>
  <c r="J259" i="13" s="1"/>
  <c r="I251" i="13"/>
  <c r="J251" i="13" s="1"/>
  <c r="I243" i="13"/>
  <c r="J243" i="13" s="1"/>
  <c r="I235" i="13"/>
  <c r="J235" i="13" s="1"/>
  <c r="I227" i="13"/>
  <c r="J227" i="13" s="1"/>
  <c r="I219" i="13"/>
  <c r="J219" i="13" s="1"/>
  <c r="I211" i="13"/>
  <c r="J211" i="13" s="1"/>
  <c r="I203" i="13"/>
  <c r="J203" i="13" s="1"/>
  <c r="I195" i="13"/>
  <c r="J195" i="13" s="1"/>
  <c r="I187" i="13"/>
  <c r="J187" i="13" s="1"/>
  <c r="I179" i="13"/>
  <c r="J179" i="13" s="1"/>
  <c r="I171" i="13"/>
  <c r="J171" i="13" s="1"/>
  <c r="I163" i="13"/>
  <c r="J163" i="13" s="1"/>
  <c r="I155" i="13"/>
  <c r="J155" i="13" s="1"/>
  <c r="I147" i="13"/>
  <c r="J147" i="13" s="1"/>
  <c r="I139" i="13"/>
  <c r="J139" i="13" s="1"/>
  <c r="I131" i="13"/>
  <c r="J131" i="13" s="1"/>
  <c r="I123" i="13"/>
  <c r="J123" i="13" s="1"/>
  <c r="I115" i="13"/>
  <c r="J115" i="13" s="1"/>
  <c r="I107" i="13"/>
  <c r="J107" i="13" s="1"/>
  <c r="I99" i="13"/>
  <c r="J99" i="13" s="1"/>
  <c r="I91" i="13"/>
  <c r="J91" i="13" s="1"/>
  <c r="I83" i="13"/>
  <c r="J83" i="13" s="1"/>
  <c r="I75" i="13"/>
  <c r="J75" i="13" s="1"/>
  <c r="I67" i="13"/>
  <c r="J67" i="13" s="1"/>
  <c r="I59" i="13"/>
  <c r="J59" i="13" s="1"/>
  <c r="I51" i="13"/>
  <c r="J51" i="13" s="1"/>
  <c r="I43" i="13"/>
  <c r="J43" i="13" s="1"/>
  <c r="I35" i="13"/>
  <c r="J35" i="13" s="1"/>
  <c r="I27" i="13"/>
  <c r="J27" i="13" s="1"/>
  <c r="I19" i="13"/>
  <c r="J19" i="13" s="1"/>
  <c r="I11" i="13"/>
  <c r="J11" i="13" s="1"/>
  <c r="I3" i="13"/>
  <c r="J3" i="13" s="1"/>
  <c r="M288" i="13"/>
  <c r="O288" i="13" s="1"/>
  <c r="M280" i="13"/>
  <c r="N280" i="13" s="1"/>
  <c r="M272" i="13"/>
  <c r="O272" i="13" s="1"/>
  <c r="M264" i="13"/>
  <c r="O264" i="13" s="1"/>
  <c r="M256" i="13"/>
  <c r="N256" i="13" s="1"/>
  <c r="M248" i="13"/>
  <c r="N248" i="13" s="1"/>
  <c r="M240" i="13"/>
  <c r="O240" i="13" s="1"/>
  <c r="M224" i="13"/>
  <c r="O224" i="13" s="1"/>
  <c r="M216" i="13"/>
  <c r="O216" i="13" s="1"/>
  <c r="M208" i="13"/>
  <c r="O208" i="13" s="1"/>
  <c r="M200" i="13"/>
  <c r="O200" i="13" s="1"/>
  <c r="M192" i="13"/>
  <c r="O192" i="13" s="1"/>
  <c r="M184" i="13"/>
  <c r="O184" i="13" s="1"/>
  <c r="P184" i="13" s="1"/>
  <c r="M176" i="13"/>
  <c r="O176" i="13" s="1"/>
  <c r="M160" i="13"/>
  <c r="O160" i="13" s="1"/>
  <c r="M152" i="13"/>
  <c r="N152" i="13" s="1"/>
  <c r="M144" i="13"/>
  <c r="N144" i="13" s="1"/>
  <c r="M136" i="13"/>
  <c r="O136" i="13" s="1"/>
  <c r="M128" i="13"/>
  <c r="O128" i="13" s="1"/>
  <c r="M112" i="13"/>
  <c r="O112" i="13" s="1"/>
  <c r="M88" i="13"/>
  <c r="N88" i="13" s="1"/>
  <c r="M80" i="13"/>
  <c r="O80" i="13" s="1"/>
  <c r="M64" i="13"/>
  <c r="N64" i="13" s="1"/>
  <c r="M56" i="13"/>
  <c r="O56" i="13" s="1"/>
  <c r="M48" i="13"/>
  <c r="O48" i="13" s="1"/>
  <c r="M32" i="13"/>
  <c r="O32" i="13" s="1"/>
  <c r="M16" i="13"/>
  <c r="O16" i="13" s="1"/>
  <c r="M8" i="13"/>
  <c r="O8" i="13" s="1"/>
  <c r="I322" i="13"/>
  <c r="J322" i="13" s="1"/>
  <c r="I314" i="13"/>
  <c r="J314" i="13" s="1"/>
  <c r="I306" i="13"/>
  <c r="J306" i="13" s="1"/>
  <c r="I298" i="13"/>
  <c r="J298" i="13" s="1"/>
  <c r="I290" i="13"/>
  <c r="J290" i="13" s="1"/>
  <c r="I282" i="13"/>
  <c r="J282" i="13" s="1"/>
  <c r="I274" i="13"/>
  <c r="J274" i="13" s="1"/>
  <c r="I266" i="13"/>
  <c r="J266" i="13" s="1"/>
  <c r="I258" i="13"/>
  <c r="J258" i="13" s="1"/>
  <c r="I250" i="13"/>
  <c r="J250" i="13" s="1"/>
  <c r="I242" i="13"/>
  <c r="J242" i="13" s="1"/>
  <c r="I234" i="13"/>
  <c r="J234" i="13" s="1"/>
  <c r="I226" i="13"/>
  <c r="J226" i="13" s="1"/>
  <c r="I218" i="13"/>
  <c r="J218" i="13" s="1"/>
  <c r="I210" i="13"/>
  <c r="J210" i="13" s="1"/>
  <c r="I202" i="13"/>
  <c r="J202" i="13" s="1"/>
  <c r="I194" i="13"/>
  <c r="J194" i="13" s="1"/>
  <c r="I186" i="13"/>
  <c r="J186" i="13" s="1"/>
  <c r="I178" i="13"/>
  <c r="J178" i="13" s="1"/>
  <c r="I170" i="13"/>
  <c r="J170" i="13" s="1"/>
  <c r="I162" i="13"/>
  <c r="J162" i="13" s="1"/>
  <c r="I154" i="13"/>
  <c r="J154" i="13" s="1"/>
  <c r="I146" i="13"/>
  <c r="J146" i="13" s="1"/>
  <c r="I138" i="13"/>
  <c r="J138" i="13" s="1"/>
  <c r="I130" i="13"/>
  <c r="J130" i="13" s="1"/>
  <c r="I122" i="13"/>
  <c r="J122" i="13" s="1"/>
  <c r="I114" i="13"/>
  <c r="J114" i="13" s="1"/>
  <c r="I106" i="13"/>
  <c r="J106" i="13" s="1"/>
  <c r="I98" i="13"/>
  <c r="J98" i="13" s="1"/>
  <c r="I90" i="13"/>
  <c r="J90" i="13" s="1"/>
  <c r="I82" i="13"/>
  <c r="J82" i="13" s="1"/>
  <c r="I74" i="13"/>
  <c r="J74" i="13" s="1"/>
  <c r="I66" i="13"/>
  <c r="J66" i="13" s="1"/>
  <c r="I58" i="13"/>
  <c r="J58" i="13" s="1"/>
  <c r="I50" i="13"/>
  <c r="J50" i="13" s="1"/>
  <c r="I42" i="13"/>
  <c r="J42" i="13" s="1"/>
  <c r="I34" i="13"/>
  <c r="J34" i="13" s="1"/>
  <c r="I26" i="13"/>
  <c r="J26" i="13" s="1"/>
  <c r="I18" i="13"/>
  <c r="J18" i="13" s="1"/>
  <c r="I10" i="13"/>
  <c r="J10" i="13" s="1"/>
  <c r="M319" i="13"/>
  <c r="O319" i="13" s="1"/>
  <c r="M311" i="13"/>
  <c r="N311" i="13" s="1"/>
  <c r="M303" i="13"/>
  <c r="O303" i="13" s="1"/>
  <c r="M295" i="13"/>
  <c r="O295" i="13" s="1"/>
  <c r="M287" i="13"/>
  <c r="N287" i="13" s="1"/>
  <c r="M279" i="13"/>
  <c r="O279" i="13" s="1"/>
  <c r="M271" i="13"/>
  <c r="O271" i="13" s="1"/>
  <c r="M255" i="13"/>
  <c r="O255" i="13" s="1"/>
  <c r="M247" i="13"/>
  <c r="O247" i="13" s="1"/>
  <c r="M239" i="13"/>
  <c r="O239" i="13" s="1"/>
  <c r="M223" i="13"/>
  <c r="O223" i="13" s="1"/>
  <c r="M207" i="13"/>
  <c r="N207" i="13" s="1"/>
  <c r="M199" i="13"/>
  <c r="O199" i="13" s="1"/>
  <c r="M191" i="13"/>
  <c r="N191" i="13" s="1"/>
  <c r="M175" i="13"/>
  <c r="O175" i="13" s="1"/>
  <c r="M167" i="13"/>
  <c r="O167" i="13" s="1"/>
  <c r="M159" i="13"/>
  <c r="O159" i="13" s="1"/>
  <c r="M151" i="13"/>
  <c r="O151" i="13" s="1"/>
  <c r="M143" i="13"/>
  <c r="O143" i="13" s="1"/>
  <c r="M135" i="13"/>
  <c r="O135" i="13" s="1"/>
  <c r="M127" i="13"/>
  <c r="N127" i="13" s="1"/>
  <c r="M111" i="13"/>
  <c r="O111" i="13" s="1"/>
  <c r="M103" i="13"/>
  <c r="O103" i="13" s="1"/>
  <c r="M95" i="13"/>
  <c r="N95" i="13" s="1"/>
  <c r="M79" i="13"/>
  <c r="O79" i="13" s="1"/>
  <c r="M63" i="13"/>
  <c r="O63" i="13" s="1"/>
  <c r="M55" i="13"/>
  <c r="O55" i="13" s="1"/>
  <c r="M47" i="13"/>
  <c r="O47" i="13" s="1"/>
  <c r="M31" i="13"/>
  <c r="O31" i="13" s="1"/>
  <c r="M23" i="13"/>
  <c r="O23" i="13" s="1"/>
  <c r="M15" i="13"/>
  <c r="O15" i="13" s="1"/>
  <c r="M7" i="13"/>
  <c r="N7" i="13" s="1"/>
  <c r="I753" i="13"/>
  <c r="J753" i="13" s="1"/>
  <c r="I745" i="13"/>
  <c r="J745" i="13" s="1"/>
  <c r="I737" i="13"/>
  <c r="J737" i="13" s="1"/>
  <c r="I729" i="13"/>
  <c r="J729" i="13" s="1"/>
  <c r="I721" i="13"/>
  <c r="J721" i="13" s="1"/>
  <c r="I713" i="13"/>
  <c r="J713" i="13" s="1"/>
  <c r="I705" i="13"/>
  <c r="J705" i="13" s="1"/>
  <c r="I697" i="13"/>
  <c r="J697" i="13" s="1"/>
  <c r="I689" i="13"/>
  <c r="J689" i="13" s="1"/>
  <c r="I681" i="13"/>
  <c r="J681" i="13" s="1"/>
  <c r="I673" i="13"/>
  <c r="J673" i="13" s="1"/>
  <c r="I665" i="13"/>
  <c r="J665" i="13" s="1"/>
  <c r="I657" i="13"/>
  <c r="J657" i="13" s="1"/>
  <c r="I649" i="13"/>
  <c r="J649" i="13" s="1"/>
  <c r="I641" i="13"/>
  <c r="J641" i="13" s="1"/>
  <c r="I633" i="13"/>
  <c r="J633" i="13" s="1"/>
  <c r="I625" i="13"/>
  <c r="J625" i="13" s="1"/>
  <c r="I617" i="13"/>
  <c r="J617" i="13" s="1"/>
  <c r="I609" i="13"/>
  <c r="J609" i="13" s="1"/>
  <c r="I601" i="13"/>
  <c r="J601" i="13" s="1"/>
  <c r="I593" i="13"/>
  <c r="J593" i="13" s="1"/>
  <c r="I585" i="13"/>
  <c r="J585" i="13" s="1"/>
  <c r="I577" i="13"/>
  <c r="J577" i="13" s="1"/>
  <c r="I569" i="13"/>
  <c r="J569" i="13" s="1"/>
  <c r="I561" i="13"/>
  <c r="J561" i="13" s="1"/>
  <c r="I553" i="13"/>
  <c r="J553" i="13" s="1"/>
  <c r="I545" i="13"/>
  <c r="J545" i="13" s="1"/>
  <c r="I537" i="13"/>
  <c r="J537" i="13" s="1"/>
  <c r="I529" i="13"/>
  <c r="J529" i="13" s="1"/>
  <c r="I521" i="13"/>
  <c r="J521" i="13" s="1"/>
  <c r="I513" i="13"/>
  <c r="J513" i="13" s="1"/>
  <c r="I505" i="13"/>
  <c r="J505" i="13" s="1"/>
  <c r="I497" i="13"/>
  <c r="J497" i="13" s="1"/>
  <c r="I489" i="13"/>
  <c r="J489" i="13" s="1"/>
  <c r="I481" i="13"/>
  <c r="J481" i="13" s="1"/>
  <c r="I473" i="13"/>
  <c r="J473" i="13" s="1"/>
  <c r="I465" i="13"/>
  <c r="J465" i="13" s="1"/>
  <c r="I457" i="13"/>
  <c r="J457" i="13" s="1"/>
  <c r="I449" i="13"/>
  <c r="J449" i="13" s="1"/>
  <c r="I441" i="13"/>
  <c r="J441" i="13" s="1"/>
  <c r="I433" i="13"/>
  <c r="J433" i="13" s="1"/>
  <c r="I425" i="13"/>
  <c r="J425" i="13" s="1"/>
  <c r="I417" i="13"/>
  <c r="J417" i="13" s="1"/>
  <c r="I409" i="13"/>
  <c r="J409" i="13" s="1"/>
  <c r="I401" i="13"/>
  <c r="J401" i="13" s="1"/>
  <c r="I393" i="13"/>
  <c r="J393" i="13" s="1"/>
  <c r="I385" i="13"/>
  <c r="J385" i="13" s="1"/>
  <c r="I377" i="13"/>
  <c r="J377" i="13" s="1"/>
  <c r="I369" i="13"/>
  <c r="J369" i="13" s="1"/>
  <c r="I361" i="13"/>
  <c r="J361" i="13" s="1"/>
  <c r="I353" i="13"/>
  <c r="J353" i="13" s="1"/>
  <c r="I345" i="13"/>
  <c r="J345" i="13" s="1"/>
  <c r="I337" i="13"/>
  <c r="J337" i="13" s="1"/>
  <c r="I329" i="13"/>
  <c r="J329" i="13" s="1"/>
  <c r="I321" i="13"/>
  <c r="J321" i="13" s="1"/>
  <c r="I313" i="13"/>
  <c r="J313" i="13" s="1"/>
  <c r="I305" i="13"/>
  <c r="J305" i="13" s="1"/>
  <c r="I297" i="13"/>
  <c r="J297" i="13" s="1"/>
  <c r="I289" i="13"/>
  <c r="J289" i="13" s="1"/>
  <c r="I281" i="13"/>
  <c r="J281" i="13" s="1"/>
  <c r="I273" i="13"/>
  <c r="J273" i="13" s="1"/>
  <c r="I265" i="13"/>
  <c r="J265" i="13" s="1"/>
  <c r="I257" i="13"/>
  <c r="J257" i="13" s="1"/>
  <c r="I249" i="13"/>
  <c r="J249" i="13" s="1"/>
  <c r="I241" i="13"/>
  <c r="J241" i="13" s="1"/>
  <c r="I233" i="13"/>
  <c r="J233" i="13" s="1"/>
  <c r="I225" i="13"/>
  <c r="J225" i="13" s="1"/>
  <c r="I217" i="13"/>
  <c r="J217" i="13" s="1"/>
  <c r="I209" i="13"/>
  <c r="J209" i="13" s="1"/>
  <c r="I201" i="13"/>
  <c r="J201" i="13" s="1"/>
  <c r="I193" i="13"/>
  <c r="J193" i="13" s="1"/>
  <c r="I185" i="13"/>
  <c r="J185" i="13" s="1"/>
  <c r="I177" i="13"/>
  <c r="J177" i="13" s="1"/>
  <c r="I169" i="13"/>
  <c r="J169" i="13" s="1"/>
  <c r="I161" i="13"/>
  <c r="J161" i="13" s="1"/>
  <c r="I153" i="13"/>
  <c r="J153" i="13" s="1"/>
  <c r="I145" i="13"/>
  <c r="J145" i="13" s="1"/>
  <c r="I137" i="13"/>
  <c r="J137" i="13" s="1"/>
  <c r="I129" i="13"/>
  <c r="J129" i="13" s="1"/>
  <c r="I121" i="13"/>
  <c r="J121" i="13" s="1"/>
  <c r="I113" i="13"/>
  <c r="J113" i="13" s="1"/>
  <c r="I105" i="13"/>
  <c r="J105" i="13" s="1"/>
  <c r="I97" i="13"/>
  <c r="J97" i="13" s="1"/>
  <c r="I89" i="13"/>
  <c r="J89" i="13" s="1"/>
  <c r="I81" i="13"/>
  <c r="J81" i="13" s="1"/>
  <c r="I73" i="13"/>
  <c r="J73" i="13" s="1"/>
  <c r="I65" i="13"/>
  <c r="J65" i="13" s="1"/>
  <c r="I57" i="13"/>
  <c r="J57" i="13" s="1"/>
  <c r="I49" i="13"/>
  <c r="J49" i="13" s="1"/>
  <c r="I41" i="13"/>
  <c r="J41" i="13" s="1"/>
  <c r="I33" i="13"/>
  <c r="J33" i="13" s="1"/>
  <c r="I25" i="13"/>
  <c r="J25" i="13" s="1"/>
  <c r="I17" i="13"/>
  <c r="J17" i="13" s="1"/>
  <c r="I9" i="13"/>
  <c r="J9" i="13" s="1"/>
  <c r="M54" i="13"/>
  <c r="O54" i="13" s="1"/>
  <c r="M46" i="13"/>
  <c r="N46" i="13" s="1"/>
  <c r="M38" i="13"/>
  <c r="O38" i="13" s="1"/>
  <c r="M30" i="13"/>
  <c r="N30" i="13" s="1"/>
  <c r="M6" i="13"/>
  <c r="O6" i="13" s="1"/>
  <c r="I304" i="13"/>
  <c r="J304" i="13" s="1"/>
  <c r="I296" i="13"/>
  <c r="J296" i="13" s="1"/>
  <c r="I288" i="13"/>
  <c r="J288" i="13" s="1"/>
  <c r="I280" i="13"/>
  <c r="J280" i="13" s="1"/>
  <c r="I272" i="13"/>
  <c r="J272" i="13" s="1"/>
  <c r="I264" i="13"/>
  <c r="J264" i="13" s="1"/>
  <c r="I256" i="13"/>
  <c r="J256" i="13" s="1"/>
  <c r="I248" i="13"/>
  <c r="J248" i="13" s="1"/>
  <c r="I240" i="13"/>
  <c r="J240" i="13" s="1"/>
  <c r="I232" i="13"/>
  <c r="J232" i="13" s="1"/>
  <c r="I224" i="13"/>
  <c r="J224" i="13" s="1"/>
  <c r="I216" i="13"/>
  <c r="J216" i="13" s="1"/>
  <c r="I208" i="13"/>
  <c r="J208" i="13" s="1"/>
  <c r="I200" i="13"/>
  <c r="J200" i="13" s="1"/>
  <c r="I192" i="13"/>
  <c r="J192" i="13" s="1"/>
  <c r="I184" i="13"/>
  <c r="J184" i="13" s="1"/>
  <c r="I176" i="13"/>
  <c r="J176" i="13" s="1"/>
  <c r="I160" i="13"/>
  <c r="J160" i="13" s="1"/>
  <c r="I152" i="13"/>
  <c r="J152" i="13" s="1"/>
  <c r="I144" i="13"/>
  <c r="J144" i="13" s="1"/>
  <c r="I136" i="13"/>
  <c r="J136" i="13" s="1"/>
  <c r="I128" i="13"/>
  <c r="J128" i="13" s="1"/>
  <c r="I120" i="13"/>
  <c r="J120" i="13" s="1"/>
  <c r="I112" i="13"/>
  <c r="J112" i="13" s="1"/>
  <c r="I96" i="13"/>
  <c r="J96" i="13" s="1"/>
  <c r="I88" i="13"/>
  <c r="J88" i="13" s="1"/>
  <c r="I80" i="13"/>
  <c r="J80" i="13" s="1"/>
  <c r="I72" i="13"/>
  <c r="J72" i="13" s="1"/>
  <c r="I64" i="13"/>
  <c r="J64" i="13" s="1"/>
  <c r="I56" i="13"/>
  <c r="J56" i="13" s="1"/>
  <c r="I48" i="13"/>
  <c r="J48" i="13" s="1"/>
  <c r="I32" i="13"/>
  <c r="J32" i="13" s="1"/>
  <c r="I24" i="13"/>
  <c r="J24" i="13" s="1"/>
  <c r="I16" i="13"/>
  <c r="J16" i="13" s="1"/>
  <c r="I8" i="13"/>
  <c r="J8" i="13" s="1"/>
  <c r="M293" i="13"/>
  <c r="O293" i="13" s="1"/>
  <c r="M285" i="13"/>
  <c r="M277" i="13"/>
  <c r="O277" i="13" s="1"/>
  <c r="M269" i="13"/>
  <c r="O269" i="13" s="1"/>
  <c r="M253" i="13"/>
  <c r="O253" i="13" s="1"/>
  <c r="M245" i="13"/>
  <c r="O245" i="13" s="1"/>
  <c r="M229" i="13"/>
  <c r="O229" i="13" s="1"/>
  <c r="M221" i="13"/>
  <c r="O221" i="13" s="1"/>
  <c r="M205" i="13"/>
  <c r="O205" i="13" s="1"/>
  <c r="M197" i="13"/>
  <c r="O197" i="13" s="1"/>
  <c r="M189" i="13"/>
  <c r="M181" i="13"/>
  <c r="N181" i="13" s="1"/>
  <c r="M173" i="13"/>
  <c r="O173" i="13" s="1"/>
  <c r="M157" i="13"/>
  <c r="O157" i="13" s="1"/>
  <c r="M149" i="13"/>
  <c r="N149" i="13" s="1"/>
  <c r="M141" i="13"/>
  <c r="O141" i="13" s="1"/>
  <c r="M133" i="13"/>
  <c r="O133" i="13" s="1"/>
  <c r="M125" i="13"/>
  <c r="O125" i="13" s="1"/>
  <c r="M109" i="13"/>
  <c r="O109" i="13" s="1"/>
  <c r="M101" i="13"/>
  <c r="N101" i="13" s="1"/>
  <c r="M93" i="13"/>
  <c r="M85" i="13"/>
  <c r="O85" i="13" s="1"/>
  <c r="M77" i="13"/>
  <c r="O77" i="13" s="1"/>
  <c r="M61" i="13"/>
  <c r="O61" i="13" s="1"/>
  <c r="M53" i="13"/>
  <c r="N53" i="13" s="1"/>
  <c r="M37" i="13"/>
  <c r="O37" i="13" s="1"/>
  <c r="M29" i="13"/>
  <c r="O29" i="13" s="1"/>
  <c r="M13" i="13"/>
  <c r="O13" i="13" s="1"/>
  <c r="M5" i="13"/>
  <c r="O5" i="13" s="1"/>
  <c r="P5" i="13" s="1"/>
  <c r="I335" i="13"/>
  <c r="J335" i="13" s="1"/>
  <c r="I327" i="13"/>
  <c r="J327" i="13" s="1"/>
  <c r="I319" i="13"/>
  <c r="J319" i="13" s="1"/>
  <c r="I311" i="13"/>
  <c r="J311" i="13" s="1"/>
  <c r="I303" i="13"/>
  <c r="J303" i="13" s="1"/>
  <c r="I295" i="13"/>
  <c r="J295" i="13" s="1"/>
  <c r="I287" i="13"/>
  <c r="J287" i="13" s="1"/>
  <c r="I279" i="13"/>
  <c r="J279" i="13" s="1"/>
  <c r="I271" i="13"/>
  <c r="J271" i="13" s="1"/>
  <c r="I263" i="13"/>
  <c r="J263" i="13" s="1"/>
  <c r="I255" i="13"/>
  <c r="J255" i="13" s="1"/>
  <c r="I247" i="13"/>
  <c r="J247" i="13" s="1"/>
  <c r="I239" i="13"/>
  <c r="J239" i="13" s="1"/>
  <c r="I231" i="13"/>
  <c r="J231" i="13" s="1"/>
  <c r="I223" i="13"/>
  <c r="J223" i="13" s="1"/>
  <c r="I215" i="13"/>
  <c r="J215" i="13" s="1"/>
  <c r="I207" i="13"/>
  <c r="J207" i="13" s="1"/>
  <c r="I199" i="13"/>
  <c r="J199" i="13" s="1"/>
  <c r="I191" i="13"/>
  <c r="J191" i="13" s="1"/>
  <c r="I183" i="13"/>
  <c r="J183" i="13" s="1"/>
  <c r="I175" i="13"/>
  <c r="J175" i="13" s="1"/>
  <c r="I167" i="13"/>
  <c r="J167" i="13" s="1"/>
  <c r="I159" i="13"/>
  <c r="J159" i="13" s="1"/>
  <c r="I151" i="13"/>
  <c r="J151" i="13" s="1"/>
  <c r="I143" i="13"/>
  <c r="J143" i="13" s="1"/>
  <c r="I135" i="13"/>
  <c r="J135" i="13" s="1"/>
  <c r="I127" i="13"/>
  <c r="J127" i="13" s="1"/>
  <c r="I119" i="13"/>
  <c r="J119" i="13" s="1"/>
  <c r="I111" i="13"/>
  <c r="J111" i="13" s="1"/>
  <c r="I103" i="13"/>
  <c r="J103" i="13" s="1"/>
  <c r="I95" i="13"/>
  <c r="J95" i="13" s="1"/>
  <c r="I87" i="13"/>
  <c r="J87" i="13" s="1"/>
  <c r="I79" i="13"/>
  <c r="J79" i="13" s="1"/>
  <c r="I71" i="13"/>
  <c r="J71" i="13" s="1"/>
  <c r="I63" i="13"/>
  <c r="J63" i="13" s="1"/>
  <c r="I55" i="13"/>
  <c r="J55" i="13" s="1"/>
  <c r="I47" i="13"/>
  <c r="J47" i="13" s="1"/>
  <c r="I39" i="13"/>
  <c r="J39" i="13" s="1"/>
  <c r="I31" i="13"/>
  <c r="J31" i="13" s="1"/>
  <c r="I23" i="13"/>
  <c r="J23" i="13" s="1"/>
  <c r="I15" i="13"/>
  <c r="J15" i="13" s="1"/>
  <c r="I7" i="13"/>
  <c r="J7" i="13" s="1"/>
  <c r="M147" i="8"/>
  <c r="M121" i="8"/>
  <c r="M120" i="8"/>
  <c r="M123" i="8"/>
  <c r="M137" i="8"/>
  <c r="M138" i="8"/>
  <c r="M144" i="8"/>
  <c r="M145" i="8"/>
  <c r="D224" i="12"/>
  <c r="D223" i="12"/>
  <c r="D222" i="12"/>
  <c r="D221" i="12"/>
  <c r="D220" i="12"/>
  <c r="D219" i="12"/>
  <c r="D218" i="12"/>
  <c r="H215" i="12" a="1"/>
  <c r="H215" i="12" s="1"/>
  <c r="H229" i="12" a="1"/>
  <c r="H229" i="12" s="1"/>
  <c r="D238" i="12"/>
  <c r="D237" i="12"/>
  <c r="D236" i="12"/>
  <c r="D235" i="12"/>
  <c r="D234" i="12"/>
  <c r="D233" i="12"/>
  <c r="D232" i="12"/>
  <c r="D309" i="12"/>
  <c r="D172" i="12"/>
  <c r="B71" i="8"/>
  <c r="A126" i="8"/>
  <c r="A82" i="8"/>
  <c r="A83" i="8"/>
  <c r="AD50" i="8" a="1"/>
  <c r="AD50" i="8" s="1"/>
  <c r="AD51" i="8" s="1"/>
  <c r="AC50" i="8" a="1"/>
  <c r="AC50" i="8" s="1"/>
  <c r="AC51" i="8" s="1"/>
  <c r="AB50" i="8" a="1"/>
  <c r="AB50" i="8" s="1"/>
  <c r="AB51" i="8" s="1"/>
  <c r="B48" i="12"/>
  <c r="B184" i="12"/>
  <c r="B310" i="12"/>
  <c r="B174" i="12"/>
  <c r="B176" i="12"/>
  <c r="B172" i="12"/>
  <c r="B278" i="12"/>
  <c r="B233" i="12"/>
  <c r="B58" i="12"/>
  <c r="B112" i="12"/>
  <c r="B74" i="12"/>
  <c r="B198" i="12"/>
  <c r="B171" i="12"/>
  <c r="B219" i="12"/>
  <c r="B223" i="12"/>
  <c r="B126" i="12"/>
  <c r="B173" i="12"/>
  <c r="B282" i="12"/>
  <c r="B284" i="12"/>
  <c r="B238" i="12"/>
  <c r="B103" i="12"/>
  <c r="B86" i="12"/>
  <c r="B224" i="12"/>
  <c r="B138" i="12"/>
  <c r="B199" i="12"/>
  <c r="B197" i="12"/>
  <c r="B309" i="12"/>
  <c r="B49" i="12"/>
  <c r="B115" i="12"/>
  <c r="B73" i="12"/>
  <c r="B85" i="12"/>
  <c r="B196" i="12"/>
  <c r="B46" i="12"/>
  <c r="B288" i="12"/>
  <c r="B71" i="12"/>
  <c r="B137" i="12"/>
  <c r="B232" i="12"/>
  <c r="B292" i="12"/>
  <c r="B260" i="12"/>
  <c r="B235" i="12"/>
  <c r="B306" i="12"/>
  <c r="B88" i="12"/>
  <c r="B104" i="12"/>
  <c r="B188" i="12"/>
  <c r="B62" i="12"/>
  <c r="B261" i="12"/>
  <c r="B102" i="12"/>
  <c r="B296" i="12"/>
  <c r="B154" i="12"/>
  <c r="B59" i="12"/>
  <c r="B140" i="12"/>
  <c r="B63" i="12"/>
  <c r="B276" i="12"/>
  <c r="B77" i="12"/>
  <c r="B236" i="12"/>
  <c r="B187" i="12"/>
  <c r="B87" i="12"/>
  <c r="B101" i="12"/>
  <c r="B50" i="12"/>
  <c r="B220" i="12"/>
  <c r="B259" i="12"/>
  <c r="B156" i="12"/>
  <c r="B127" i="12"/>
  <c r="B256" i="12"/>
  <c r="B221" i="12"/>
  <c r="B218" i="12"/>
  <c r="B234" i="12"/>
  <c r="B307" i="12"/>
  <c r="B139" i="12"/>
  <c r="B125" i="12"/>
  <c r="B100" i="12"/>
  <c r="B202" i="12"/>
  <c r="B159" i="12"/>
  <c r="B72" i="12"/>
  <c r="B128" i="12"/>
  <c r="B237" i="12"/>
  <c r="B280" i="12"/>
  <c r="B47" i="12"/>
  <c r="B308" i="12"/>
  <c r="B114" i="12"/>
  <c r="B90" i="12"/>
  <c r="B136" i="12"/>
  <c r="B155" i="12"/>
  <c r="B185" i="12"/>
  <c r="B116" i="12"/>
  <c r="B257" i="12"/>
  <c r="B186" i="12"/>
  <c r="B113" i="12"/>
  <c r="B124" i="12"/>
  <c r="B60" i="12"/>
  <c r="B222" i="12"/>
  <c r="B153" i="12"/>
  <c r="P215" i="13" l="1"/>
  <c r="P54" i="13"/>
  <c r="P173" i="13"/>
  <c r="P69" i="13"/>
  <c r="P253" i="13"/>
  <c r="P237" i="13"/>
  <c r="N197" i="13"/>
  <c r="P141" i="13"/>
  <c r="P245" i="13"/>
  <c r="N184" i="13"/>
  <c r="N31" i="13"/>
  <c r="N422" i="13"/>
  <c r="N69" i="13"/>
  <c r="P304" i="13"/>
  <c r="P213" i="13"/>
  <c r="N120" i="13"/>
  <c r="N43" i="13"/>
  <c r="P23" i="13"/>
  <c r="P77" i="13"/>
  <c r="M230" i="13"/>
  <c r="N230" i="13" s="1"/>
  <c r="P6" i="13"/>
  <c r="P234" i="13"/>
  <c r="P22" i="13"/>
  <c r="N255" i="13"/>
  <c r="P242" i="13"/>
  <c r="P205" i="13"/>
  <c r="N133" i="13"/>
  <c r="N8" i="13"/>
  <c r="N293" i="13"/>
  <c r="P135" i="13"/>
  <c r="P219" i="13"/>
  <c r="N229" i="13"/>
  <c r="N303" i="13"/>
  <c r="N111" i="13"/>
  <c r="P139" i="13"/>
  <c r="N277" i="13"/>
  <c r="N194" i="13"/>
  <c r="P117" i="13"/>
  <c r="N37" i="13"/>
  <c r="P13" i="13"/>
  <c r="P21" i="13"/>
  <c r="P42" i="13"/>
  <c r="N245" i="13"/>
  <c r="P38" i="13"/>
  <c r="P109" i="13"/>
  <c r="N117" i="13"/>
  <c r="P261" i="13"/>
  <c r="P71" i="13"/>
  <c r="P143" i="13"/>
  <c r="N107" i="13"/>
  <c r="N322" i="13"/>
  <c r="P125" i="13"/>
  <c r="P197" i="13"/>
  <c r="N261" i="13"/>
  <c r="P79" i="13"/>
  <c r="N223" i="13"/>
  <c r="N80" i="13"/>
  <c r="P274" i="13"/>
  <c r="P203" i="13"/>
  <c r="P61" i="13"/>
  <c r="P269" i="13"/>
  <c r="P15" i="13"/>
  <c r="N159" i="13"/>
  <c r="N806" i="13"/>
  <c r="N239" i="13"/>
  <c r="N112" i="13"/>
  <c r="P122" i="13"/>
  <c r="P59" i="13"/>
  <c r="P19" i="13"/>
  <c r="N5" i="13"/>
  <c r="N175" i="13"/>
  <c r="N319" i="13"/>
  <c r="N32" i="13"/>
  <c r="N192" i="13"/>
  <c r="P67" i="13"/>
  <c r="N486" i="13"/>
  <c r="N1190" i="13"/>
  <c r="P200" i="13"/>
  <c r="P251" i="13"/>
  <c r="N165" i="13"/>
  <c r="N47" i="13"/>
  <c r="N48" i="13"/>
  <c r="P128" i="13"/>
  <c r="P208" i="13"/>
  <c r="P288" i="13"/>
  <c r="P218" i="13"/>
  <c r="P263" i="13"/>
  <c r="P136" i="13"/>
  <c r="N208" i="13"/>
  <c r="N171" i="13"/>
  <c r="P162" i="13"/>
  <c r="N63" i="13"/>
  <c r="P199" i="13"/>
  <c r="P271" i="13"/>
  <c r="P99" i="13"/>
  <c r="N162" i="13"/>
  <c r="P231" i="13"/>
  <c r="P133" i="13"/>
  <c r="P63" i="13"/>
  <c r="P255" i="13"/>
  <c r="P319" i="13"/>
  <c r="P48" i="13"/>
  <c r="P120" i="13"/>
  <c r="P192" i="13"/>
  <c r="P74" i="13"/>
  <c r="P154" i="13"/>
  <c r="N226" i="13"/>
  <c r="P306" i="13"/>
  <c r="P131" i="13"/>
  <c r="N203" i="13"/>
  <c r="P283" i="13"/>
  <c r="P614" i="13"/>
  <c r="N1062" i="13"/>
  <c r="P934" i="13"/>
  <c r="P742" i="13"/>
  <c r="P56" i="13"/>
  <c r="P85" i="13"/>
  <c r="P277" i="13"/>
  <c r="N15" i="13"/>
  <c r="N79" i="13"/>
  <c r="N143" i="13"/>
  <c r="N271" i="13"/>
  <c r="N264" i="13"/>
  <c r="P18" i="13"/>
  <c r="P227" i="13"/>
  <c r="P1190" i="13"/>
  <c r="P550" i="13"/>
  <c r="N304" i="13"/>
  <c r="P26" i="13"/>
  <c r="P178" i="13"/>
  <c r="P258" i="13"/>
  <c r="P3" i="13"/>
  <c r="P155" i="13"/>
  <c r="P235" i="13"/>
  <c r="P806" i="13"/>
  <c r="N85" i="13"/>
  <c r="N213" i="13"/>
  <c r="P87" i="13"/>
  <c r="P151" i="13"/>
  <c r="P279" i="13"/>
  <c r="P272" i="13"/>
  <c r="P29" i="13"/>
  <c r="P157" i="13"/>
  <c r="P221" i="13"/>
  <c r="P216" i="13"/>
  <c r="P34" i="13"/>
  <c r="P106" i="13"/>
  <c r="P186" i="13"/>
  <c r="N258" i="13"/>
  <c r="P83" i="13"/>
  <c r="N235" i="13"/>
  <c r="P315" i="13"/>
  <c r="P422" i="13"/>
  <c r="N21" i="13"/>
  <c r="P37" i="13"/>
  <c r="P165" i="13"/>
  <c r="P229" i="13"/>
  <c r="P293" i="13"/>
  <c r="P31" i="13"/>
  <c r="P159" i="13"/>
  <c r="P223" i="13"/>
  <c r="P8" i="13"/>
  <c r="P80" i="13"/>
  <c r="N216" i="13"/>
  <c r="N34" i="13"/>
  <c r="P114" i="13"/>
  <c r="P194" i="13"/>
  <c r="P91" i="13"/>
  <c r="P171" i="13"/>
  <c r="P243" i="13"/>
  <c r="P323" i="13"/>
  <c r="P322" i="13"/>
  <c r="P331" i="13"/>
  <c r="P90" i="13"/>
  <c r="N139" i="13"/>
  <c r="P103" i="13"/>
  <c r="P1062" i="13"/>
  <c r="P295" i="13"/>
  <c r="P224" i="13"/>
  <c r="P47" i="13"/>
  <c r="P111" i="13"/>
  <c r="P175" i="13"/>
  <c r="P239" i="13"/>
  <c r="P303" i="13"/>
  <c r="P16" i="13"/>
  <c r="P160" i="13"/>
  <c r="N224" i="13"/>
  <c r="N288" i="13"/>
  <c r="P50" i="13"/>
  <c r="P202" i="13"/>
  <c r="P282" i="13"/>
  <c r="P27" i="13"/>
  <c r="P107" i="13"/>
  <c r="P259" i="13"/>
  <c r="N168" i="13"/>
  <c r="P486" i="13"/>
  <c r="P10" i="13"/>
  <c r="P96" i="13"/>
  <c r="P176" i="13"/>
  <c r="P240" i="13"/>
  <c r="P58" i="13"/>
  <c r="P210" i="13"/>
  <c r="P290" i="13"/>
  <c r="P35" i="13"/>
  <c r="P187" i="13"/>
  <c r="P267" i="13"/>
  <c r="P335" i="13"/>
  <c r="N678" i="13"/>
  <c r="P358" i="13"/>
  <c r="P264" i="13"/>
  <c r="P39" i="13"/>
  <c r="P55" i="13"/>
  <c r="P183" i="13"/>
  <c r="P247" i="13"/>
  <c r="P32" i="13"/>
  <c r="P112" i="13"/>
  <c r="P138" i="13"/>
  <c r="N290" i="13"/>
  <c r="P43" i="13"/>
  <c r="P115" i="13"/>
  <c r="P195" i="13"/>
  <c r="N267" i="13"/>
  <c r="P678" i="13"/>
  <c r="P167" i="13"/>
  <c r="P146" i="13"/>
  <c r="P226" i="13"/>
  <c r="P298" i="13"/>
  <c r="P123" i="13"/>
  <c r="P998" i="13"/>
  <c r="N934" i="13"/>
  <c r="P1254" i="13"/>
  <c r="M385" i="13"/>
  <c r="M640" i="13"/>
  <c r="O640" i="13" s="1"/>
  <c r="P640" i="13" s="1"/>
  <c r="M1059" i="13"/>
  <c r="O1059" i="13" s="1"/>
  <c r="P1059" i="13" s="1"/>
  <c r="M1091" i="13"/>
  <c r="O1091" i="13" s="1"/>
  <c r="P1091" i="13" s="1"/>
  <c r="M1123" i="13"/>
  <c r="O1123" i="13" s="1"/>
  <c r="P1123" i="13" s="1"/>
  <c r="M1155" i="13"/>
  <c r="O1155" i="13" s="1"/>
  <c r="P1155" i="13" s="1"/>
  <c r="M1187" i="13"/>
  <c r="O1187" i="13" s="1"/>
  <c r="P1187" i="13" s="1"/>
  <c r="M1219" i="13"/>
  <c r="O1219" i="13" s="1"/>
  <c r="P1219" i="13" s="1"/>
  <c r="M1251" i="13"/>
  <c r="O1251" i="13" s="1"/>
  <c r="P1251" i="13" s="1"/>
  <c r="M1283" i="13"/>
  <c r="O1283" i="13" s="1"/>
  <c r="P1283" i="13" s="1"/>
  <c r="M869" i="13"/>
  <c r="O869" i="13" s="1"/>
  <c r="P869" i="13" s="1"/>
  <c r="M1181" i="13"/>
  <c r="O1181" i="13" s="1"/>
  <c r="P1181" i="13" s="1"/>
  <c r="M12" i="13"/>
  <c r="O12" i="13" s="1"/>
  <c r="P12" i="13" s="1"/>
  <c r="M44" i="13"/>
  <c r="M76" i="13"/>
  <c r="O76" i="13" s="1"/>
  <c r="P76" i="13" s="1"/>
  <c r="M108" i="13"/>
  <c r="O108" i="13" s="1"/>
  <c r="P108" i="13" s="1"/>
  <c r="M140" i="13"/>
  <c r="O140" i="13" s="1"/>
  <c r="P140" i="13" s="1"/>
  <c r="M172" i="13"/>
  <c r="O172" i="13" s="1"/>
  <c r="P172" i="13" s="1"/>
  <c r="M204" i="13"/>
  <c r="O204" i="13" s="1"/>
  <c r="P204" i="13" s="1"/>
  <c r="M236" i="13"/>
  <c r="N236" i="13" s="1"/>
  <c r="M268" i="13"/>
  <c r="O268" i="13" s="1"/>
  <c r="P268" i="13" s="1"/>
  <c r="M300" i="13"/>
  <c r="O300" i="13" s="1"/>
  <c r="P300" i="13" s="1"/>
  <c r="M332" i="13"/>
  <c r="N332" i="13" s="1"/>
  <c r="M364" i="13"/>
  <c r="N364" i="13" s="1"/>
  <c r="M396" i="13"/>
  <c r="O396" i="13" s="1"/>
  <c r="P396" i="13" s="1"/>
  <c r="M428" i="13"/>
  <c r="O428" i="13" s="1"/>
  <c r="P428" i="13" s="1"/>
  <c r="M460" i="13"/>
  <c r="O460" i="13" s="1"/>
  <c r="P460" i="13" s="1"/>
  <c r="M492" i="13"/>
  <c r="N492" i="13" s="1"/>
  <c r="M524" i="13"/>
  <c r="M556" i="13"/>
  <c r="O556" i="13" s="1"/>
  <c r="P556" i="13" s="1"/>
  <c r="M588" i="13"/>
  <c r="O588" i="13" s="1"/>
  <c r="P588" i="13" s="1"/>
  <c r="M620" i="13"/>
  <c r="O620" i="13" s="1"/>
  <c r="P620" i="13" s="1"/>
  <c r="M652" i="13"/>
  <c r="O652" i="13" s="1"/>
  <c r="P652" i="13" s="1"/>
  <c r="M684" i="13"/>
  <c r="O684" i="13" s="1"/>
  <c r="P684" i="13" s="1"/>
  <c r="M716" i="13"/>
  <c r="O716" i="13" s="1"/>
  <c r="P716" i="13" s="1"/>
  <c r="M748" i="13"/>
  <c r="O748" i="13" s="1"/>
  <c r="P748" i="13" s="1"/>
  <c r="M780" i="13"/>
  <c r="O780" i="13" s="1"/>
  <c r="P780" i="13" s="1"/>
  <c r="M812" i="13"/>
  <c r="O812" i="13" s="1"/>
  <c r="P812" i="13" s="1"/>
  <c r="M844" i="13"/>
  <c r="O844" i="13" s="1"/>
  <c r="P844" i="13" s="1"/>
  <c r="M876" i="13"/>
  <c r="O876" i="13" s="1"/>
  <c r="P876" i="13" s="1"/>
  <c r="M908" i="13"/>
  <c r="O908" i="13" s="1"/>
  <c r="P908" i="13" s="1"/>
  <c r="M940" i="13"/>
  <c r="O940" i="13" s="1"/>
  <c r="P940" i="13" s="1"/>
  <c r="M972" i="13"/>
  <c r="N972" i="13" s="1"/>
  <c r="M1004" i="13"/>
  <c r="O1004" i="13" s="1"/>
  <c r="P1004" i="13" s="1"/>
  <c r="M1036" i="13"/>
  <c r="O1036" i="13" s="1"/>
  <c r="P1036" i="13" s="1"/>
  <c r="M1068" i="13"/>
  <c r="O1068" i="13" s="1"/>
  <c r="P1068" i="13" s="1"/>
  <c r="M1100" i="13"/>
  <c r="O1100" i="13" s="1"/>
  <c r="P1100" i="13" s="1"/>
  <c r="M1132" i="13"/>
  <c r="O1132" i="13" s="1"/>
  <c r="P1132" i="13" s="1"/>
  <c r="M1164" i="13"/>
  <c r="O1164" i="13" s="1"/>
  <c r="P1164" i="13" s="1"/>
  <c r="M1196" i="13"/>
  <c r="O1196" i="13" s="1"/>
  <c r="P1196" i="13" s="1"/>
  <c r="M1228" i="13"/>
  <c r="O1228" i="13" s="1"/>
  <c r="P1228" i="13" s="1"/>
  <c r="M1260" i="13"/>
  <c r="O1260" i="13" s="1"/>
  <c r="P1260" i="13" s="1"/>
  <c r="M1292" i="13"/>
  <c r="O1292" i="13" s="1"/>
  <c r="P1292" i="13" s="1"/>
  <c r="M317" i="13"/>
  <c r="M349" i="13"/>
  <c r="O349" i="13" s="1"/>
  <c r="P349" i="13" s="1"/>
  <c r="M381" i="13"/>
  <c r="O381" i="13" s="1"/>
  <c r="P381" i="13" s="1"/>
  <c r="M437" i="13"/>
  <c r="O437" i="13" s="1"/>
  <c r="P437" i="13" s="1"/>
  <c r="M493" i="13"/>
  <c r="O493" i="13" s="1"/>
  <c r="P493" i="13" s="1"/>
  <c r="M533" i="13"/>
  <c r="O533" i="13" s="1"/>
  <c r="P533" i="13" s="1"/>
  <c r="M637" i="13"/>
  <c r="O637" i="13" s="1"/>
  <c r="P637" i="13" s="1"/>
  <c r="M821" i="13"/>
  <c r="O821" i="13" s="1"/>
  <c r="P821" i="13" s="1"/>
  <c r="M1037" i="13"/>
  <c r="O1037" i="13" s="1"/>
  <c r="P1037" i="13" s="1"/>
  <c r="M1229" i="13"/>
  <c r="O1229" i="13" s="1"/>
  <c r="P1229" i="13" s="1"/>
  <c r="M86" i="13"/>
  <c r="N86" i="13" s="1"/>
  <c r="M254" i="13"/>
  <c r="O254" i="13" s="1"/>
  <c r="P254" i="13" s="1"/>
  <c r="M366" i="13"/>
  <c r="O366" i="13" s="1"/>
  <c r="P366" i="13" s="1"/>
  <c r="M1150" i="13"/>
  <c r="O1150" i="13" s="1"/>
  <c r="P1150" i="13" s="1"/>
  <c r="N614" i="13"/>
  <c r="O102" i="13"/>
  <c r="P102" i="13" s="1"/>
  <c r="M566" i="13"/>
  <c r="O566" i="13" s="1"/>
  <c r="P566" i="13" s="1"/>
  <c r="M702" i="13"/>
  <c r="O702" i="13" s="1"/>
  <c r="P702" i="13" s="1"/>
  <c r="M830" i="13"/>
  <c r="O830" i="13" s="1"/>
  <c r="P830" i="13" s="1"/>
  <c r="M966" i="13"/>
  <c r="O966" i="13" s="1"/>
  <c r="P966" i="13" s="1"/>
  <c r="M94" i="13"/>
  <c r="O94" i="13" s="1"/>
  <c r="P94" i="13" s="1"/>
  <c r="M1118" i="13"/>
  <c r="O1118" i="13" s="1"/>
  <c r="P1118" i="13" s="1"/>
  <c r="M1294" i="13"/>
  <c r="O1294" i="13" s="1"/>
  <c r="P1294" i="13" s="1"/>
  <c r="M701" i="13"/>
  <c r="O701" i="13" s="1"/>
  <c r="P701" i="13" s="1"/>
  <c r="M910" i="13"/>
  <c r="O910" i="13" s="1"/>
  <c r="P910" i="13" s="1"/>
  <c r="M1174" i="13"/>
  <c r="O1174" i="13" s="1"/>
  <c r="P1174" i="13" s="1"/>
  <c r="M198" i="13"/>
  <c r="O198" i="13" s="1"/>
  <c r="P198" i="13" s="1"/>
  <c r="M494" i="13"/>
  <c r="O494" i="13" s="1"/>
  <c r="P494" i="13" s="1"/>
  <c r="M782" i="13"/>
  <c r="O782" i="13" s="1"/>
  <c r="P782" i="13" s="1"/>
  <c r="M1046" i="13"/>
  <c r="O1046" i="13" s="1"/>
  <c r="P1046" i="13" s="1"/>
  <c r="M70" i="13"/>
  <c r="O70" i="13" s="1"/>
  <c r="P70" i="13" s="1"/>
  <c r="M222" i="13"/>
  <c r="O222" i="13" s="1"/>
  <c r="P222" i="13" s="1"/>
  <c r="M1070" i="13"/>
  <c r="O1070" i="13" s="1"/>
  <c r="P1070" i="13" s="1"/>
  <c r="M1166" i="13"/>
  <c r="O1166" i="13" s="1"/>
  <c r="P1166" i="13" s="1"/>
  <c r="M193" i="13"/>
  <c r="O193" i="13" s="1"/>
  <c r="P193" i="13" s="1"/>
  <c r="M705" i="13"/>
  <c r="O705" i="13" s="1"/>
  <c r="P705" i="13" s="1"/>
  <c r="M749" i="13"/>
  <c r="O749" i="13" s="1"/>
  <c r="P749" i="13" s="1"/>
  <c r="M416" i="13"/>
  <c r="O416" i="13" s="1"/>
  <c r="P416" i="13" s="1"/>
  <c r="M608" i="13"/>
  <c r="O608" i="13" s="1"/>
  <c r="P608" i="13" s="1"/>
  <c r="M808" i="13"/>
  <c r="O808" i="13" s="1"/>
  <c r="P808" i="13" s="1"/>
  <c r="M1112" i="13"/>
  <c r="O1112" i="13" s="1"/>
  <c r="P1112" i="13" s="1"/>
  <c r="M629" i="13"/>
  <c r="O629" i="13" s="1"/>
  <c r="P629" i="13" s="1"/>
  <c r="M362" i="13"/>
  <c r="O362" i="13" s="1"/>
  <c r="P362" i="13" s="1"/>
  <c r="M931" i="13"/>
  <c r="N931" i="13" s="1"/>
  <c r="N157" i="13"/>
  <c r="M265" i="13"/>
  <c r="O265" i="13" s="1"/>
  <c r="P265" i="13" s="1"/>
  <c r="M521" i="13"/>
  <c r="O521" i="13" s="1"/>
  <c r="P521" i="13" s="1"/>
  <c r="N42" i="13"/>
  <c r="N298" i="13"/>
  <c r="N83" i="13"/>
  <c r="N179" i="13"/>
  <c r="N335" i="13"/>
  <c r="M527" i="13"/>
  <c r="O527" i="13" s="1"/>
  <c r="P527" i="13" s="1"/>
  <c r="M623" i="13"/>
  <c r="O623" i="13" s="1"/>
  <c r="P623" i="13" s="1"/>
  <c r="M815" i="13"/>
  <c r="O815" i="13" s="1"/>
  <c r="P815" i="13" s="1"/>
  <c r="M943" i="13"/>
  <c r="O943" i="13" s="1"/>
  <c r="P943" i="13" s="1"/>
  <c r="M1071" i="13"/>
  <c r="O1071" i="13" s="1"/>
  <c r="P1071" i="13" s="1"/>
  <c r="M1231" i="13"/>
  <c r="O1231" i="13" s="1"/>
  <c r="P1231" i="13" s="1"/>
  <c r="M488" i="13"/>
  <c r="O488" i="13" s="1"/>
  <c r="P488" i="13" s="1"/>
  <c r="M1192" i="13"/>
  <c r="O1192" i="13" s="1"/>
  <c r="P1192" i="13" s="1"/>
  <c r="M841" i="13"/>
  <c r="O841" i="13" s="1"/>
  <c r="P841" i="13" s="1"/>
  <c r="M1033" i="13"/>
  <c r="O1033" i="13" s="1"/>
  <c r="P1033" i="13" s="1"/>
  <c r="M1289" i="13"/>
  <c r="M1029" i="13"/>
  <c r="O1029" i="13" s="1"/>
  <c r="P1029" i="13" s="1"/>
  <c r="M1101" i="13"/>
  <c r="O1101" i="13" s="1"/>
  <c r="P1101" i="13" s="1"/>
  <c r="M1125" i="13"/>
  <c r="O1125" i="13" s="1"/>
  <c r="P1125" i="13" s="1"/>
  <c r="M798" i="13"/>
  <c r="O798" i="13" s="1"/>
  <c r="P798" i="13" s="1"/>
  <c r="M214" i="13"/>
  <c r="O214" i="13" s="1"/>
  <c r="P214" i="13" s="1"/>
  <c r="M918" i="13"/>
  <c r="O918" i="13" s="1"/>
  <c r="P918" i="13" s="1"/>
  <c r="O101" i="13"/>
  <c r="P101" i="13" s="1"/>
  <c r="N14" i="13"/>
  <c r="O14" i="13" s="1"/>
  <c r="P14" i="13" s="1"/>
  <c r="N23" i="13"/>
  <c r="N55" i="13"/>
  <c r="N87" i="13"/>
  <c r="N151" i="13"/>
  <c r="N183" i="13"/>
  <c r="N215" i="13"/>
  <c r="N247" i="13"/>
  <c r="N279" i="13"/>
  <c r="N16" i="13"/>
  <c r="N56" i="13"/>
  <c r="N128" i="13"/>
  <c r="N160" i="13"/>
  <c r="N200" i="13"/>
  <c r="N240" i="13"/>
  <c r="N272" i="13"/>
  <c r="M17" i="13"/>
  <c r="O17" i="13" s="1"/>
  <c r="P17" i="13" s="1"/>
  <c r="M81" i="13"/>
  <c r="N81" i="13" s="1"/>
  <c r="M145" i="13"/>
  <c r="O145" i="13" s="1"/>
  <c r="P145" i="13" s="1"/>
  <c r="M209" i="13"/>
  <c r="O209" i="13" s="1"/>
  <c r="P209" i="13" s="1"/>
  <c r="M273" i="13"/>
  <c r="N273" i="13" s="1"/>
  <c r="M337" i="13"/>
  <c r="O337" i="13" s="1"/>
  <c r="P337" i="13" s="1"/>
  <c r="M401" i="13"/>
  <c r="O401" i="13" s="1"/>
  <c r="P401" i="13" s="1"/>
  <c r="M465" i="13"/>
  <c r="O465" i="13" s="1"/>
  <c r="P465" i="13" s="1"/>
  <c r="M529" i="13"/>
  <c r="O529" i="13" s="1"/>
  <c r="P529" i="13" s="1"/>
  <c r="M593" i="13"/>
  <c r="O593" i="13" s="1"/>
  <c r="P593" i="13" s="1"/>
  <c r="M657" i="13"/>
  <c r="O657" i="13" s="1"/>
  <c r="P657" i="13" s="1"/>
  <c r="M721" i="13"/>
  <c r="O721" i="13" s="1"/>
  <c r="P721" i="13" s="1"/>
  <c r="M461" i="13"/>
  <c r="O461" i="13" s="1"/>
  <c r="P461" i="13" s="1"/>
  <c r="M797" i="13"/>
  <c r="O797" i="13" s="1"/>
  <c r="P797" i="13" s="1"/>
  <c r="M1021" i="13"/>
  <c r="O1021" i="13" s="1"/>
  <c r="P1021" i="13" s="1"/>
  <c r="M1253" i="13"/>
  <c r="O1253" i="13" s="1"/>
  <c r="P1253" i="13" s="1"/>
  <c r="N296" i="13"/>
  <c r="O296" i="13" s="1"/>
  <c r="P296" i="13" s="1"/>
  <c r="M328" i="13"/>
  <c r="O328" i="13" s="1"/>
  <c r="P328" i="13" s="1"/>
  <c r="M392" i="13"/>
  <c r="O392" i="13" s="1"/>
  <c r="P392" i="13" s="1"/>
  <c r="M456" i="13"/>
  <c r="O456" i="13" s="1"/>
  <c r="P456" i="13" s="1"/>
  <c r="M520" i="13"/>
  <c r="O520" i="13" s="1"/>
  <c r="P520" i="13" s="1"/>
  <c r="M584" i="13"/>
  <c r="O584" i="13" s="1"/>
  <c r="P584" i="13" s="1"/>
  <c r="M648" i="13"/>
  <c r="O648" i="13" s="1"/>
  <c r="P648" i="13" s="1"/>
  <c r="M688" i="13"/>
  <c r="O688" i="13" s="1"/>
  <c r="P688" i="13" s="1"/>
  <c r="M720" i="13"/>
  <c r="O720" i="13" s="1"/>
  <c r="P720" i="13" s="1"/>
  <c r="M752" i="13"/>
  <c r="N752" i="13" s="1"/>
  <c r="M784" i="13"/>
  <c r="O784" i="13" s="1"/>
  <c r="P784" i="13" s="1"/>
  <c r="M816" i="13"/>
  <c r="N816" i="13" s="1"/>
  <c r="M848" i="13"/>
  <c r="N848" i="13" s="1"/>
  <c r="M880" i="13"/>
  <c r="O880" i="13" s="1"/>
  <c r="P880" i="13" s="1"/>
  <c r="M912" i="13"/>
  <c r="O912" i="13" s="1"/>
  <c r="P912" i="13" s="1"/>
  <c r="M944" i="13"/>
  <c r="O944" i="13" s="1"/>
  <c r="P944" i="13" s="1"/>
  <c r="M976" i="13"/>
  <c r="O976" i="13" s="1"/>
  <c r="P976" i="13" s="1"/>
  <c r="M1008" i="13"/>
  <c r="O1008" i="13" s="1"/>
  <c r="P1008" i="13" s="1"/>
  <c r="M1048" i="13"/>
  <c r="O1048" i="13" s="1"/>
  <c r="P1048" i="13" s="1"/>
  <c r="M1120" i="13"/>
  <c r="O1120" i="13" s="1"/>
  <c r="P1120" i="13" s="1"/>
  <c r="M1304" i="13"/>
  <c r="O1304" i="13" s="1"/>
  <c r="P1304" i="13" s="1"/>
  <c r="M677" i="13"/>
  <c r="O677" i="13" s="1"/>
  <c r="P677" i="13" s="1"/>
  <c r="M885" i="13"/>
  <c r="O885" i="13" s="1"/>
  <c r="P885" i="13" s="1"/>
  <c r="M1093" i="13"/>
  <c r="O1093" i="13" s="1"/>
  <c r="P1093" i="13" s="1"/>
  <c r="M338" i="13"/>
  <c r="O338" i="13" s="1"/>
  <c r="P338" i="13" s="1"/>
  <c r="M370" i="13"/>
  <c r="O370" i="13" s="1"/>
  <c r="P370" i="13" s="1"/>
  <c r="M402" i="13"/>
  <c r="O402" i="13" s="1"/>
  <c r="P402" i="13" s="1"/>
  <c r="M434" i="13"/>
  <c r="O434" i="13" s="1"/>
  <c r="P434" i="13" s="1"/>
  <c r="M466" i="13"/>
  <c r="O466" i="13" s="1"/>
  <c r="P466" i="13" s="1"/>
  <c r="M498" i="13"/>
  <c r="O498" i="13" s="1"/>
  <c r="P498" i="13" s="1"/>
  <c r="M530" i="13"/>
  <c r="O530" i="13" s="1"/>
  <c r="P530" i="13" s="1"/>
  <c r="M562" i="13"/>
  <c r="O562" i="13" s="1"/>
  <c r="P562" i="13" s="1"/>
  <c r="M594" i="13"/>
  <c r="O594" i="13" s="1"/>
  <c r="P594" i="13" s="1"/>
  <c r="M626" i="13"/>
  <c r="O626" i="13" s="1"/>
  <c r="P626" i="13" s="1"/>
  <c r="M658" i="13"/>
  <c r="O658" i="13" s="1"/>
  <c r="P658" i="13" s="1"/>
  <c r="M690" i="13"/>
  <c r="O690" i="13" s="1"/>
  <c r="P690" i="13" s="1"/>
  <c r="M722" i="13"/>
  <c r="O722" i="13" s="1"/>
  <c r="P722" i="13" s="1"/>
  <c r="M754" i="13"/>
  <c r="O754" i="13" s="1"/>
  <c r="P754" i="13" s="1"/>
  <c r="M786" i="13"/>
  <c r="O786" i="13" s="1"/>
  <c r="P786" i="13" s="1"/>
  <c r="M818" i="13"/>
  <c r="O818" i="13" s="1"/>
  <c r="P818" i="13" s="1"/>
  <c r="M850" i="13"/>
  <c r="O850" i="13" s="1"/>
  <c r="P850" i="13" s="1"/>
  <c r="M882" i="13"/>
  <c r="O882" i="13" s="1"/>
  <c r="P882" i="13" s="1"/>
  <c r="M914" i="13"/>
  <c r="O914" i="13" s="1"/>
  <c r="P914" i="13" s="1"/>
  <c r="M946" i="13"/>
  <c r="O946" i="13" s="1"/>
  <c r="P946" i="13" s="1"/>
  <c r="M978" i="13"/>
  <c r="N978" i="13" s="1"/>
  <c r="M1010" i="13"/>
  <c r="O1010" i="13" s="1"/>
  <c r="P1010" i="13" s="1"/>
  <c r="M1042" i="13"/>
  <c r="O1042" i="13" s="1"/>
  <c r="P1042" i="13" s="1"/>
  <c r="M1074" i="13"/>
  <c r="N1074" i="13" s="1"/>
  <c r="M1106" i="13"/>
  <c r="O1106" i="13" s="1"/>
  <c r="P1106" i="13" s="1"/>
  <c r="M1138" i="13"/>
  <c r="O1138" i="13" s="1"/>
  <c r="P1138" i="13" s="1"/>
  <c r="M1170" i="13"/>
  <c r="O1170" i="13" s="1"/>
  <c r="P1170" i="13" s="1"/>
  <c r="M1202" i="13"/>
  <c r="O1202" i="13" s="1"/>
  <c r="P1202" i="13" s="1"/>
  <c r="M1234" i="13"/>
  <c r="N1234" i="13" s="1"/>
  <c r="M1266" i="13"/>
  <c r="O1266" i="13" s="1"/>
  <c r="P1266" i="13" s="1"/>
  <c r="M1298" i="13"/>
  <c r="O1298" i="13" s="1"/>
  <c r="P1298" i="13" s="1"/>
  <c r="N331" i="13"/>
  <c r="M363" i="13"/>
  <c r="O363" i="13" s="1"/>
  <c r="P363" i="13" s="1"/>
  <c r="M395" i="13"/>
  <c r="N395" i="13" s="1"/>
  <c r="M427" i="13"/>
  <c r="O427" i="13" s="1"/>
  <c r="P427" i="13" s="1"/>
  <c r="M459" i="13"/>
  <c r="N459" i="13" s="1"/>
  <c r="M491" i="13"/>
  <c r="O491" i="13" s="1"/>
  <c r="P491" i="13" s="1"/>
  <c r="M523" i="13"/>
  <c r="O523" i="13" s="1"/>
  <c r="P523" i="13" s="1"/>
  <c r="M555" i="13"/>
  <c r="O555" i="13" s="1"/>
  <c r="P555" i="13" s="1"/>
  <c r="M587" i="13"/>
  <c r="O587" i="13" s="1"/>
  <c r="P587" i="13" s="1"/>
  <c r="M619" i="13"/>
  <c r="O619" i="13" s="1"/>
  <c r="P619" i="13" s="1"/>
  <c r="M651" i="13"/>
  <c r="O651" i="13" s="1"/>
  <c r="P651" i="13" s="1"/>
  <c r="M683" i="13"/>
  <c r="O683" i="13" s="1"/>
  <c r="P683" i="13" s="1"/>
  <c r="M715" i="13"/>
  <c r="O715" i="13" s="1"/>
  <c r="P715" i="13" s="1"/>
  <c r="M747" i="13"/>
  <c r="O747" i="13" s="1"/>
  <c r="P747" i="13" s="1"/>
  <c r="M779" i="13"/>
  <c r="O779" i="13" s="1"/>
  <c r="P779" i="13" s="1"/>
  <c r="M811" i="13"/>
  <c r="O811" i="13" s="1"/>
  <c r="P811" i="13" s="1"/>
  <c r="M843" i="13"/>
  <c r="O843" i="13" s="1"/>
  <c r="P843" i="13" s="1"/>
  <c r="M875" i="13"/>
  <c r="O875" i="13" s="1"/>
  <c r="P875" i="13" s="1"/>
  <c r="M907" i="13"/>
  <c r="O907" i="13" s="1"/>
  <c r="P907" i="13" s="1"/>
  <c r="M939" i="13"/>
  <c r="N939" i="13" s="1"/>
  <c r="M971" i="13"/>
  <c r="O971" i="13" s="1"/>
  <c r="P971" i="13" s="1"/>
  <c r="M1003" i="13"/>
  <c r="O1003" i="13" s="1"/>
  <c r="P1003" i="13" s="1"/>
  <c r="M1035" i="13"/>
  <c r="O1035" i="13" s="1"/>
  <c r="P1035" i="13" s="1"/>
  <c r="M1067" i="13"/>
  <c r="O1067" i="13" s="1"/>
  <c r="P1067" i="13" s="1"/>
  <c r="M1099" i="13"/>
  <c r="O1099" i="13" s="1"/>
  <c r="P1099" i="13" s="1"/>
  <c r="M1131" i="13"/>
  <c r="O1131" i="13" s="1"/>
  <c r="P1131" i="13" s="1"/>
  <c r="M1163" i="13"/>
  <c r="O1163" i="13" s="1"/>
  <c r="P1163" i="13" s="1"/>
  <c r="M1195" i="13"/>
  <c r="O1195" i="13" s="1"/>
  <c r="P1195" i="13" s="1"/>
  <c r="M1227" i="13"/>
  <c r="O1227" i="13" s="1"/>
  <c r="P1227" i="13" s="1"/>
  <c r="M1259" i="13"/>
  <c r="O1259" i="13" s="1"/>
  <c r="P1259" i="13" s="1"/>
  <c r="M1291" i="13"/>
  <c r="O1291" i="13" s="1"/>
  <c r="P1291" i="13" s="1"/>
  <c r="M445" i="13"/>
  <c r="O445" i="13" s="1"/>
  <c r="P445" i="13" s="1"/>
  <c r="M933" i="13"/>
  <c r="O933" i="13" s="1"/>
  <c r="P933" i="13" s="1"/>
  <c r="M1245" i="13"/>
  <c r="O1245" i="13" s="1"/>
  <c r="P1245" i="13" s="1"/>
  <c r="M20" i="13"/>
  <c r="N20" i="13" s="1"/>
  <c r="M52" i="13"/>
  <c r="O52" i="13" s="1"/>
  <c r="P52" i="13" s="1"/>
  <c r="M84" i="13"/>
  <c r="O84" i="13" s="1"/>
  <c r="P84" i="13" s="1"/>
  <c r="M116" i="13"/>
  <c r="O116" i="13" s="1"/>
  <c r="P116" i="13" s="1"/>
  <c r="M148" i="13"/>
  <c r="O148" i="13" s="1"/>
  <c r="P148" i="13" s="1"/>
  <c r="M180" i="13"/>
  <c r="O180" i="13" s="1"/>
  <c r="P180" i="13" s="1"/>
  <c r="M212" i="13"/>
  <c r="O212" i="13" s="1"/>
  <c r="P212" i="13" s="1"/>
  <c r="M244" i="13"/>
  <c r="O244" i="13" s="1"/>
  <c r="P244" i="13" s="1"/>
  <c r="M276" i="13"/>
  <c r="O276" i="13" s="1"/>
  <c r="P276" i="13" s="1"/>
  <c r="M308" i="13"/>
  <c r="O308" i="13" s="1"/>
  <c r="P308" i="13" s="1"/>
  <c r="M340" i="13"/>
  <c r="N340" i="13" s="1"/>
  <c r="M372" i="13"/>
  <c r="N372" i="13" s="1"/>
  <c r="M404" i="13"/>
  <c r="O404" i="13" s="1"/>
  <c r="P404" i="13" s="1"/>
  <c r="M436" i="13"/>
  <c r="O436" i="13" s="1"/>
  <c r="P436" i="13" s="1"/>
  <c r="M468" i="13"/>
  <c r="N468" i="13" s="1"/>
  <c r="M500" i="13"/>
  <c r="O500" i="13" s="1"/>
  <c r="P500" i="13" s="1"/>
  <c r="M532" i="13"/>
  <c r="N532" i="13" s="1"/>
  <c r="M564" i="13"/>
  <c r="O564" i="13" s="1"/>
  <c r="P564" i="13" s="1"/>
  <c r="M596" i="13"/>
  <c r="M628" i="13"/>
  <c r="O628" i="13" s="1"/>
  <c r="P628" i="13" s="1"/>
  <c r="M660" i="13"/>
  <c r="O660" i="13" s="1"/>
  <c r="P660" i="13" s="1"/>
  <c r="M692" i="13"/>
  <c r="O692" i="13" s="1"/>
  <c r="P692" i="13" s="1"/>
  <c r="M724" i="13"/>
  <c r="O724" i="13" s="1"/>
  <c r="P724" i="13" s="1"/>
  <c r="M756" i="13"/>
  <c r="O756" i="13" s="1"/>
  <c r="P756" i="13" s="1"/>
  <c r="M788" i="13"/>
  <c r="N788" i="13" s="1"/>
  <c r="M820" i="13"/>
  <c r="O820" i="13" s="1"/>
  <c r="P820" i="13" s="1"/>
  <c r="M852" i="13"/>
  <c r="O852" i="13" s="1"/>
  <c r="P852" i="13" s="1"/>
  <c r="M884" i="13"/>
  <c r="O884" i="13" s="1"/>
  <c r="P884" i="13" s="1"/>
  <c r="M916" i="13"/>
  <c r="O916" i="13" s="1"/>
  <c r="P916" i="13" s="1"/>
  <c r="M948" i="13"/>
  <c r="O948" i="13" s="1"/>
  <c r="P948" i="13" s="1"/>
  <c r="M980" i="13"/>
  <c r="O980" i="13" s="1"/>
  <c r="P980" i="13" s="1"/>
  <c r="M1012" i="13"/>
  <c r="O1012" i="13" s="1"/>
  <c r="P1012" i="13" s="1"/>
  <c r="M1044" i="13"/>
  <c r="O1044" i="13" s="1"/>
  <c r="P1044" i="13" s="1"/>
  <c r="M1076" i="13"/>
  <c r="O1076" i="13" s="1"/>
  <c r="P1076" i="13" s="1"/>
  <c r="M1108" i="13"/>
  <c r="O1108" i="13" s="1"/>
  <c r="P1108" i="13" s="1"/>
  <c r="M1140" i="13"/>
  <c r="O1140" i="13" s="1"/>
  <c r="P1140" i="13" s="1"/>
  <c r="M1172" i="13"/>
  <c r="O1172" i="13" s="1"/>
  <c r="P1172" i="13" s="1"/>
  <c r="M1204" i="13"/>
  <c r="O1204" i="13" s="1"/>
  <c r="P1204" i="13" s="1"/>
  <c r="M1236" i="13"/>
  <c r="O1236" i="13" s="1"/>
  <c r="P1236" i="13" s="1"/>
  <c r="M1268" i="13"/>
  <c r="O1268" i="13" s="1"/>
  <c r="P1268" i="13" s="1"/>
  <c r="M1300" i="13"/>
  <c r="O1300" i="13" s="1"/>
  <c r="P1300" i="13" s="1"/>
  <c r="N1296" i="13"/>
  <c r="M325" i="13"/>
  <c r="O325" i="13" s="1"/>
  <c r="P325" i="13" s="1"/>
  <c r="M357" i="13"/>
  <c r="O357" i="13" s="1"/>
  <c r="P357" i="13" s="1"/>
  <c r="M397" i="13"/>
  <c r="O397" i="13" s="1"/>
  <c r="P397" i="13" s="1"/>
  <c r="M469" i="13"/>
  <c r="O469" i="13" s="1"/>
  <c r="P469" i="13" s="1"/>
  <c r="M501" i="13"/>
  <c r="O501" i="13" s="1"/>
  <c r="P501" i="13" s="1"/>
  <c r="M549" i="13"/>
  <c r="O549" i="13" s="1"/>
  <c r="P549" i="13" s="1"/>
  <c r="M661" i="13"/>
  <c r="O661" i="13" s="1"/>
  <c r="P661" i="13" s="1"/>
  <c r="M877" i="13"/>
  <c r="O877" i="13" s="1"/>
  <c r="P877" i="13" s="1"/>
  <c r="M1085" i="13"/>
  <c r="O1085" i="13" s="1"/>
  <c r="P1085" i="13" s="1"/>
  <c r="M1285" i="13"/>
  <c r="O1285" i="13" s="1"/>
  <c r="P1285" i="13" s="1"/>
  <c r="M126" i="13"/>
  <c r="O126" i="13" s="1"/>
  <c r="P126" i="13" s="1"/>
  <c r="M278" i="13"/>
  <c r="N278" i="13" s="1"/>
  <c r="M398" i="13"/>
  <c r="O398" i="13" s="1"/>
  <c r="P398" i="13" s="1"/>
  <c r="M654" i="13"/>
  <c r="O654" i="13" s="1"/>
  <c r="P654" i="13" s="1"/>
  <c r="M982" i="13"/>
  <c r="O982" i="13" s="1"/>
  <c r="P982" i="13" s="1"/>
  <c r="M1206" i="13"/>
  <c r="O1206" i="13" s="1"/>
  <c r="P1206" i="13" s="1"/>
  <c r="M342" i="13"/>
  <c r="O342" i="13" s="1"/>
  <c r="P342" i="13" s="1"/>
  <c r="M598" i="13"/>
  <c r="O598" i="13" s="1"/>
  <c r="P598" i="13" s="1"/>
  <c r="M734" i="13"/>
  <c r="O734" i="13" s="1"/>
  <c r="P734" i="13" s="1"/>
  <c r="M862" i="13"/>
  <c r="O862" i="13" s="1"/>
  <c r="P862" i="13" s="1"/>
  <c r="M1006" i="13"/>
  <c r="O1006" i="13" s="1"/>
  <c r="P1006" i="13" s="1"/>
  <c r="O294" i="13"/>
  <c r="P294" i="13" s="1"/>
  <c r="M1182" i="13"/>
  <c r="O1182" i="13" s="1"/>
  <c r="P1182" i="13" s="1"/>
  <c r="M321" i="13"/>
  <c r="O321" i="13" s="1"/>
  <c r="P321" i="13" s="1"/>
  <c r="M1189" i="13"/>
  <c r="O1189" i="13" s="1"/>
  <c r="P1189" i="13" s="1"/>
  <c r="M352" i="13"/>
  <c r="O352" i="13" s="1"/>
  <c r="P352" i="13" s="1"/>
  <c r="M576" i="13"/>
  <c r="O576" i="13" s="1"/>
  <c r="P576" i="13" s="1"/>
  <c r="M840" i="13"/>
  <c r="O840" i="13" s="1"/>
  <c r="P840" i="13" s="1"/>
  <c r="M1032" i="13"/>
  <c r="O1032" i="13" s="1"/>
  <c r="P1032" i="13" s="1"/>
  <c r="M837" i="13"/>
  <c r="O837" i="13" s="1"/>
  <c r="P837" i="13" s="1"/>
  <c r="M490" i="13"/>
  <c r="O490" i="13" s="1"/>
  <c r="P490" i="13" s="1"/>
  <c r="M650" i="13"/>
  <c r="O650" i="13" s="1"/>
  <c r="P650" i="13" s="1"/>
  <c r="M778" i="13"/>
  <c r="O778" i="13" s="1"/>
  <c r="P778" i="13" s="1"/>
  <c r="M938" i="13"/>
  <c r="O938" i="13" s="1"/>
  <c r="P938" i="13" s="1"/>
  <c r="M1066" i="13"/>
  <c r="O1066" i="13" s="1"/>
  <c r="P1066" i="13" s="1"/>
  <c r="M1226" i="13"/>
  <c r="O1226" i="13" s="1"/>
  <c r="P1226" i="13" s="1"/>
  <c r="M355" i="13"/>
  <c r="N355" i="13" s="1"/>
  <c r="M483" i="13"/>
  <c r="O483" i="13" s="1"/>
  <c r="P483" i="13" s="1"/>
  <c r="M643" i="13"/>
  <c r="O643" i="13" s="1"/>
  <c r="P643" i="13" s="1"/>
  <c r="M899" i="13"/>
  <c r="O899" i="13" s="1"/>
  <c r="P899" i="13" s="1"/>
  <c r="N61" i="13"/>
  <c r="N253" i="13"/>
  <c r="M137" i="13"/>
  <c r="N137" i="13" s="1"/>
  <c r="M457" i="13"/>
  <c r="O457" i="13" s="1"/>
  <c r="P457" i="13" s="1"/>
  <c r="N202" i="13"/>
  <c r="M399" i="13"/>
  <c r="N399" i="13" s="1"/>
  <c r="M559" i="13"/>
  <c r="O559" i="13" s="1"/>
  <c r="P559" i="13" s="1"/>
  <c r="M751" i="13"/>
  <c r="O751" i="13" s="1"/>
  <c r="P751" i="13" s="1"/>
  <c r="M911" i="13"/>
  <c r="O911" i="13" s="1"/>
  <c r="P911" i="13" s="1"/>
  <c r="M1007" i="13"/>
  <c r="O1007" i="13" s="1"/>
  <c r="P1007" i="13" s="1"/>
  <c r="M1167" i="13"/>
  <c r="O1167" i="13" s="1"/>
  <c r="P1167" i="13" s="1"/>
  <c r="M360" i="13"/>
  <c r="O360" i="13" s="1"/>
  <c r="P360" i="13" s="1"/>
  <c r="M1224" i="13"/>
  <c r="O1224" i="13" s="1"/>
  <c r="P1224" i="13" s="1"/>
  <c r="M809" i="13"/>
  <c r="O809" i="13" s="1"/>
  <c r="P809" i="13" s="1"/>
  <c r="M1001" i="13"/>
  <c r="O1001" i="13" s="1"/>
  <c r="P1001" i="13" s="1"/>
  <c r="M893" i="13"/>
  <c r="O893" i="13" s="1"/>
  <c r="P893" i="13" s="1"/>
  <c r="O248" i="13"/>
  <c r="P248" i="13" s="1"/>
  <c r="O280" i="13"/>
  <c r="P280" i="13" s="1"/>
  <c r="M25" i="13"/>
  <c r="O25" i="13" s="1"/>
  <c r="P25" i="13" s="1"/>
  <c r="M89" i="13"/>
  <c r="O89" i="13" s="1"/>
  <c r="P89" i="13" s="1"/>
  <c r="M153" i="13"/>
  <c r="O153" i="13" s="1"/>
  <c r="P153" i="13" s="1"/>
  <c r="M217" i="13"/>
  <c r="O217" i="13" s="1"/>
  <c r="P217" i="13" s="1"/>
  <c r="M281" i="13"/>
  <c r="O281" i="13" s="1"/>
  <c r="P281" i="13" s="1"/>
  <c r="M345" i="13"/>
  <c r="N345" i="13" s="1"/>
  <c r="M409" i="13"/>
  <c r="O409" i="13" s="1"/>
  <c r="P409" i="13" s="1"/>
  <c r="M473" i="13"/>
  <c r="O473" i="13" s="1"/>
  <c r="P473" i="13" s="1"/>
  <c r="M537" i="13"/>
  <c r="O537" i="13" s="1"/>
  <c r="P537" i="13" s="1"/>
  <c r="M601" i="13"/>
  <c r="O601" i="13" s="1"/>
  <c r="P601" i="13" s="1"/>
  <c r="M665" i="13"/>
  <c r="O665" i="13" s="1"/>
  <c r="P665" i="13" s="1"/>
  <c r="M729" i="13"/>
  <c r="O729" i="13" s="1"/>
  <c r="P729" i="13" s="1"/>
  <c r="N18" i="13"/>
  <c r="N50" i="13"/>
  <c r="N82" i="13"/>
  <c r="O82" i="13" s="1"/>
  <c r="P82" i="13" s="1"/>
  <c r="N114" i="13"/>
  <c r="N146" i="13"/>
  <c r="N178" i="13"/>
  <c r="N210" i="13"/>
  <c r="N242" i="13"/>
  <c r="N274" i="13"/>
  <c r="N306" i="13"/>
  <c r="N27" i="13"/>
  <c r="N59" i="13"/>
  <c r="N91" i="13"/>
  <c r="N123" i="13"/>
  <c r="N155" i="13"/>
  <c r="N187" i="13"/>
  <c r="N219" i="13"/>
  <c r="N251" i="13"/>
  <c r="N283" i="13"/>
  <c r="N315" i="13"/>
  <c r="M343" i="13"/>
  <c r="O343" i="13" s="1"/>
  <c r="P343" i="13" s="1"/>
  <c r="M375" i="13"/>
  <c r="O375" i="13" s="1"/>
  <c r="P375" i="13" s="1"/>
  <c r="M407" i="13"/>
  <c r="O407" i="13" s="1"/>
  <c r="P407" i="13" s="1"/>
  <c r="M439" i="13"/>
  <c r="N439" i="13" s="1"/>
  <c r="M471" i="13"/>
  <c r="M503" i="13"/>
  <c r="O503" i="13" s="1"/>
  <c r="P503" i="13" s="1"/>
  <c r="M535" i="13"/>
  <c r="O535" i="13" s="1"/>
  <c r="P535" i="13" s="1"/>
  <c r="M567" i="13"/>
  <c r="O567" i="13" s="1"/>
  <c r="P567" i="13" s="1"/>
  <c r="M599" i="13"/>
  <c r="O599" i="13" s="1"/>
  <c r="P599" i="13" s="1"/>
  <c r="M631" i="13"/>
  <c r="O631" i="13" s="1"/>
  <c r="P631" i="13" s="1"/>
  <c r="M663" i="13"/>
  <c r="N663" i="13" s="1"/>
  <c r="M695" i="13"/>
  <c r="O695" i="13" s="1"/>
  <c r="P695" i="13" s="1"/>
  <c r="M727" i="13"/>
  <c r="O727" i="13" s="1"/>
  <c r="P727" i="13" s="1"/>
  <c r="M759" i="13"/>
  <c r="O759" i="13" s="1"/>
  <c r="P759" i="13" s="1"/>
  <c r="M791" i="13"/>
  <c r="O791" i="13" s="1"/>
  <c r="P791" i="13" s="1"/>
  <c r="M823" i="13"/>
  <c r="O823" i="13" s="1"/>
  <c r="P823" i="13" s="1"/>
  <c r="M855" i="13"/>
  <c r="O855" i="13" s="1"/>
  <c r="P855" i="13" s="1"/>
  <c r="M887" i="13"/>
  <c r="O887" i="13" s="1"/>
  <c r="P887" i="13" s="1"/>
  <c r="M919" i="13"/>
  <c r="O919" i="13" s="1"/>
  <c r="P919" i="13" s="1"/>
  <c r="M951" i="13"/>
  <c r="O951" i="13" s="1"/>
  <c r="P951" i="13" s="1"/>
  <c r="M983" i="13"/>
  <c r="O983" i="13" s="1"/>
  <c r="P983" i="13" s="1"/>
  <c r="M1015" i="13"/>
  <c r="O1015" i="13" s="1"/>
  <c r="P1015" i="13" s="1"/>
  <c r="M1047" i="13"/>
  <c r="O1047" i="13" s="1"/>
  <c r="P1047" i="13" s="1"/>
  <c r="M1079" i="13"/>
  <c r="O1079" i="13" s="1"/>
  <c r="P1079" i="13" s="1"/>
  <c r="M1111" i="13"/>
  <c r="O1111" i="13" s="1"/>
  <c r="P1111" i="13" s="1"/>
  <c r="M1143" i="13"/>
  <c r="O1143" i="13" s="1"/>
  <c r="P1143" i="13" s="1"/>
  <c r="M1175" i="13"/>
  <c r="O1175" i="13" s="1"/>
  <c r="P1175" i="13" s="1"/>
  <c r="M1207" i="13"/>
  <c r="O1207" i="13" s="1"/>
  <c r="P1207" i="13" s="1"/>
  <c r="M1239" i="13"/>
  <c r="O1239" i="13" s="1"/>
  <c r="P1239" i="13" s="1"/>
  <c r="M1271" i="13"/>
  <c r="O1271" i="13" s="1"/>
  <c r="P1271" i="13" s="1"/>
  <c r="M1303" i="13"/>
  <c r="N1303" i="13" s="1"/>
  <c r="M984" i="13"/>
  <c r="O984" i="13" s="1"/>
  <c r="P984" i="13" s="1"/>
  <c r="M1088" i="13"/>
  <c r="O1088" i="13" s="1"/>
  <c r="P1088" i="13" s="1"/>
  <c r="M1128" i="13"/>
  <c r="O1128" i="13" s="1"/>
  <c r="P1128" i="13" s="1"/>
  <c r="M1160" i="13"/>
  <c r="O1160" i="13" s="1"/>
  <c r="P1160" i="13" s="1"/>
  <c r="M1200" i="13"/>
  <c r="O1200" i="13" s="1"/>
  <c r="P1200" i="13" s="1"/>
  <c r="M1272" i="13"/>
  <c r="O1272" i="13" s="1"/>
  <c r="P1272" i="13" s="1"/>
  <c r="M1040" i="13"/>
  <c r="N1040" i="13" s="1"/>
  <c r="M785" i="13"/>
  <c r="O785" i="13" s="1"/>
  <c r="P785" i="13" s="1"/>
  <c r="M817" i="13"/>
  <c r="O817" i="13" s="1"/>
  <c r="P817" i="13" s="1"/>
  <c r="M849" i="13"/>
  <c r="O849" i="13" s="1"/>
  <c r="P849" i="13" s="1"/>
  <c r="M881" i="13"/>
  <c r="O881" i="13" s="1"/>
  <c r="P881" i="13" s="1"/>
  <c r="M913" i="13"/>
  <c r="O913" i="13" s="1"/>
  <c r="P913" i="13" s="1"/>
  <c r="M945" i="13"/>
  <c r="O945" i="13" s="1"/>
  <c r="P945" i="13" s="1"/>
  <c r="M977" i="13"/>
  <c r="O977" i="13" s="1"/>
  <c r="P977" i="13" s="1"/>
  <c r="M1009" i="13"/>
  <c r="O1009" i="13" s="1"/>
  <c r="P1009" i="13" s="1"/>
  <c r="M1041" i="13"/>
  <c r="O1041" i="13" s="1"/>
  <c r="P1041" i="13" s="1"/>
  <c r="M1073" i="13"/>
  <c r="O1073" i="13" s="1"/>
  <c r="P1073" i="13" s="1"/>
  <c r="M1105" i="13"/>
  <c r="O1105" i="13" s="1"/>
  <c r="P1105" i="13" s="1"/>
  <c r="M1137" i="13"/>
  <c r="O1137" i="13" s="1"/>
  <c r="P1137" i="13" s="1"/>
  <c r="M1169" i="13"/>
  <c r="O1169" i="13" s="1"/>
  <c r="P1169" i="13" s="1"/>
  <c r="M1201" i="13"/>
  <c r="O1201" i="13" s="1"/>
  <c r="P1201" i="13" s="1"/>
  <c r="M1233" i="13"/>
  <c r="O1233" i="13" s="1"/>
  <c r="P1233" i="13" s="1"/>
  <c r="M1265" i="13"/>
  <c r="O1265" i="13" s="1"/>
  <c r="P1265" i="13" s="1"/>
  <c r="M1297" i="13"/>
  <c r="O1297" i="13" s="1"/>
  <c r="P1297" i="13" s="1"/>
  <c r="M541" i="13"/>
  <c r="O541" i="13" s="1"/>
  <c r="P541" i="13" s="1"/>
  <c r="M653" i="13"/>
  <c r="O653" i="13" s="1"/>
  <c r="P653" i="13" s="1"/>
  <c r="M861" i="13"/>
  <c r="O861" i="13" s="1"/>
  <c r="P861" i="13" s="1"/>
  <c r="M1069" i="13"/>
  <c r="O1069" i="13" s="1"/>
  <c r="P1069" i="13" s="1"/>
  <c r="M1277" i="13"/>
  <c r="O1277" i="13" s="1"/>
  <c r="P1277" i="13" s="1"/>
  <c r="M429" i="13"/>
  <c r="O429" i="13" s="1"/>
  <c r="P429" i="13" s="1"/>
  <c r="M733" i="13"/>
  <c r="O733" i="13" s="1"/>
  <c r="P733" i="13" s="1"/>
  <c r="M949" i="13"/>
  <c r="O949" i="13" s="1"/>
  <c r="P949" i="13" s="1"/>
  <c r="M1157" i="13"/>
  <c r="O1157" i="13" s="1"/>
  <c r="P1157" i="13" s="1"/>
  <c r="M741" i="13"/>
  <c r="O741" i="13" s="1"/>
  <c r="P741" i="13" s="1"/>
  <c r="M965" i="13"/>
  <c r="O965" i="13" s="1"/>
  <c r="P965" i="13" s="1"/>
  <c r="M1173" i="13"/>
  <c r="O1173" i="13" s="1"/>
  <c r="P1173" i="13" s="1"/>
  <c r="M414" i="13"/>
  <c r="O414" i="13" s="1"/>
  <c r="P414" i="13" s="1"/>
  <c r="M558" i="13"/>
  <c r="O558" i="13" s="1"/>
  <c r="P558" i="13" s="1"/>
  <c r="M686" i="13"/>
  <c r="O686" i="13" s="1"/>
  <c r="P686" i="13" s="1"/>
  <c r="M822" i="13"/>
  <c r="O822" i="13" s="1"/>
  <c r="P822" i="13" s="1"/>
  <c r="M950" i="13"/>
  <c r="O950" i="13" s="1"/>
  <c r="P950" i="13" s="1"/>
  <c r="M1198" i="13"/>
  <c r="O1198" i="13" s="1"/>
  <c r="P1198" i="13" s="1"/>
  <c r="M1302" i="13"/>
  <c r="O1302" i="13" s="1"/>
  <c r="P1302" i="13" s="1"/>
  <c r="M78" i="13"/>
  <c r="O78" i="13" s="1"/>
  <c r="P78" i="13" s="1"/>
  <c r="M238" i="13"/>
  <c r="O238" i="13" s="1"/>
  <c r="P238" i="13" s="1"/>
  <c r="M374" i="13"/>
  <c r="M510" i="13"/>
  <c r="O510" i="13" s="1"/>
  <c r="P510" i="13" s="1"/>
  <c r="M774" i="13"/>
  <c r="O774" i="13" s="1"/>
  <c r="P774" i="13" s="1"/>
  <c r="M1270" i="13"/>
  <c r="N1270" i="13" s="1"/>
  <c r="M518" i="13"/>
  <c r="O518" i="13" s="1"/>
  <c r="P518" i="13" s="1"/>
  <c r="M814" i="13"/>
  <c r="M958" i="13"/>
  <c r="O958" i="13" s="1"/>
  <c r="P958" i="13" s="1"/>
  <c r="M1078" i="13"/>
  <c r="O1078" i="13" s="1"/>
  <c r="P1078" i="13" s="1"/>
  <c r="M118" i="13"/>
  <c r="O118" i="13" s="1"/>
  <c r="P118" i="13" s="1"/>
  <c r="M246" i="13"/>
  <c r="O246" i="13" s="1"/>
  <c r="P246" i="13" s="1"/>
  <c r="M326" i="13"/>
  <c r="O326" i="13" s="1"/>
  <c r="P326" i="13" s="1"/>
  <c r="M574" i="13"/>
  <c r="O574" i="13" s="1"/>
  <c r="P574" i="13" s="1"/>
  <c r="M694" i="13"/>
  <c r="O694" i="13" s="1"/>
  <c r="P694" i="13" s="1"/>
  <c r="M974" i="13"/>
  <c r="O974" i="13" s="1"/>
  <c r="P974" i="13" s="1"/>
  <c r="M1086" i="13"/>
  <c r="O1086" i="13" s="1"/>
  <c r="P1086" i="13" s="1"/>
  <c r="M1214" i="13"/>
  <c r="M449" i="13"/>
  <c r="O449" i="13" s="1"/>
  <c r="P449" i="13" s="1"/>
  <c r="O170" i="13"/>
  <c r="P170" i="13" s="1"/>
  <c r="M480" i="13"/>
  <c r="O480" i="13" s="1"/>
  <c r="P480" i="13" s="1"/>
  <c r="M744" i="13"/>
  <c r="O744" i="13" s="1"/>
  <c r="P744" i="13" s="1"/>
  <c r="M1194" i="13"/>
  <c r="O1194" i="13" s="1"/>
  <c r="P1194" i="13" s="1"/>
  <c r="M873" i="13"/>
  <c r="O873" i="13" s="1"/>
  <c r="P873" i="13" s="1"/>
  <c r="M1161" i="13"/>
  <c r="N1161" i="13" s="1"/>
  <c r="M525" i="13"/>
  <c r="O525" i="13" s="1"/>
  <c r="P525" i="13" s="1"/>
  <c r="M685" i="13"/>
  <c r="O685" i="13" s="1"/>
  <c r="P685" i="13" s="1"/>
  <c r="M662" i="13"/>
  <c r="O662" i="13" s="1"/>
  <c r="P662" i="13" s="1"/>
  <c r="O287" i="13"/>
  <c r="P287" i="13" s="1"/>
  <c r="N96" i="13"/>
  <c r="N176" i="13"/>
  <c r="M33" i="13"/>
  <c r="O33" i="13" s="1"/>
  <c r="P33" i="13" s="1"/>
  <c r="M161" i="13"/>
  <c r="O161" i="13" s="1"/>
  <c r="P161" i="13" s="1"/>
  <c r="M225" i="13"/>
  <c r="O225" i="13" s="1"/>
  <c r="P225" i="13" s="1"/>
  <c r="M289" i="13"/>
  <c r="N289" i="13" s="1"/>
  <c r="M353" i="13"/>
  <c r="O353" i="13" s="1"/>
  <c r="P353" i="13" s="1"/>
  <c r="M417" i="13"/>
  <c r="O417" i="13" s="1"/>
  <c r="P417" i="13" s="1"/>
  <c r="M481" i="13"/>
  <c r="O481" i="13" s="1"/>
  <c r="P481" i="13" s="1"/>
  <c r="M545" i="13"/>
  <c r="N545" i="13" s="1"/>
  <c r="M609" i="13"/>
  <c r="O609" i="13" s="1"/>
  <c r="P609" i="13" s="1"/>
  <c r="M673" i="13"/>
  <c r="O673" i="13" s="1"/>
  <c r="P673" i="13" s="1"/>
  <c r="M737" i="13"/>
  <c r="O737" i="13" s="1"/>
  <c r="P737" i="13" s="1"/>
  <c r="M613" i="13"/>
  <c r="N613" i="13" s="1"/>
  <c r="M853" i="13"/>
  <c r="O853" i="13" s="1"/>
  <c r="P853" i="13" s="1"/>
  <c r="M1077" i="13"/>
  <c r="O1077" i="13" s="1"/>
  <c r="P1077" i="13" s="1"/>
  <c r="M1309" i="13"/>
  <c r="O1309" i="13" s="1"/>
  <c r="P1309" i="13" s="1"/>
  <c r="M336" i="13"/>
  <c r="N336" i="13" s="1"/>
  <c r="M368" i="13"/>
  <c r="N368" i="13" s="1"/>
  <c r="M400" i="13"/>
  <c r="O400" i="13" s="1"/>
  <c r="P400" i="13" s="1"/>
  <c r="M432" i="13"/>
  <c r="O432" i="13" s="1"/>
  <c r="P432" i="13" s="1"/>
  <c r="M464" i="13"/>
  <c r="O464" i="13" s="1"/>
  <c r="P464" i="13" s="1"/>
  <c r="M496" i="13"/>
  <c r="O496" i="13" s="1"/>
  <c r="P496" i="13" s="1"/>
  <c r="M528" i="13"/>
  <c r="O528" i="13" s="1"/>
  <c r="P528" i="13" s="1"/>
  <c r="M560" i="13"/>
  <c r="M592" i="13"/>
  <c r="N592" i="13" s="1"/>
  <c r="M624" i="13"/>
  <c r="O624" i="13" s="1"/>
  <c r="P624" i="13" s="1"/>
  <c r="M656" i="13"/>
  <c r="O656" i="13" s="1"/>
  <c r="P656" i="13" s="1"/>
  <c r="M696" i="13"/>
  <c r="O696" i="13" s="1"/>
  <c r="P696" i="13" s="1"/>
  <c r="M728" i="13"/>
  <c r="O728" i="13" s="1"/>
  <c r="P728" i="13" s="1"/>
  <c r="M760" i="13"/>
  <c r="N760" i="13" s="1"/>
  <c r="M792" i="13"/>
  <c r="O792" i="13" s="1"/>
  <c r="P792" i="13" s="1"/>
  <c r="M824" i="13"/>
  <c r="O824" i="13" s="1"/>
  <c r="P824" i="13" s="1"/>
  <c r="M856" i="13"/>
  <c r="N856" i="13" s="1"/>
  <c r="M888" i="13"/>
  <c r="O888" i="13" s="1"/>
  <c r="P888" i="13" s="1"/>
  <c r="M920" i="13"/>
  <c r="O920" i="13" s="1"/>
  <c r="P920" i="13" s="1"/>
  <c r="M952" i="13"/>
  <c r="O952" i="13" s="1"/>
  <c r="P952" i="13" s="1"/>
  <c r="M1016" i="13"/>
  <c r="N1016" i="13" s="1"/>
  <c r="M1056" i="13"/>
  <c r="O1056" i="13" s="1"/>
  <c r="P1056" i="13" s="1"/>
  <c r="M1240" i="13"/>
  <c r="O1240" i="13" s="1"/>
  <c r="P1240" i="13" s="1"/>
  <c r="M421" i="13"/>
  <c r="O421" i="13" s="1"/>
  <c r="P421" i="13" s="1"/>
  <c r="M725" i="13"/>
  <c r="O725" i="13" s="1"/>
  <c r="P725" i="13" s="1"/>
  <c r="M941" i="13"/>
  <c r="O941" i="13" s="1"/>
  <c r="P941" i="13" s="1"/>
  <c r="M1149" i="13"/>
  <c r="N1149" i="13" s="1"/>
  <c r="M1104" i="13"/>
  <c r="O1104" i="13" s="1"/>
  <c r="P1104" i="13" s="1"/>
  <c r="M346" i="13"/>
  <c r="O346" i="13" s="1"/>
  <c r="P346" i="13" s="1"/>
  <c r="M378" i="13"/>
  <c r="O378" i="13" s="1"/>
  <c r="P378" i="13" s="1"/>
  <c r="M410" i="13"/>
  <c r="N410" i="13" s="1"/>
  <c r="M442" i="13"/>
  <c r="O442" i="13" s="1"/>
  <c r="P442" i="13" s="1"/>
  <c r="M474" i="13"/>
  <c r="O474" i="13" s="1"/>
  <c r="P474" i="13" s="1"/>
  <c r="M506" i="13"/>
  <c r="O506" i="13" s="1"/>
  <c r="P506" i="13" s="1"/>
  <c r="M538" i="13"/>
  <c r="O538" i="13" s="1"/>
  <c r="P538" i="13" s="1"/>
  <c r="M570" i="13"/>
  <c r="O570" i="13" s="1"/>
  <c r="P570" i="13" s="1"/>
  <c r="M602" i="13"/>
  <c r="O602" i="13" s="1"/>
  <c r="P602" i="13" s="1"/>
  <c r="M634" i="13"/>
  <c r="O634" i="13" s="1"/>
  <c r="P634" i="13" s="1"/>
  <c r="M666" i="13"/>
  <c r="O666" i="13" s="1"/>
  <c r="P666" i="13" s="1"/>
  <c r="M698" i="13"/>
  <c r="O698" i="13" s="1"/>
  <c r="P698" i="13" s="1"/>
  <c r="M730" i="13"/>
  <c r="O730" i="13" s="1"/>
  <c r="P730" i="13" s="1"/>
  <c r="M762" i="13"/>
  <c r="O762" i="13" s="1"/>
  <c r="P762" i="13" s="1"/>
  <c r="M794" i="13"/>
  <c r="O794" i="13" s="1"/>
  <c r="P794" i="13" s="1"/>
  <c r="M826" i="13"/>
  <c r="M858" i="13"/>
  <c r="O858" i="13" s="1"/>
  <c r="P858" i="13" s="1"/>
  <c r="M890" i="13"/>
  <c r="O890" i="13" s="1"/>
  <c r="P890" i="13" s="1"/>
  <c r="M922" i="13"/>
  <c r="O922" i="13" s="1"/>
  <c r="P922" i="13" s="1"/>
  <c r="M954" i="13"/>
  <c r="O954" i="13" s="1"/>
  <c r="P954" i="13" s="1"/>
  <c r="M986" i="13"/>
  <c r="O986" i="13" s="1"/>
  <c r="P986" i="13" s="1"/>
  <c r="M1018" i="13"/>
  <c r="O1018" i="13" s="1"/>
  <c r="P1018" i="13" s="1"/>
  <c r="M1050" i="13"/>
  <c r="O1050" i="13" s="1"/>
  <c r="P1050" i="13" s="1"/>
  <c r="M1082" i="13"/>
  <c r="O1082" i="13" s="1"/>
  <c r="P1082" i="13" s="1"/>
  <c r="M1114" i="13"/>
  <c r="O1114" i="13" s="1"/>
  <c r="P1114" i="13" s="1"/>
  <c r="M1146" i="13"/>
  <c r="O1146" i="13" s="1"/>
  <c r="P1146" i="13" s="1"/>
  <c r="M1178" i="13"/>
  <c r="O1178" i="13" s="1"/>
  <c r="P1178" i="13" s="1"/>
  <c r="M1210" i="13"/>
  <c r="O1210" i="13" s="1"/>
  <c r="P1210" i="13" s="1"/>
  <c r="M1242" i="13"/>
  <c r="O1242" i="13" s="1"/>
  <c r="P1242" i="13" s="1"/>
  <c r="M1274" i="13"/>
  <c r="O1274" i="13" s="1"/>
  <c r="P1274" i="13" s="1"/>
  <c r="M1306" i="13"/>
  <c r="O1306" i="13" s="1"/>
  <c r="P1306" i="13" s="1"/>
  <c r="M339" i="13"/>
  <c r="O339" i="13" s="1"/>
  <c r="P339" i="13" s="1"/>
  <c r="M371" i="13"/>
  <c r="O371" i="13" s="1"/>
  <c r="P371" i="13" s="1"/>
  <c r="M403" i="13"/>
  <c r="M435" i="13"/>
  <c r="O435" i="13" s="1"/>
  <c r="P435" i="13" s="1"/>
  <c r="M467" i="13"/>
  <c r="O467" i="13" s="1"/>
  <c r="P467" i="13" s="1"/>
  <c r="M499" i="13"/>
  <c r="O499" i="13" s="1"/>
  <c r="P499" i="13" s="1"/>
  <c r="M531" i="13"/>
  <c r="O531" i="13" s="1"/>
  <c r="P531" i="13" s="1"/>
  <c r="M563" i="13"/>
  <c r="O563" i="13" s="1"/>
  <c r="P563" i="13" s="1"/>
  <c r="M595" i="13"/>
  <c r="O595" i="13" s="1"/>
  <c r="P595" i="13" s="1"/>
  <c r="M627" i="13"/>
  <c r="O627" i="13" s="1"/>
  <c r="P627" i="13" s="1"/>
  <c r="M659" i="13"/>
  <c r="M691" i="13"/>
  <c r="O691" i="13" s="1"/>
  <c r="P691" i="13" s="1"/>
  <c r="M723" i="13"/>
  <c r="O723" i="13" s="1"/>
  <c r="P723" i="13" s="1"/>
  <c r="M755" i="13"/>
  <c r="O755" i="13" s="1"/>
  <c r="P755" i="13" s="1"/>
  <c r="M787" i="13"/>
  <c r="O787" i="13" s="1"/>
  <c r="P787" i="13" s="1"/>
  <c r="M819" i="13"/>
  <c r="O819" i="13" s="1"/>
  <c r="P819" i="13" s="1"/>
  <c r="M851" i="13"/>
  <c r="O851" i="13" s="1"/>
  <c r="P851" i="13" s="1"/>
  <c r="M883" i="13"/>
  <c r="O883" i="13" s="1"/>
  <c r="P883" i="13" s="1"/>
  <c r="M915" i="13"/>
  <c r="O915" i="13" s="1"/>
  <c r="P915" i="13" s="1"/>
  <c r="M947" i="13"/>
  <c r="O947" i="13" s="1"/>
  <c r="P947" i="13" s="1"/>
  <c r="M979" i="13"/>
  <c r="O979" i="13" s="1"/>
  <c r="P979" i="13" s="1"/>
  <c r="M1011" i="13"/>
  <c r="O1011" i="13" s="1"/>
  <c r="P1011" i="13" s="1"/>
  <c r="M1043" i="13"/>
  <c r="O1043" i="13" s="1"/>
  <c r="P1043" i="13" s="1"/>
  <c r="M1075" i="13"/>
  <c r="O1075" i="13" s="1"/>
  <c r="P1075" i="13" s="1"/>
  <c r="M1107" i="13"/>
  <c r="O1107" i="13" s="1"/>
  <c r="P1107" i="13" s="1"/>
  <c r="M1139" i="13"/>
  <c r="M1171" i="13"/>
  <c r="O1171" i="13" s="1"/>
  <c r="P1171" i="13" s="1"/>
  <c r="M1203" i="13"/>
  <c r="O1203" i="13" s="1"/>
  <c r="P1203" i="13" s="1"/>
  <c r="M1235" i="13"/>
  <c r="O1235" i="13" s="1"/>
  <c r="P1235" i="13" s="1"/>
  <c r="M1267" i="13"/>
  <c r="O1267" i="13" s="1"/>
  <c r="P1267" i="13" s="1"/>
  <c r="M1299" i="13"/>
  <c r="O1299" i="13" s="1"/>
  <c r="P1299" i="13" s="1"/>
  <c r="M669" i="13"/>
  <c r="N669" i="13" s="1"/>
  <c r="M1005" i="13"/>
  <c r="O1005" i="13" s="1"/>
  <c r="P1005" i="13" s="1"/>
  <c r="M1301" i="13"/>
  <c r="O1301" i="13" s="1"/>
  <c r="P1301" i="13" s="1"/>
  <c r="M1232" i="13"/>
  <c r="O1232" i="13" s="1"/>
  <c r="P1232" i="13" s="1"/>
  <c r="M28" i="13"/>
  <c r="O28" i="13" s="1"/>
  <c r="P28" i="13" s="1"/>
  <c r="M60" i="13"/>
  <c r="M92" i="13"/>
  <c r="O92" i="13" s="1"/>
  <c r="P92" i="13" s="1"/>
  <c r="M124" i="13"/>
  <c r="M156" i="13"/>
  <c r="O156" i="13" s="1"/>
  <c r="P156" i="13" s="1"/>
  <c r="M188" i="13"/>
  <c r="O188" i="13" s="1"/>
  <c r="P188" i="13" s="1"/>
  <c r="M220" i="13"/>
  <c r="O220" i="13" s="1"/>
  <c r="P220" i="13" s="1"/>
  <c r="M252" i="13"/>
  <c r="O252" i="13" s="1"/>
  <c r="P252" i="13" s="1"/>
  <c r="M284" i="13"/>
  <c r="N284" i="13" s="1"/>
  <c r="M316" i="13"/>
  <c r="O316" i="13" s="1"/>
  <c r="P316" i="13" s="1"/>
  <c r="M348" i="13"/>
  <c r="O348" i="13" s="1"/>
  <c r="P348" i="13" s="1"/>
  <c r="M380" i="13"/>
  <c r="O380" i="13" s="1"/>
  <c r="P380" i="13" s="1"/>
  <c r="M412" i="13"/>
  <c r="O412" i="13" s="1"/>
  <c r="P412" i="13" s="1"/>
  <c r="M444" i="13"/>
  <c r="M476" i="13"/>
  <c r="O476" i="13" s="1"/>
  <c r="P476" i="13" s="1"/>
  <c r="M508" i="13"/>
  <c r="O508" i="13" s="1"/>
  <c r="P508" i="13" s="1"/>
  <c r="M540" i="13"/>
  <c r="O540" i="13" s="1"/>
  <c r="P540" i="13" s="1"/>
  <c r="M572" i="13"/>
  <c r="O572" i="13" s="1"/>
  <c r="P572" i="13" s="1"/>
  <c r="M604" i="13"/>
  <c r="O604" i="13" s="1"/>
  <c r="P604" i="13" s="1"/>
  <c r="M636" i="13"/>
  <c r="O636" i="13" s="1"/>
  <c r="P636" i="13" s="1"/>
  <c r="M668" i="13"/>
  <c r="O668" i="13" s="1"/>
  <c r="P668" i="13" s="1"/>
  <c r="M700" i="13"/>
  <c r="O700" i="13" s="1"/>
  <c r="P700" i="13" s="1"/>
  <c r="M732" i="13"/>
  <c r="O732" i="13" s="1"/>
  <c r="P732" i="13" s="1"/>
  <c r="M764" i="13"/>
  <c r="O764" i="13" s="1"/>
  <c r="P764" i="13" s="1"/>
  <c r="M796" i="13"/>
  <c r="O796" i="13" s="1"/>
  <c r="P796" i="13" s="1"/>
  <c r="M828" i="13"/>
  <c r="O828" i="13" s="1"/>
  <c r="P828" i="13" s="1"/>
  <c r="M860" i="13"/>
  <c r="O860" i="13" s="1"/>
  <c r="P860" i="13" s="1"/>
  <c r="M892" i="13"/>
  <c r="O892" i="13" s="1"/>
  <c r="P892" i="13" s="1"/>
  <c r="M924" i="13"/>
  <c r="O924" i="13" s="1"/>
  <c r="P924" i="13" s="1"/>
  <c r="M956" i="13"/>
  <c r="O956" i="13" s="1"/>
  <c r="P956" i="13" s="1"/>
  <c r="M988" i="13"/>
  <c r="O988" i="13" s="1"/>
  <c r="P988" i="13" s="1"/>
  <c r="M1020" i="13"/>
  <c r="O1020" i="13" s="1"/>
  <c r="P1020" i="13" s="1"/>
  <c r="M1052" i="13"/>
  <c r="O1052" i="13" s="1"/>
  <c r="P1052" i="13" s="1"/>
  <c r="M1084" i="13"/>
  <c r="O1084" i="13" s="1"/>
  <c r="P1084" i="13" s="1"/>
  <c r="M1116" i="13"/>
  <c r="N1116" i="13" s="1"/>
  <c r="M1148" i="13"/>
  <c r="O1148" i="13" s="1"/>
  <c r="P1148" i="13" s="1"/>
  <c r="M1180" i="13"/>
  <c r="O1180" i="13" s="1"/>
  <c r="P1180" i="13" s="1"/>
  <c r="M1212" i="13"/>
  <c r="O1212" i="13" s="1"/>
  <c r="P1212" i="13" s="1"/>
  <c r="M1244" i="13"/>
  <c r="O1244" i="13" s="1"/>
  <c r="P1244" i="13" s="1"/>
  <c r="M1276" i="13"/>
  <c r="O1276" i="13" s="1"/>
  <c r="P1276" i="13" s="1"/>
  <c r="M1308" i="13"/>
  <c r="O1308" i="13" s="1"/>
  <c r="P1308" i="13" s="1"/>
  <c r="M301" i="13"/>
  <c r="O301" i="13" s="1"/>
  <c r="P301" i="13" s="1"/>
  <c r="M333" i="13"/>
  <c r="O333" i="13" s="1"/>
  <c r="P333" i="13" s="1"/>
  <c r="M365" i="13"/>
  <c r="O365" i="13" s="1"/>
  <c r="P365" i="13" s="1"/>
  <c r="M405" i="13"/>
  <c r="O405" i="13" s="1"/>
  <c r="P405" i="13" s="1"/>
  <c r="M477" i="13"/>
  <c r="O477" i="13" s="1"/>
  <c r="P477" i="13" s="1"/>
  <c r="M509" i="13"/>
  <c r="O509" i="13" s="1"/>
  <c r="P509" i="13" s="1"/>
  <c r="M557" i="13"/>
  <c r="O557" i="13" s="1"/>
  <c r="P557" i="13" s="1"/>
  <c r="M717" i="13"/>
  <c r="O717" i="13" s="1"/>
  <c r="P717" i="13" s="1"/>
  <c r="M925" i="13"/>
  <c r="O925" i="13" s="1"/>
  <c r="P925" i="13" s="1"/>
  <c r="M1141" i="13"/>
  <c r="O1141" i="13" s="1"/>
  <c r="P1141" i="13" s="1"/>
  <c r="N998" i="13"/>
  <c r="M182" i="13"/>
  <c r="O182" i="13" s="1"/>
  <c r="P182" i="13" s="1"/>
  <c r="M310" i="13"/>
  <c r="O310" i="13" s="1"/>
  <c r="P310" i="13" s="1"/>
  <c r="M430" i="13"/>
  <c r="O430" i="13" s="1"/>
  <c r="P430" i="13" s="1"/>
  <c r="M718" i="13"/>
  <c r="O718" i="13" s="1"/>
  <c r="P718" i="13" s="1"/>
  <c r="M1054" i="13"/>
  <c r="O1054" i="13" s="1"/>
  <c r="P1054" i="13" s="1"/>
  <c r="M1246" i="13"/>
  <c r="O1246" i="13" s="1"/>
  <c r="P1246" i="13" s="1"/>
  <c r="M382" i="13"/>
  <c r="N382" i="13" s="1"/>
  <c r="M630" i="13"/>
  <c r="O630" i="13" s="1"/>
  <c r="P630" i="13" s="1"/>
  <c r="M750" i="13"/>
  <c r="O750" i="13" s="1"/>
  <c r="P750" i="13" s="1"/>
  <c r="M902" i="13"/>
  <c r="M1030" i="13"/>
  <c r="O1030" i="13" s="1"/>
  <c r="P1030" i="13" s="1"/>
  <c r="M1230" i="13"/>
  <c r="O1230" i="13" s="1"/>
  <c r="P1230" i="13" s="1"/>
  <c r="N550" i="13"/>
  <c r="N358" i="13"/>
  <c r="N742" i="13"/>
  <c r="N1254" i="13"/>
  <c r="M129" i="13"/>
  <c r="O129" i="13" s="1"/>
  <c r="P129" i="13" s="1"/>
  <c r="M577" i="13"/>
  <c r="O577" i="13" s="1"/>
  <c r="P577" i="13" s="1"/>
  <c r="O307" i="13"/>
  <c r="P307" i="13" s="1"/>
  <c r="M512" i="13"/>
  <c r="O512" i="13" s="1"/>
  <c r="P512" i="13" s="1"/>
  <c r="M712" i="13"/>
  <c r="O712" i="13" s="1"/>
  <c r="P712" i="13" s="1"/>
  <c r="M968" i="13"/>
  <c r="O968" i="13" s="1"/>
  <c r="P968" i="13" s="1"/>
  <c r="M330" i="13"/>
  <c r="O330" i="13" s="1"/>
  <c r="P330" i="13" s="1"/>
  <c r="M458" i="13"/>
  <c r="O458" i="13" s="1"/>
  <c r="P458" i="13" s="1"/>
  <c r="M554" i="13"/>
  <c r="O554" i="13" s="1"/>
  <c r="P554" i="13" s="1"/>
  <c r="M682" i="13"/>
  <c r="O682" i="13" s="1"/>
  <c r="P682" i="13" s="1"/>
  <c r="M810" i="13"/>
  <c r="O810" i="13" s="1"/>
  <c r="P810" i="13" s="1"/>
  <c r="M874" i="13"/>
  <c r="O874" i="13" s="1"/>
  <c r="P874" i="13" s="1"/>
  <c r="M1034" i="13"/>
  <c r="O1034" i="13" s="1"/>
  <c r="P1034" i="13" s="1"/>
  <c r="M1162" i="13"/>
  <c r="O1162" i="13" s="1"/>
  <c r="P1162" i="13" s="1"/>
  <c r="M419" i="13"/>
  <c r="O419" i="13" s="1"/>
  <c r="P419" i="13" s="1"/>
  <c r="M547" i="13"/>
  <c r="O547" i="13" s="1"/>
  <c r="P547" i="13" s="1"/>
  <c r="M675" i="13"/>
  <c r="O675" i="13" s="1"/>
  <c r="P675" i="13" s="1"/>
  <c r="M739" i="13"/>
  <c r="O739" i="13" s="1"/>
  <c r="P739" i="13" s="1"/>
  <c r="M835" i="13"/>
  <c r="N125" i="13"/>
  <c r="O46" i="13"/>
  <c r="P46" i="13" s="1"/>
  <c r="M73" i="13"/>
  <c r="O73" i="13" s="1"/>
  <c r="P73" i="13" s="1"/>
  <c r="M393" i="13"/>
  <c r="O393" i="13" s="1"/>
  <c r="P393" i="13" s="1"/>
  <c r="M713" i="13"/>
  <c r="O713" i="13" s="1"/>
  <c r="P713" i="13" s="1"/>
  <c r="N74" i="13"/>
  <c r="N243" i="13"/>
  <c r="M463" i="13"/>
  <c r="M687" i="13"/>
  <c r="O687" i="13" s="1"/>
  <c r="P687" i="13" s="1"/>
  <c r="M847" i="13"/>
  <c r="O847" i="13" s="1"/>
  <c r="P847" i="13" s="1"/>
  <c r="M975" i="13"/>
  <c r="O975" i="13" s="1"/>
  <c r="P975" i="13" s="1"/>
  <c r="M1135" i="13"/>
  <c r="O1135" i="13" s="1"/>
  <c r="P1135" i="13" s="1"/>
  <c r="M1295" i="13"/>
  <c r="O1295" i="13" s="1"/>
  <c r="P1295" i="13" s="1"/>
  <c r="M616" i="13"/>
  <c r="O616" i="13" s="1"/>
  <c r="P616" i="13" s="1"/>
  <c r="M1264" i="13"/>
  <c r="O1264" i="13" s="1"/>
  <c r="P1264" i="13" s="1"/>
  <c r="M937" i="13"/>
  <c r="O937" i="13" s="1"/>
  <c r="P937" i="13" s="1"/>
  <c r="M1097" i="13"/>
  <c r="O1097" i="13" s="1"/>
  <c r="P1097" i="13" s="1"/>
  <c r="M1225" i="13"/>
  <c r="O1225" i="13" s="1"/>
  <c r="P1225" i="13" s="1"/>
  <c r="M813" i="13"/>
  <c r="O813" i="13" s="1"/>
  <c r="P813" i="13" s="1"/>
  <c r="M526" i="13"/>
  <c r="O526" i="13" s="1"/>
  <c r="P526" i="13" s="1"/>
  <c r="M1278" i="13"/>
  <c r="O1278" i="13" s="1"/>
  <c r="P1278" i="13" s="1"/>
  <c r="M470" i="13"/>
  <c r="M534" i="13"/>
  <c r="O534" i="13" s="1"/>
  <c r="P534" i="13" s="1"/>
  <c r="O24" i="13"/>
  <c r="P24" i="13" s="1"/>
  <c r="N22" i="13"/>
  <c r="N54" i="13"/>
  <c r="O95" i="13"/>
  <c r="P95" i="13" s="1"/>
  <c r="O127" i="13"/>
  <c r="P127" i="13" s="1"/>
  <c r="O191" i="13"/>
  <c r="P191" i="13" s="1"/>
  <c r="N136" i="13"/>
  <c r="M97" i="13"/>
  <c r="O97" i="13" s="1"/>
  <c r="P97" i="13" s="1"/>
  <c r="N13" i="13"/>
  <c r="N77" i="13"/>
  <c r="N109" i="13"/>
  <c r="N141" i="13"/>
  <c r="N173" i="13"/>
  <c r="N205" i="13"/>
  <c r="N237" i="13"/>
  <c r="N269" i="13"/>
  <c r="N39" i="13"/>
  <c r="N71" i="13"/>
  <c r="N103" i="13"/>
  <c r="N135" i="13"/>
  <c r="N167" i="13"/>
  <c r="N199" i="13"/>
  <c r="N231" i="13"/>
  <c r="N263" i="13"/>
  <c r="N295" i="13"/>
  <c r="O72" i="13"/>
  <c r="P72" i="13" s="1"/>
  <c r="O144" i="13"/>
  <c r="P144" i="13" s="1"/>
  <c r="O256" i="13"/>
  <c r="P256" i="13" s="1"/>
  <c r="M41" i="13"/>
  <c r="O41" i="13" s="1"/>
  <c r="P41" i="13" s="1"/>
  <c r="M105" i="13"/>
  <c r="N105" i="13" s="1"/>
  <c r="M169" i="13"/>
  <c r="O169" i="13" s="1"/>
  <c r="P169" i="13" s="1"/>
  <c r="M233" i="13"/>
  <c r="O233" i="13" s="1"/>
  <c r="P233" i="13" s="1"/>
  <c r="M297" i="13"/>
  <c r="O297" i="13" s="1"/>
  <c r="P297" i="13" s="1"/>
  <c r="M361" i="13"/>
  <c r="O361" i="13" s="1"/>
  <c r="P361" i="13" s="1"/>
  <c r="M425" i="13"/>
  <c r="O425" i="13" s="1"/>
  <c r="P425" i="13" s="1"/>
  <c r="M489" i="13"/>
  <c r="O489" i="13" s="1"/>
  <c r="P489" i="13" s="1"/>
  <c r="M553" i="13"/>
  <c r="N553" i="13" s="1"/>
  <c r="M617" i="13"/>
  <c r="O617" i="13" s="1"/>
  <c r="P617" i="13" s="1"/>
  <c r="M681" i="13"/>
  <c r="O681" i="13" s="1"/>
  <c r="P681" i="13" s="1"/>
  <c r="M745" i="13"/>
  <c r="O745" i="13" s="1"/>
  <c r="P745" i="13" s="1"/>
  <c r="N26" i="13"/>
  <c r="N58" i="13"/>
  <c r="N90" i="13"/>
  <c r="N122" i="13"/>
  <c r="N154" i="13"/>
  <c r="N186" i="13"/>
  <c r="N218" i="13"/>
  <c r="N250" i="13"/>
  <c r="O250" i="13" s="1"/>
  <c r="P250" i="13" s="1"/>
  <c r="N282" i="13"/>
  <c r="N314" i="13"/>
  <c r="O314" i="13" s="1"/>
  <c r="P314" i="13" s="1"/>
  <c r="N3" i="13"/>
  <c r="N35" i="13"/>
  <c r="N67" i="13"/>
  <c r="N99" i="13"/>
  <c r="N131" i="13"/>
  <c r="N163" i="13"/>
  <c r="O163" i="13" s="1"/>
  <c r="P163" i="13" s="1"/>
  <c r="N195" i="13"/>
  <c r="N227" i="13"/>
  <c r="N259" i="13"/>
  <c r="N291" i="13"/>
  <c r="O291" i="13" s="1"/>
  <c r="P291" i="13" s="1"/>
  <c r="N323" i="13"/>
  <c r="M351" i="13"/>
  <c r="O351" i="13" s="1"/>
  <c r="P351" i="13" s="1"/>
  <c r="M383" i="13"/>
  <c r="N383" i="13" s="1"/>
  <c r="M415" i="13"/>
  <c r="O415" i="13" s="1"/>
  <c r="P415" i="13" s="1"/>
  <c r="M447" i="13"/>
  <c r="O447" i="13" s="1"/>
  <c r="P447" i="13" s="1"/>
  <c r="M479" i="13"/>
  <c r="O479" i="13" s="1"/>
  <c r="P479" i="13" s="1"/>
  <c r="M511" i="13"/>
  <c r="O511" i="13" s="1"/>
  <c r="P511" i="13" s="1"/>
  <c r="M543" i="13"/>
  <c r="O543" i="13" s="1"/>
  <c r="P543" i="13" s="1"/>
  <c r="M575" i="13"/>
  <c r="N575" i="13" s="1"/>
  <c r="M607" i="13"/>
  <c r="O607" i="13" s="1"/>
  <c r="P607" i="13" s="1"/>
  <c r="M639" i="13"/>
  <c r="N639" i="13" s="1"/>
  <c r="M671" i="13"/>
  <c r="O671" i="13" s="1"/>
  <c r="P671" i="13" s="1"/>
  <c r="M703" i="13"/>
  <c r="O703" i="13" s="1"/>
  <c r="P703" i="13" s="1"/>
  <c r="M735" i="13"/>
  <c r="O735" i="13" s="1"/>
  <c r="P735" i="13" s="1"/>
  <c r="M767" i="13"/>
  <c r="O767" i="13" s="1"/>
  <c r="P767" i="13" s="1"/>
  <c r="M799" i="13"/>
  <c r="O799" i="13" s="1"/>
  <c r="P799" i="13" s="1"/>
  <c r="M831" i="13"/>
  <c r="O831" i="13" s="1"/>
  <c r="P831" i="13" s="1"/>
  <c r="M863" i="13"/>
  <c r="O863" i="13" s="1"/>
  <c r="P863" i="13" s="1"/>
  <c r="M895" i="13"/>
  <c r="O895" i="13" s="1"/>
  <c r="P895" i="13" s="1"/>
  <c r="M927" i="13"/>
  <c r="O927" i="13" s="1"/>
  <c r="P927" i="13" s="1"/>
  <c r="M959" i="13"/>
  <c r="O959" i="13" s="1"/>
  <c r="P959" i="13" s="1"/>
  <c r="M991" i="13"/>
  <c r="O991" i="13" s="1"/>
  <c r="P991" i="13" s="1"/>
  <c r="M1023" i="13"/>
  <c r="O1023" i="13" s="1"/>
  <c r="P1023" i="13" s="1"/>
  <c r="M1055" i="13"/>
  <c r="O1055" i="13" s="1"/>
  <c r="P1055" i="13" s="1"/>
  <c r="M1087" i="13"/>
  <c r="O1087" i="13" s="1"/>
  <c r="P1087" i="13" s="1"/>
  <c r="M1119" i="13"/>
  <c r="O1119" i="13" s="1"/>
  <c r="P1119" i="13" s="1"/>
  <c r="M1151" i="13"/>
  <c r="O1151" i="13" s="1"/>
  <c r="P1151" i="13" s="1"/>
  <c r="M1183" i="13"/>
  <c r="N1183" i="13" s="1"/>
  <c r="M1215" i="13"/>
  <c r="O1215" i="13" s="1"/>
  <c r="P1215" i="13" s="1"/>
  <c r="M1247" i="13"/>
  <c r="N1247" i="13" s="1"/>
  <c r="M1279" i="13"/>
  <c r="N1279" i="13" s="1"/>
  <c r="M1311" i="13"/>
  <c r="O1311" i="13" s="1"/>
  <c r="P1311" i="13" s="1"/>
  <c r="M1064" i="13"/>
  <c r="O1064" i="13" s="1"/>
  <c r="P1064" i="13" s="1"/>
  <c r="M1096" i="13"/>
  <c r="O1096" i="13" s="1"/>
  <c r="P1096" i="13" s="1"/>
  <c r="M1136" i="13"/>
  <c r="O1136" i="13" s="1"/>
  <c r="P1136" i="13" s="1"/>
  <c r="M1208" i="13"/>
  <c r="O1208" i="13" s="1"/>
  <c r="P1208" i="13" s="1"/>
  <c r="M1280" i="13"/>
  <c r="O1280" i="13" s="1"/>
  <c r="P1280" i="13" s="1"/>
  <c r="M761" i="13"/>
  <c r="O761" i="13" s="1"/>
  <c r="P761" i="13" s="1"/>
  <c r="M793" i="13"/>
  <c r="O793" i="13" s="1"/>
  <c r="P793" i="13" s="1"/>
  <c r="M825" i="13"/>
  <c r="O825" i="13" s="1"/>
  <c r="P825" i="13" s="1"/>
  <c r="M857" i="13"/>
  <c r="O857" i="13" s="1"/>
  <c r="P857" i="13" s="1"/>
  <c r="M889" i="13"/>
  <c r="O889" i="13" s="1"/>
  <c r="P889" i="13" s="1"/>
  <c r="M921" i="13"/>
  <c r="O921" i="13" s="1"/>
  <c r="P921" i="13" s="1"/>
  <c r="M953" i="13"/>
  <c r="O953" i="13" s="1"/>
  <c r="P953" i="13" s="1"/>
  <c r="M985" i="13"/>
  <c r="O985" i="13" s="1"/>
  <c r="P985" i="13" s="1"/>
  <c r="M1017" i="13"/>
  <c r="M1049" i="13"/>
  <c r="O1049" i="13" s="1"/>
  <c r="P1049" i="13" s="1"/>
  <c r="M1081" i="13"/>
  <c r="O1081" i="13" s="1"/>
  <c r="P1081" i="13" s="1"/>
  <c r="M1113" i="13"/>
  <c r="O1113" i="13" s="1"/>
  <c r="P1113" i="13" s="1"/>
  <c r="M1145" i="13"/>
  <c r="O1145" i="13" s="1"/>
  <c r="P1145" i="13" s="1"/>
  <c r="M1177" i="13"/>
  <c r="O1177" i="13" s="1"/>
  <c r="P1177" i="13" s="1"/>
  <c r="M1209" i="13"/>
  <c r="O1209" i="13" s="1"/>
  <c r="P1209" i="13" s="1"/>
  <c r="M1241" i="13"/>
  <c r="O1241" i="13" s="1"/>
  <c r="P1241" i="13" s="1"/>
  <c r="M1273" i="13"/>
  <c r="O1273" i="13" s="1"/>
  <c r="P1273" i="13" s="1"/>
  <c r="M1305" i="13"/>
  <c r="O1305" i="13" s="1"/>
  <c r="P1305" i="13" s="1"/>
  <c r="M565" i="13"/>
  <c r="O565" i="13" s="1"/>
  <c r="P565" i="13" s="1"/>
  <c r="M709" i="13"/>
  <c r="M917" i="13"/>
  <c r="O917" i="13" s="1"/>
  <c r="P917" i="13" s="1"/>
  <c r="M1117" i="13"/>
  <c r="O1117" i="13" s="1"/>
  <c r="P1117" i="13" s="1"/>
  <c r="M581" i="13"/>
  <c r="O581" i="13" s="1"/>
  <c r="P581" i="13" s="1"/>
  <c r="M773" i="13"/>
  <c r="O773" i="13" s="1"/>
  <c r="P773" i="13" s="1"/>
  <c r="M989" i="13"/>
  <c r="O989" i="13" s="1"/>
  <c r="P989" i="13" s="1"/>
  <c r="M1213" i="13"/>
  <c r="O1213" i="13" s="1"/>
  <c r="P1213" i="13" s="1"/>
  <c r="M453" i="13"/>
  <c r="O453" i="13" s="1"/>
  <c r="P453" i="13" s="1"/>
  <c r="M805" i="13"/>
  <c r="O805" i="13" s="1"/>
  <c r="P805" i="13" s="1"/>
  <c r="M1013" i="13"/>
  <c r="O1013" i="13" s="1"/>
  <c r="P1013" i="13" s="1"/>
  <c r="M1237" i="13"/>
  <c r="O1237" i="13" s="1"/>
  <c r="P1237" i="13" s="1"/>
  <c r="M110" i="13"/>
  <c r="O110" i="13" s="1"/>
  <c r="P110" i="13" s="1"/>
  <c r="M462" i="13"/>
  <c r="O462" i="13" s="1"/>
  <c r="P462" i="13" s="1"/>
  <c r="M590" i="13"/>
  <c r="O590" i="13" s="1"/>
  <c r="P590" i="13" s="1"/>
  <c r="M726" i="13"/>
  <c r="O726" i="13" s="1"/>
  <c r="P726" i="13" s="1"/>
  <c r="M854" i="13"/>
  <c r="N854" i="13" s="1"/>
  <c r="M1222" i="13"/>
  <c r="O1222" i="13" s="1"/>
  <c r="P1222" i="13" s="1"/>
  <c r="M134" i="13"/>
  <c r="N134" i="13" s="1"/>
  <c r="M270" i="13"/>
  <c r="O270" i="13" s="1"/>
  <c r="P270" i="13" s="1"/>
  <c r="M390" i="13"/>
  <c r="N390" i="13" s="1"/>
  <c r="M542" i="13"/>
  <c r="O542" i="13" s="1"/>
  <c r="P542" i="13" s="1"/>
  <c r="M838" i="13"/>
  <c r="O838" i="13" s="1"/>
  <c r="P838" i="13" s="1"/>
  <c r="M1310" i="13"/>
  <c r="O1310" i="13" s="1"/>
  <c r="P1310" i="13" s="1"/>
  <c r="M406" i="13"/>
  <c r="O406" i="13" s="1"/>
  <c r="P406" i="13" s="1"/>
  <c r="M846" i="13"/>
  <c r="O846" i="13" s="1"/>
  <c r="P846" i="13" s="1"/>
  <c r="M990" i="13"/>
  <c r="O990" i="13" s="1"/>
  <c r="P990" i="13" s="1"/>
  <c r="N990" i="13"/>
  <c r="M1094" i="13"/>
  <c r="O1094" i="13" s="1"/>
  <c r="P1094" i="13" s="1"/>
  <c r="M158" i="13"/>
  <c r="N158" i="13" s="1"/>
  <c r="M262" i="13"/>
  <c r="O262" i="13" s="1"/>
  <c r="P262" i="13" s="1"/>
  <c r="M606" i="13"/>
  <c r="N606" i="13" s="1"/>
  <c r="M1014" i="13"/>
  <c r="N1014" i="13" s="1"/>
  <c r="M1110" i="13"/>
  <c r="O1110" i="13" s="1"/>
  <c r="P1110" i="13" s="1"/>
  <c r="M257" i="13"/>
  <c r="O257" i="13" s="1"/>
  <c r="P257" i="13" s="1"/>
  <c r="M641" i="13"/>
  <c r="O641" i="13" s="1"/>
  <c r="P641" i="13" s="1"/>
  <c r="O266" i="13"/>
  <c r="P266" i="13" s="1"/>
  <c r="M957" i="13"/>
  <c r="O957" i="13" s="1"/>
  <c r="P957" i="13" s="1"/>
  <c r="M320" i="13"/>
  <c r="O320" i="13" s="1"/>
  <c r="P320" i="13" s="1"/>
  <c r="M448" i="13"/>
  <c r="O448" i="13" s="1"/>
  <c r="P448" i="13" s="1"/>
  <c r="M672" i="13"/>
  <c r="O672" i="13" s="1"/>
  <c r="P672" i="13" s="1"/>
  <c r="M904" i="13"/>
  <c r="O904" i="13" s="1"/>
  <c r="P904" i="13" s="1"/>
  <c r="M1184" i="13"/>
  <c r="O1184" i="13" s="1"/>
  <c r="P1184" i="13" s="1"/>
  <c r="M1053" i="13"/>
  <c r="M394" i="13"/>
  <c r="O394" i="13" s="1"/>
  <c r="P394" i="13" s="1"/>
  <c r="M522" i="13"/>
  <c r="O522" i="13" s="1"/>
  <c r="P522" i="13" s="1"/>
  <c r="M618" i="13"/>
  <c r="O618" i="13" s="1"/>
  <c r="P618" i="13" s="1"/>
  <c r="M746" i="13"/>
  <c r="O746" i="13" s="1"/>
  <c r="P746" i="13" s="1"/>
  <c r="M842" i="13"/>
  <c r="O842" i="13" s="1"/>
  <c r="P842" i="13" s="1"/>
  <c r="M970" i="13"/>
  <c r="O970" i="13" s="1"/>
  <c r="P970" i="13" s="1"/>
  <c r="M1098" i="13"/>
  <c r="O1098" i="13" s="1"/>
  <c r="P1098" i="13" s="1"/>
  <c r="M1258" i="13"/>
  <c r="O1258" i="13" s="1"/>
  <c r="P1258" i="13" s="1"/>
  <c r="M1168" i="13"/>
  <c r="O1168" i="13" s="1"/>
  <c r="P1168" i="13" s="1"/>
  <c r="M451" i="13"/>
  <c r="O451" i="13" s="1"/>
  <c r="P451" i="13" s="1"/>
  <c r="M579" i="13"/>
  <c r="O579" i="13" s="1"/>
  <c r="P579" i="13" s="1"/>
  <c r="M771" i="13"/>
  <c r="O771" i="13" s="1"/>
  <c r="P771" i="13" s="1"/>
  <c r="M963" i="13"/>
  <c r="O963" i="13" s="1"/>
  <c r="P963" i="13" s="1"/>
  <c r="N29" i="13"/>
  <c r="N189" i="13"/>
  <c r="O189" i="13" s="1"/>
  <c r="P189" i="13" s="1"/>
  <c r="N285" i="13"/>
  <c r="O285" i="13" s="1"/>
  <c r="P285" i="13" s="1"/>
  <c r="O119" i="13"/>
  <c r="P119" i="13" s="1"/>
  <c r="M9" i="13"/>
  <c r="O9" i="13" s="1"/>
  <c r="P9" i="13" s="1"/>
  <c r="M329" i="13"/>
  <c r="O329" i="13" s="1"/>
  <c r="P329" i="13" s="1"/>
  <c r="M585" i="13"/>
  <c r="O585" i="13" s="1"/>
  <c r="P585" i="13" s="1"/>
  <c r="N10" i="13"/>
  <c r="N138" i="13"/>
  <c r="N115" i="13"/>
  <c r="N211" i="13"/>
  <c r="O211" i="13" s="1"/>
  <c r="P211" i="13" s="1"/>
  <c r="M367" i="13"/>
  <c r="O367" i="13" s="1"/>
  <c r="P367" i="13" s="1"/>
  <c r="M495" i="13"/>
  <c r="O495" i="13" s="1"/>
  <c r="P495" i="13" s="1"/>
  <c r="M655" i="13"/>
  <c r="O655" i="13" s="1"/>
  <c r="P655" i="13" s="1"/>
  <c r="M783" i="13"/>
  <c r="O783" i="13" s="1"/>
  <c r="P783" i="13" s="1"/>
  <c r="M1039" i="13"/>
  <c r="M1199" i="13"/>
  <c r="O1199" i="13" s="1"/>
  <c r="P1199" i="13" s="1"/>
  <c r="M424" i="13"/>
  <c r="O424" i="13" s="1"/>
  <c r="P424" i="13" s="1"/>
  <c r="M1152" i="13"/>
  <c r="O1152" i="13" s="1"/>
  <c r="P1152" i="13" s="1"/>
  <c r="M777" i="13"/>
  <c r="O777" i="13" s="1"/>
  <c r="P777" i="13" s="1"/>
  <c r="M969" i="13"/>
  <c r="O969" i="13" s="1"/>
  <c r="P969" i="13" s="1"/>
  <c r="M1129" i="13"/>
  <c r="O1129" i="13" s="1"/>
  <c r="P1129" i="13" s="1"/>
  <c r="M1257" i="13"/>
  <c r="O1257" i="13" s="1"/>
  <c r="P1257" i="13" s="1"/>
  <c r="M1221" i="13"/>
  <c r="O1221" i="13" s="1"/>
  <c r="P1221" i="13" s="1"/>
  <c r="O166" i="13"/>
  <c r="P166" i="13" s="1"/>
  <c r="M1158" i="13"/>
  <c r="O1158" i="13" s="1"/>
  <c r="P1158" i="13" s="1"/>
  <c r="M334" i="13"/>
  <c r="O334" i="13" s="1"/>
  <c r="P334" i="13" s="1"/>
  <c r="M318" i="13"/>
  <c r="O318" i="13" s="1"/>
  <c r="P318" i="13" s="1"/>
  <c r="O64" i="13"/>
  <c r="P64" i="13" s="1"/>
  <c r="O53" i="13"/>
  <c r="P53" i="13" s="1"/>
  <c r="O149" i="13"/>
  <c r="P149" i="13" s="1"/>
  <c r="O181" i="13"/>
  <c r="P181" i="13" s="1"/>
  <c r="O30" i="13"/>
  <c r="P30" i="13" s="1"/>
  <c r="O62" i="13"/>
  <c r="P62" i="13" s="1"/>
  <c r="O7" i="13"/>
  <c r="P7" i="13" s="1"/>
  <c r="O327" i="13"/>
  <c r="P327" i="13" s="1"/>
  <c r="M49" i="13"/>
  <c r="O49" i="13" s="1"/>
  <c r="P49" i="13" s="1"/>
  <c r="M113" i="13"/>
  <c r="O113" i="13" s="1"/>
  <c r="P113" i="13" s="1"/>
  <c r="M177" i="13"/>
  <c r="O177" i="13" s="1"/>
  <c r="P177" i="13" s="1"/>
  <c r="M241" i="13"/>
  <c r="N241" i="13" s="1"/>
  <c r="M305" i="13"/>
  <c r="O305" i="13" s="1"/>
  <c r="P305" i="13" s="1"/>
  <c r="M369" i="13"/>
  <c r="O369" i="13" s="1"/>
  <c r="P369" i="13" s="1"/>
  <c r="M433" i="13"/>
  <c r="O433" i="13" s="1"/>
  <c r="P433" i="13" s="1"/>
  <c r="M497" i="13"/>
  <c r="N497" i="13" s="1"/>
  <c r="M561" i="13"/>
  <c r="O561" i="13" s="1"/>
  <c r="P561" i="13" s="1"/>
  <c r="M625" i="13"/>
  <c r="O625" i="13" s="1"/>
  <c r="P625" i="13" s="1"/>
  <c r="M689" i="13"/>
  <c r="O689" i="13" s="1"/>
  <c r="P689" i="13" s="1"/>
  <c r="M753" i="13"/>
  <c r="O753" i="13" s="1"/>
  <c r="P753" i="13" s="1"/>
  <c r="O66" i="13"/>
  <c r="P66" i="13" s="1"/>
  <c r="O98" i="13"/>
  <c r="P98" i="13" s="1"/>
  <c r="O130" i="13"/>
  <c r="P130" i="13" s="1"/>
  <c r="M104" i="13"/>
  <c r="O104" i="13" s="1"/>
  <c r="P104" i="13" s="1"/>
  <c r="O11" i="13"/>
  <c r="P11" i="13" s="1"/>
  <c r="O75" i="13"/>
  <c r="P75" i="13" s="1"/>
  <c r="O299" i="13"/>
  <c r="P299" i="13" s="1"/>
  <c r="M693" i="13"/>
  <c r="O693" i="13" s="1"/>
  <c r="P693" i="13" s="1"/>
  <c r="M901" i="13"/>
  <c r="O901" i="13" s="1"/>
  <c r="P901" i="13" s="1"/>
  <c r="M1133" i="13"/>
  <c r="O1133" i="13" s="1"/>
  <c r="P1133" i="13" s="1"/>
  <c r="M680" i="13"/>
  <c r="O680" i="13" s="1"/>
  <c r="P680" i="13" s="1"/>
  <c r="M312" i="13"/>
  <c r="O312" i="13" s="1"/>
  <c r="P312" i="13" s="1"/>
  <c r="M344" i="13"/>
  <c r="O344" i="13" s="1"/>
  <c r="P344" i="13" s="1"/>
  <c r="M376" i="13"/>
  <c r="N376" i="13" s="1"/>
  <c r="M408" i="13"/>
  <c r="O408" i="13" s="1"/>
  <c r="P408" i="13" s="1"/>
  <c r="M440" i="13"/>
  <c r="O440" i="13" s="1"/>
  <c r="P440" i="13" s="1"/>
  <c r="M472" i="13"/>
  <c r="O472" i="13" s="1"/>
  <c r="P472" i="13" s="1"/>
  <c r="M504" i="13"/>
  <c r="O504" i="13" s="1"/>
  <c r="P504" i="13" s="1"/>
  <c r="M536" i="13"/>
  <c r="O536" i="13" s="1"/>
  <c r="P536" i="13" s="1"/>
  <c r="M568" i="13"/>
  <c r="O568" i="13" s="1"/>
  <c r="P568" i="13" s="1"/>
  <c r="M600" i="13"/>
  <c r="O600" i="13" s="1"/>
  <c r="P600" i="13" s="1"/>
  <c r="M632" i="13"/>
  <c r="O632" i="13" s="1"/>
  <c r="P632" i="13" s="1"/>
  <c r="M664" i="13"/>
  <c r="O664" i="13" s="1"/>
  <c r="P664" i="13" s="1"/>
  <c r="M704" i="13"/>
  <c r="O704" i="13" s="1"/>
  <c r="P704" i="13" s="1"/>
  <c r="M736" i="13"/>
  <c r="O736" i="13" s="1"/>
  <c r="P736" i="13" s="1"/>
  <c r="M768" i="13"/>
  <c r="N768" i="13" s="1"/>
  <c r="M800" i="13"/>
  <c r="O800" i="13" s="1"/>
  <c r="P800" i="13" s="1"/>
  <c r="M832" i="13"/>
  <c r="O832" i="13" s="1"/>
  <c r="P832" i="13" s="1"/>
  <c r="M864" i="13"/>
  <c r="O864" i="13" s="1"/>
  <c r="P864" i="13" s="1"/>
  <c r="M896" i="13"/>
  <c r="O896" i="13" s="1"/>
  <c r="P896" i="13" s="1"/>
  <c r="M928" i="13"/>
  <c r="O928" i="13" s="1"/>
  <c r="P928" i="13" s="1"/>
  <c r="M960" i="13"/>
  <c r="O960" i="13" s="1"/>
  <c r="P960" i="13" s="1"/>
  <c r="M992" i="13"/>
  <c r="O992" i="13" s="1"/>
  <c r="P992" i="13" s="1"/>
  <c r="M1024" i="13"/>
  <c r="O1024" i="13" s="1"/>
  <c r="P1024" i="13" s="1"/>
  <c r="M1176" i="13"/>
  <c r="O1176" i="13" s="1"/>
  <c r="P1176" i="13" s="1"/>
  <c r="M1248" i="13"/>
  <c r="O1248" i="13" s="1"/>
  <c r="P1248" i="13" s="1"/>
  <c r="M573" i="13"/>
  <c r="O573" i="13" s="1"/>
  <c r="P573" i="13" s="1"/>
  <c r="M781" i="13"/>
  <c r="O781" i="13" s="1"/>
  <c r="P781" i="13" s="1"/>
  <c r="M997" i="13"/>
  <c r="O997" i="13" s="1"/>
  <c r="P997" i="13" s="1"/>
  <c r="M1205" i="13"/>
  <c r="O1205" i="13" s="1"/>
  <c r="P1205" i="13" s="1"/>
  <c r="M354" i="13"/>
  <c r="O354" i="13" s="1"/>
  <c r="P354" i="13" s="1"/>
  <c r="M386" i="13"/>
  <c r="O386" i="13" s="1"/>
  <c r="P386" i="13" s="1"/>
  <c r="M418" i="13"/>
  <c r="O418" i="13" s="1"/>
  <c r="P418" i="13" s="1"/>
  <c r="M450" i="13"/>
  <c r="O450" i="13" s="1"/>
  <c r="P450" i="13" s="1"/>
  <c r="M482" i="13"/>
  <c r="O482" i="13" s="1"/>
  <c r="P482" i="13" s="1"/>
  <c r="M514" i="13"/>
  <c r="O514" i="13" s="1"/>
  <c r="P514" i="13" s="1"/>
  <c r="M546" i="13"/>
  <c r="O546" i="13" s="1"/>
  <c r="P546" i="13" s="1"/>
  <c r="M578" i="13"/>
  <c r="M610" i="13"/>
  <c r="N610" i="13" s="1"/>
  <c r="M642" i="13"/>
  <c r="O642" i="13" s="1"/>
  <c r="P642" i="13" s="1"/>
  <c r="M674" i="13"/>
  <c r="O674" i="13" s="1"/>
  <c r="P674" i="13" s="1"/>
  <c r="M706" i="13"/>
  <c r="O706" i="13" s="1"/>
  <c r="P706" i="13" s="1"/>
  <c r="M738" i="13"/>
  <c r="N738" i="13" s="1"/>
  <c r="M770" i="13"/>
  <c r="O770" i="13" s="1"/>
  <c r="P770" i="13" s="1"/>
  <c r="M802" i="13"/>
  <c r="O802" i="13" s="1"/>
  <c r="P802" i="13" s="1"/>
  <c r="M834" i="13"/>
  <c r="O834" i="13" s="1"/>
  <c r="P834" i="13" s="1"/>
  <c r="M866" i="13"/>
  <c r="O866" i="13" s="1"/>
  <c r="P866" i="13" s="1"/>
  <c r="M898" i="13"/>
  <c r="O898" i="13" s="1"/>
  <c r="P898" i="13" s="1"/>
  <c r="M930" i="13"/>
  <c r="O930" i="13" s="1"/>
  <c r="P930" i="13" s="1"/>
  <c r="M962" i="13"/>
  <c r="O962" i="13" s="1"/>
  <c r="P962" i="13" s="1"/>
  <c r="M994" i="13"/>
  <c r="O994" i="13" s="1"/>
  <c r="P994" i="13" s="1"/>
  <c r="M1026" i="13"/>
  <c r="O1026" i="13" s="1"/>
  <c r="P1026" i="13" s="1"/>
  <c r="M1058" i="13"/>
  <c r="O1058" i="13" s="1"/>
  <c r="P1058" i="13" s="1"/>
  <c r="M1090" i="13"/>
  <c r="O1090" i="13" s="1"/>
  <c r="P1090" i="13" s="1"/>
  <c r="M1122" i="13"/>
  <c r="O1122" i="13" s="1"/>
  <c r="P1122" i="13" s="1"/>
  <c r="M1154" i="13"/>
  <c r="O1154" i="13" s="1"/>
  <c r="P1154" i="13" s="1"/>
  <c r="M1186" i="13"/>
  <c r="O1186" i="13" s="1"/>
  <c r="P1186" i="13" s="1"/>
  <c r="M1218" i="13"/>
  <c r="O1218" i="13" s="1"/>
  <c r="P1218" i="13" s="1"/>
  <c r="M1250" i="13"/>
  <c r="N1250" i="13" s="1"/>
  <c r="M1282" i="13"/>
  <c r="O1282" i="13" s="1"/>
  <c r="P1282" i="13" s="1"/>
  <c r="M347" i="13"/>
  <c r="O347" i="13" s="1"/>
  <c r="P347" i="13" s="1"/>
  <c r="M379" i="13"/>
  <c r="O379" i="13" s="1"/>
  <c r="P379" i="13" s="1"/>
  <c r="M411" i="13"/>
  <c r="O411" i="13" s="1"/>
  <c r="P411" i="13" s="1"/>
  <c r="M443" i="13"/>
  <c r="N443" i="13" s="1"/>
  <c r="M475" i="13"/>
  <c r="O475" i="13" s="1"/>
  <c r="P475" i="13" s="1"/>
  <c r="M507" i="13"/>
  <c r="O507" i="13" s="1"/>
  <c r="P507" i="13" s="1"/>
  <c r="M539" i="13"/>
  <c r="O539" i="13" s="1"/>
  <c r="P539" i="13" s="1"/>
  <c r="M571" i="13"/>
  <c r="O571" i="13" s="1"/>
  <c r="P571" i="13" s="1"/>
  <c r="M603" i="13"/>
  <c r="O603" i="13" s="1"/>
  <c r="P603" i="13" s="1"/>
  <c r="M635" i="13"/>
  <c r="N635" i="13" s="1"/>
  <c r="M667" i="13"/>
  <c r="O667" i="13" s="1"/>
  <c r="P667" i="13" s="1"/>
  <c r="M699" i="13"/>
  <c r="O699" i="13" s="1"/>
  <c r="P699" i="13" s="1"/>
  <c r="M731" i="13"/>
  <c r="O731" i="13" s="1"/>
  <c r="P731" i="13" s="1"/>
  <c r="M763" i="13"/>
  <c r="O763" i="13" s="1"/>
  <c r="P763" i="13" s="1"/>
  <c r="M795" i="13"/>
  <c r="O795" i="13" s="1"/>
  <c r="P795" i="13" s="1"/>
  <c r="M827" i="13"/>
  <c r="O827" i="13" s="1"/>
  <c r="P827" i="13" s="1"/>
  <c r="M859" i="13"/>
  <c r="O859" i="13" s="1"/>
  <c r="P859" i="13" s="1"/>
  <c r="M891" i="13"/>
  <c r="O891" i="13" s="1"/>
  <c r="P891" i="13" s="1"/>
  <c r="M923" i="13"/>
  <c r="O923" i="13" s="1"/>
  <c r="P923" i="13" s="1"/>
  <c r="M955" i="13"/>
  <c r="O955" i="13" s="1"/>
  <c r="P955" i="13" s="1"/>
  <c r="M987" i="13"/>
  <c r="O987" i="13" s="1"/>
  <c r="P987" i="13" s="1"/>
  <c r="M1019" i="13"/>
  <c r="O1019" i="13" s="1"/>
  <c r="P1019" i="13" s="1"/>
  <c r="M1051" i="13"/>
  <c r="O1051" i="13" s="1"/>
  <c r="P1051" i="13" s="1"/>
  <c r="M1083" i="13"/>
  <c r="O1083" i="13" s="1"/>
  <c r="P1083" i="13" s="1"/>
  <c r="M1115" i="13"/>
  <c r="O1115" i="13" s="1"/>
  <c r="P1115" i="13" s="1"/>
  <c r="M1147" i="13"/>
  <c r="O1147" i="13" s="1"/>
  <c r="P1147" i="13" s="1"/>
  <c r="M1179" i="13"/>
  <c r="O1179" i="13" s="1"/>
  <c r="P1179" i="13" s="1"/>
  <c r="M1211" i="13"/>
  <c r="O1211" i="13" s="1"/>
  <c r="P1211" i="13" s="1"/>
  <c r="M1243" i="13"/>
  <c r="O1243" i="13" s="1"/>
  <c r="P1243" i="13" s="1"/>
  <c r="M1275" i="13"/>
  <c r="O1275" i="13" s="1"/>
  <c r="P1275" i="13" s="1"/>
  <c r="M1307" i="13"/>
  <c r="O1307" i="13" s="1"/>
  <c r="P1307" i="13" s="1"/>
  <c r="M789" i="13"/>
  <c r="O789" i="13" s="1"/>
  <c r="P789" i="13" s="1"/>
  <c r="M1109" i="13"/>
  <c r="N1109" i="13" s="1"/>
  <c r="M4" i="13"/>
  <c r="O4" i="13" s="1"/>
  <c r="P4" i="13" s="1"/>
  <c r="M36" i="13"/>
  <c r="O36" i="13" s="1"/>
  <c r="P36" i="13" s="1"/>
  <c r="M68" i="13"/>
  <c r="N68" i="13" s="1"/>
  <c r="M100" i="13"/>
  <c r="M132" i="13"/>
  <c r="O132" i="13" s="1"/>
  <c r="P132" i="13" s="1"/>
  <c r="M164" i="13"/>
  <c r="N164" i="13" s="1"/>
  <c r="M196" i="13"/>
  <c r="O196" i="13" s="1"/>
  <c r="P196" i="13" s="1"/>
  <c r="M228" i="13"/>
  <c r="O228" i="13" s="1"/>
  <c r="P228" i="13" s="1"/>
  <c r="M260" i="13"/>
  <c r="N260" i="13" s="1"/>
  <c r="M292" i="13"/>
  <c r="O292" i="13" s="1"/>
  <c r="P292" i="13" s="1"/>
  <c r="M324" i="13"/>
  <c r="O324" i="13" s="1"/>
  <c r="P324" i="13" s="1"/>
  <c r="M356" i="13"/>
  <c r="O356" i="13" s="1"/>
  <c r="P356" i="13" s="1"/>
  <c r="M388" i="13"/>
  <c r="O388" i="13" s="1"/>
  <c r="P388" i="13" s="1"/>
  <c r="M420" i="13"/>
  <c r="O420" i="13" s="1"/>
  <c r="P420" i="13" s="1"/>
  <c r="M452" i="13"/>
  <c r="N452" i="13" s="1"/>
  <c r="M484" i="13"/>
  <c r="M516" i="13"/>
  <c r="N516" i="13" s="1"/>
  <c r="M548" i="13"/>
  <c r="N548" i="13" s="1"/>
  <c r="M580" i="13"/>
  <c r="O580" i="13" s="1"/>
  <c r="P580" i="13" s="1"/>
  <c r="M612" i="13"/>
  <c r="O612" i="13" s="1"/>
  <c r="P612" i="13" s="1"/>
  <c r="M644" i="13"/>
  <c r="O644" i="13" s="1"/>
  <c r="P644" i="13" s="1"/>
  <c r="M676" i="13"/>
  <c r="O676" i="13" s="1"/>
  <c r="P676" i="13" s="1"/>
  <c r="M708" i="13"/>
  <c r="O708" i="13" s="1"/>
  <c r="P708" i="13" s="1"/>
  <c r="M740" i="13"/>
  <c r="O740" i="13" s="1"/>
  <c r="P740" i="13" s="1"/>
  <c r="M772" i="13"/>
  <c r="O772" i="13" s="1"/>
  <c r="P772" i="13" s="1"/>
  <c r="M804" i="13"/>
  <c r="O804" i="13" s="1"/>
  <c r="P804" i="13" s="1"/>
  <c r="M836" i="13"/>
  <c r="O836" i="13" s="1"/>
  <c r="P836" i="13" s="1"/>
  <c r="M868" i="13"/>
  <c r="O868" i="13" s="1"/>
  <c r="P868" i="13" s="1"/>
  <c r="M900" i="13"/>
  <c r="O900" i="13" s="1"/>
  <c r="P900" i="13" s="1"/>
  <c r="M932" i="13"/>
  <c r="O932" i="13" s="1"/>
  <c r="P932" i="13" s="1"/>
  <c r="M964" i="13"/>
  <c r="O964" i="13" s="1"/>
  <c r="P964" i="13" s="1"/>
  <c r="M996" i="13"/>
  <c r="O996" i="13" s="1"/>
  <c r="P996" i="13" s="1"/>
  <c r="M1028" i="13"/>
  <c r="O1028" i="13" s="1"/>
  <c r="P1028" i="13" s="1"/>
  <c r="M1060" i="13"/>
  <c r="O1060" i="13" s="1"/>
  <c r="P1060" i="13" s="1"/>
  <c r="M1092" i="13"/>
  <c r="O1092" i="13" s="1"/>
  <c r="P1092" i="13" s="1"/>
  <c r="M1124" i="13"/>
  <c r="O1124" i="13" s="1"/>
  <c r="P1124" i="13" s="1"/>
  <c r="M1156" i="13"/>
  <c r="N1156" i="13" s="1"/>
  <c r="M1188" i="13"/>
  <c r="O1188" i="13" s="1"/>
  <c r="P1188" i="13" s="1"/>
  <c r="M1220" i="13"/>
  <c r="O1220" i="13" s="1"/>
  <c r="P1220" i="13" s="1"/>
  <c r="M1252" i="13"/>
  <c r="O1252" i="13" s="1"/>
  <c r="P1252" i="13" s="1"/>
  <c r="M1284" i="13"/>
  <c r="O1284" i="13" s="1"/>
  <c r="P1284" i="13" s="1"/>
  <c r="M309" i="13"/>
  <c r="O309" i="13" s="1"/>
  <c r="P309" i="13" s="1"/>
  <c r="M341" i="13"/>
  <c r="O341" i="13" s="1"/>
  <c r="P341" i="13" s="1"/>
  <c r="M373" i="13"/>
  <c r="O373" i="13" s="1"/>
  <c r="P373" i="13" s="1"/>
  <c r="M413" i="13"/>
  <c r="O413" i="13" s="1"/>
  <c r="P413" i="13" s="1"/>
  <c r="M485" i="13"/>
  <c r="O485" i="13" s="1"/>
  <c r="P485" i="13" s="1"/>
  <c r="M517" i="13"/>
  <c r="O517" i="13" s="1"/>
  <c r="P517" i="13" s="1"/>
  <c r="M589" i="13"/>
  <c r="M765" i="13"/>
  <c r="O765" i="13" s="1"/>
  <c r="P765" i="13" s="1"/>
  <c r="M981" i="13"/>
  <c r="O981" i="13" s="1"/>
  <c r="P981" i="13" s="1"/>
  <c r="M1197" i="13"/>
  <c r="O1197" i="13" s="1"/>
  <c r="P1197" i="13" s="1"/>
  <c r="M206" i="13"/>
  <c r="O206" i="13" s="1"/>
  <c r="P206" i="13" s="1"/>
  <c r="M350" i="13"/>
  <c r="O350" i="13" s="1"/>
  <c r="P350" i="13" s="1"/>
  <c r="M446" i="13"/>
  <c r="O446" i="13" s="1"/>
  <c r="P446" i="13" s="1"/>
  <c r="M766" i="13"/>
  <c r="O766" i="13" s="1"/>
  <c r="P766" i="13" s="1"/>
  <c r="M1102" i="13"/>
  <c r="O1102" i="13" s="1"/>
  <c r="P1102" i="13" s="1"/>
  <c r="M1286" i="13"/>
  <c r="O1286" i="13" s="1"/>
  <c r="P1286" i="13" s="1"/>
  <c r="M670" i="13"/>
  <c r="O670" i="13" s="1"/>
  <c r="P670" i="13" s="1"/>
  <c r="M790" i="13"/>
  <c r="O790" i="13" s="1"/>
  <c r="P790" i="13" s="1"/>
  <c r="M926" i="13"/>
  <c r="O926" i="13" s="1"/>
  <c r="P926" i="13" s="1"/>
  <c r="M1262" i="13"/>
  <c r="O1262" i="13" s="1"/>
  <c r="P1262" i="13" s="1"/>
  <c r="M65" i="13"/>
  <c r="O65" i="13" s="1"/>
  <c r="P65" i="13" s="1"/>
  <c r="M513" i="13"/>
  <c r="O513" i="13" s="1"/>
  <c r="P513" i="13" s="1"/>
  <c r="O51" i="13"/>
  <c r="P51" i="13" s="1"/>
  <c r="O275" i="13"/>
  <c r="P275" i="13" s="1"/>
  <c r="M384" i="13"/>
  <c r="N384" i="13" s="1"/>
  <c r="M544" i="13"/>
  <c r="O544" i="13" s="1"/>
  <c r="P544" i="13" s="1"/>
  <c r="M776" i="13"/>
  <c r="O776" i="13" s="1"/>
  <c r="P776" i="13" s="1"/>
  <c r="M1000" i="13"/>
  <c r="O1000" i="13" s="1"/>
  <c r="P1000" i="13" s="1"/>
  <c r="M1261" i="13"/>
  <c r="N1261" i="13" s="1"/>
  <c r="M426" i="13"/>
  <c r="O426" i="13" s="1"/>
  <c r="P426" i="13" s="1"/>
  <c r="M586" i="13"/>
  <c r="N586" i="13" s="1"/>
  <c r="M714" i="13"/>
  <c r="O714" i="13" s="1"/>
  <c r="P714" i="13" s="1"/>
  <c r="M906" i="13"/>
  <c r="M1002" i="13"/>
  <c r="O1002" i="13" s="1"/>
  <c r="P1002" i="13" s="1"/>
  <c r="M1130" i="13"/>
  <c r="O1130" i="13" s="1"/>
  <c r="P1130" i="13" s="1"/>
  <c r="M1290" i="13"/>
  <c r="O1290" i="13" s="1"/>
  <c r="P1290" i="13" s="1"/>
  <c r="M387" i="13"/>
  <c r="O387" i="13" s="1"/>
  <c r="P387" i="13" s="1"/>
  <c r="M515" i="13"/>
  <c r="O515" i="13" s="1"/>
  <c r="P515" i="13" s="1"/>
  <c r="M611" i="13"/>
  <c r="O611" i="13" s="1"/>
  <c r="P611" i="13" s="1"/>
  <c r="M707" i="13"/>
  <c r="O707" i="13" s="1"/>
  <c r="P707" i="13" s="1"/>
  <c r="M803" i="13"/>
  <c r="O803" i="13" s="1"/>
  <c r="P803" i="13" s="1"/>
  <c r="M867" i="13"/>
  <c r="O867" i="13" s="1"/>
  <c r="P867" i="13" s="1"/>
  <c r="M995" i="13"/>
  <c r="O995" i="13" s="1"/>
  <c r="P995" i="13" s="1"/>
  <c r="N93" i="13"/>
  <c r="O93" i="13" s="1"/>
  <c r="P93" i="13" s="1"/>
  <c r="N221" i="13"/>
  <c r="O311" i="13"/>
  <c r="P311" i="13" s="1"/>
  <c r="O88" i="13"/>
  <c r="P88" i="13" s="1"/>
  <c r="M201" i="13"/>
  <c r="N201" i="13" s="1"/>
  <c r="M649" i="13"/>
  <c r="N649" i="13" s="1"/>
  <c r="N106" i="13"/>
  <c r="N234" i="13"/>
  <c r="N19" i="13"/>
  <c r="N147" i="13"/>
  <c r="O147" i="13" s="1"/>
  <c r="P147" i="13" s="1"/>
  <c r="M431" i="13"/>
  <c r="O431" i="13" s="1"/>
  <c r="P431" i="13" s="1"/>
  <c r="M591" i="13"/>
  <c r="O591" i="13" s="1"/>
  <c r="P591" i="13" s="1"/>
  <c r="M719" i="13"/>
  <c r="O719" i="13" s="1"/>
  <c r="P719" i="13" s="1"/>
  <c r="M879" i="13"/>
  <c r="O879" i="13" s="1"/>
  <c r="P879" i="13" s="1"/>
  <c r="M1103" i="13"/>
  <c r="M1263" i="13"/>
  <c r="O1263" i="13" s="1"/>
  <c r="P1263" i="13" s="1"/>
  <c r="M552" i="13"/>
  <c r="O552" i="13" s="1"/>
  <c r="P552" i="13" s="1"/>
  <c r="M1080" i="13"/>
  <c r="O1080" i="13" s="1"/>
  <c r="P1080" i="13" s="1"/>
  <c r="M905" i="13"/>
  <c r="O905" i="13" s="1"/>
  <c r="P905" i="13" s="1"/>
  <c r="M1065" i="13"/>
  <c r="O1065" i="13" s="1"/>
  <c r="P1065" i="13" s="1"/>
  <c r="M1193" i="13"/>
  <c r="O1193" i="13" s="1"/>
  <c r="P1193" i="13" s="1"/>
  <c r="M621" i="13"/>
  <c r="O621" i="13" s="1"/>
  <c r="P621" i="13" s="1"/>
  <c r="M909" i="13"/>
  <c r="O909" i="13" s="1"/>
  <c r="P909" i="13" s="1"/>
  <c r="M646" i="13"/>
  <c r="O646" i="13" s="1"/>
  <c r="P646" i="13" s="1"/>
  <c r="M942" i="13"/>
  <c r="O45" i="13"/>
  <c r="P45" i="13" s="1"/>
  <c r="N6" i="13"/>
  <c r="N38" i="13"/>
  <c r="O207" i="13"/>
  <c r="P207" i="13" s="1"/>
  <c r="O152" i="13"/>
  <c r="P152" i="13" s="1"/>
  <c r="M57" i="13"/>
  <c r="O57" i="13" s="1"/>
  <c r="P57" i="13" s="1"/>
  <c r="M121" i="13"/>
  <c r="O121" i="13" s="1"/>
  <c r="P121" i="13" s="1"/>
  <c r="M185" i="13"/>
  <c r="O185" i="13" s="1"/>
  <c r="P185" i="13" s="1"/>
  <c r="M249" i="13"/>
  <c r="O249" i="13" s="1"/>
  <c r="P249" i="13" s="1"/>
  <c r="M313" i="13"/>
  <c r="O313" i="13" s="1"/>
  <c r="P313" i="13" s="1"/>
  <c r="M377" i="13"/>
  <c r="O377" i="13" s="1"/>
  <c r="P377" i="13" s="1"/>
  <c r="M441" i="13"/>
  <c r="O441" i="13" s="1"/>
  <c r="P441" i="13" s="1"/>
  <c r="M505" i="13"/>
  <c r="M569" i="13"/>
  <c r="O569" i="13" s="1"/>
  <c r="P569" i="13" s="1"/>
  <c r="M633" i="13"/>
  <c r="O633" i="13" s="1"/>
  <c r="P633" i="13" s="1"/>
  <c r="M697" i="13"/>
  <c r="O697" i="13" s="1"/>
  <c r="P697" i="13" s="1"/>
  <c r="M40" i="13"/>
  <c r="O40" i="13" s="1"/>
  <c r="P40" i="13" s="1"/>
  <c r="M359" i="13"/>
  <c r="O359" i="13" s="1"/>
  <c r="P359" i="13" s="1"/>
  <c r="M391" i="13"/>
  <c r="O391" i="13" s="1"/>
  <c r="P391" i="13" s="1"/>
  <c r="M423" i="13"/>
  <c r="O423" i="13" s="1"/>
  <c r="P423" i="13" s="1"/>
  <c r="M455" i="13"/>
  <c r="N455" i="13" s="1"/>
  <c r="M487" i="13"/>
  <c r="N487" i="13" s="1"/>
  <c r="M519" i="13"/>
  <c r="O519" i="13" s="1"/>
  <c r="P519" i="13" s="1"/>
  <c r="M551" i="13"/>
  <c r="O551" i="13" s="1"/>
  <c r="P551" i="13" s="1"/>
  <c r="M583" i="13"/>
  <c r="N583" i="13" s="1"/>
  <c r="M615" i="13"/>
  <c r="N615" i="13" s="1"/>
  <c r="M647" i="13"/>
  <c r="O647" i="13" s="1"/>
  <c r="P647" i="13" s="1"/>
  <c r="M679" i="13"/>
  <c r="O679" i="13" s="1"/>
  <c r="P679" i="13" s="1"/>
  <c r="M711" i="13"/>
  <c r="O711" i="13" s="1"/>
  <c r="P711" i="13" s="1"/>
  <c r="M743" i="13"/>
  <c r="O743" i="13" s="1"/>
  <c r="P743" i="13" s="1"/>
  <c r="M775" i="13"/>
  <c r="O775" i="13" s="1"/>
  <c r="P775" i="13" s="1"/>
  <c r="M807" i="13"/>
  <c r="O807" i="13" s="1"/>
  <c r="P807" i="13" s="1"/>
  <c r="M839" i="13"/>
  <c r="O839" i="13" s="1"/>
  <c r="P839" i="13" s="1"/>
  <c r="M871" i="13"/>
  <c r="O871" i="13" s="1"/>
  <c r="P871" i="13" s="1"/>
  <c r="M903" i="13"/>
  <c r="O903" i="13" s="1"/>
  <c r="P903" i="13" s="1"/>
  <c r="M935" i="13"/>
  <c r="O935" i="13" s="1"/>
  <c r="P935" i="13" s="1"/>
  <c r="M967" i="13"/>
  <c r="O967" i="13" s="1"/>
  <c r="P967" i="13" s="1"/>
  <c r="M999" i="13"/>
  <c r="O999" i="13" s="1"/>
  <c r="P999" i="13" s="1"/>
  <c r="M1031" i="13"/>
  <c r="O1031" i="13" s="1"/>
  <c r="P1031" i="13" s="1"/>
  <c r="M1063" i="13"/>
  <c r="O1063" i="13" s="1"/>
  <c r="P1063" i="13" s="1"/>
  <c r="M1095" i="13"/>
  <c r="O1095" i="13" s="1"/>
  <c r="P1095" i="13" s="1"/>
  <c r="M1127" i="13"/>
  <c r="O1127" i="13" s="1"/>
  <c r="P1127" i="13" s="1"/>
  <c r="M1159" i="13"/>
  <c r="O1159" i="13" s="1"/>
  <c r="P1159" i="13" s="1"/>
  <c r="M1191" i="13"/>
  <c r="N1191" i="13" s="1"/>
  <c r="M1223" i="13"/>
  <c r="O1223" i="13" s="1"/>
  <c r="P1223" i="13" s="1"/>
  <c r="M1255" i="13"/>
  <c r="O1255" i="13" s="1"/>
  <c r="P1255" i="13" s="1"/>
  <c r="M1287" i="13"/>
  <c r="O1287" i="13" s="1"/>
  <c r="P1287" i="13" s="1"/>
  <c r="O232" i="13"/>
  <c r="P232" i="13" s="1"/>
  <c r="M872" i="13"/>
  <c r="O872" i="13" s="1"/>
  <c r="P872" i="13" s="1"/>
  <c r="M936" i="13"/>
  <c r="O936" i="13" s="1"/>
  <c r="P936" i="13" s="1"/>
  <c r="M1072" i="13"/>
  <c r="O1072" i="13" s="1"/>
  <c r="P1072" i="13" s="1"/>
  <c r="M1144" i="13"/>
  <c r="O1144" i="13" s="1"/>
  <c r="P1144" i="13" s="1"/>
  <c r="M1216" i="13"/>
  <c r="O1216" i="13" s="1"/>
  <c r="P1216" i="13" s="1"/>
  <c r="M1256" i="13"/>
  <c r="O1256" i="13" s="1"/>
  <c r="P1256" i="13" s="1"/>
  <c r="M1288" i="13"/>
  <c r="O1288" i="13" s="1"/>
  <c r="P1288" i="13" s="1"/>
  <c r="M769" i="13"/>
  <c r="O769" i="13" s="1"/>
  <c r="P769" i="13" s="1"/>
  <c r="M801" i="13"/>
  <c r="O801" i="13" s="1"/>
  <c r="P801" i="13" s="1"/>
  <c r="M833" i="13"/>
  <c r="O833" i="13" s="1"/>
  <c r="P833" i="13" s="1"/>
  <c r="M865" i="13"/>
  <c r="O865" i="13" s="1"/>
  <c r="P865" i="13" s="1"/>
  <c r="M897" i="13"/>
  <c r="O897" i="13" s="1"/>
  <c r="P897" i="13" s="1"/>
  <c r="M929" i="13"/>
  <c r="O929" i="13" s="1"/>
  <c r="P929" i="13" s="1"/>
  <c r="M961" i="13"/>
  <c r="O961" i="13" s="1"/>
  <c r="P961" i="13" s="1"/>
  <c r="M993" i="13"/>
  <c r="O993" i="13" s="1"/>
  <c r="P993" i="13" s="1"/>
  <c r="M1025" i="13"/>
  <c r="O1025" i="13" s="1"/>
  <c r="P1025" i="13" s="1"/>
  <c r="M1057" i="13"/>
  <c r="O1057" i="13" s="1"/>
  <c r="P1057" i="13" s="1"/>
  <c r="M1089" i="13"/>
  <c r="O1089" i="13" s="1"/>
  <c r="P1089" i="13" s="1"/>
  <c r="M1121" i="13"/>
  <c r="O1121" i="13" s="1"/>
  <c r="P1121" i="13" s="1"/>
  <c r="M1153" i="13"/>
  <c r="O1153" i="13" s="1"/>
  <c r="P1153" i="13" s="1"/>
  <c r="M1185" i="13"/>
  <c r="O1185" i="13" s="1"/>
  <c r="P1185" i="13" s="1"/>
  <c r="M1217" i="13"/>
  <c r="O1217" i="13" s="1"/>
  <c r="P1217" i="13" s="1"/>
  <c r="M1249" i="13"/>
  <c r="O1249" i="13" s="1"/>
  <c r="P1249" i="13" s="1"/>
  <c r="M1281" i="13"/>
  <c r="O1281" i="13" s="1"/>
  <c r="P1281" i="13" s="1"/>
  <c r="M389" i="13"/>
  <c r="O389" i="13" s="1"/>
  <c r="P389" i="13" s="1"/>
  <c r="M597" i="13"/>
  <c r="O597" i="13" s="1"/>
  <c r="P597" i="13" s="1"/>
  <c r="M757" i="13"/>
  <c r="O757" i="13" s="1"/>
  <c r="P757" i="13" s="1"/>
  <c r="M973" i="13"/>
  <c r="O973" i="13" s="1"/>
  <c r="P973" i="13" s="1"/>
  <c r="M1165" i="13"/>
  <c r="O1165" i="13" s="1"/>
  <c r="P1165" i="13" s="1"/>
  <c r="M645" i="13"/>
  <c r="O645" i="13" s="1"/>
  <c r="P645" i="13" s="1"/>
  <c r="M829" i="13"/>
  <c r="O829" i="13" s="1"/>
  <c r="P829" i="13" s="1"/>
  <c r="M1045" i="13"/>
  <c r="O1045" i="13" s="1"/>
  <c r="P1045" i="13" s="1"/>
  <c r="M1269" i="13"/>
  <c r="O1269" i="13" s="1"/>
  <c r="P1269" i="13" s="1"/>
  <c r="M1027" i="13"/>
  <c r="O1027" i="13" s="1"/>
  <c r="P1027" i="13" s="1"/>
  <c r="M605" i="13"/>
  <c r="O605" i="13" s="1"/>
  <c r="P605" i="13" s="1"/>
  <c r="M845" i="13"/>
  <c r="O845" i="13" s="1"/>
  <c r="P845" i="13" s="1"/>
  <c r="M1061" i="13"/>
  <c r="O1061" i="13" s="1"/>
  <c r="P1061" i="13" s="1"/>
  <c r="M1293" i="13"/>
  <c r="N1293" i="13" s="1"/>
  <c r="M142" i="13"/>
  <c r="M502" i="13"/>
  <c r="O502" i="13" s="1"/>
  <c r="P502" i="13" s="1"/>
  <c r="M622" i="13"/>
  <c r="O622" i="13" s="1"/>
  <c r="P622" i="13" s="1"/>
  <c r="M758" i="13"/>
  <c r="O758" i="13" s="1"/>
  <c r="P758" i="13" s="1"/>
  <c r="M886" i="13"/>
  <c r="O886" i="13" s="1"/>
  <c r="P886" i="13" s="1"/>
  <c r="M1134" i="13"/>
  <c r="N1134" i="13" s="1"/>
  <c r="M1238" i="13"/>
  <c r="O1238" i="13" s="1"/>
  <c r="P1238" i="13" s="1"/>
  <c r="M174" i="13"/>
  <c r="O174" i="13" s="1"/>
  <c r="P174" i="13" s="1"/>
  <c r="M302" i="13"/>
  <c r="O302" i="13" s="1"/>
  <c r="P302" i="13" s="1"/>
  <c r="M438" i="13"/>
  <c r="O438" i="13" s="1"/>
  <c r="P438" i="13" s="1"/>
  <c r="M582" i="13"/>
  <c r="O582" i="13" s="1"/>
  <c r="P582" i="13" s="1"/>
  <c r="O870" i="13"/>
  <c r="P870" i="13" s="1"/>
  <c r="M150" i="13"/>
  <c r="O150" i="13" s="1"/>
  <c r="P150" i="13" s="1"/>
  <c r="M454" i="13"/>
  <c r="O454" i="13" s="1"/>
  <c r="P454" i="13" s="1"/>
  <c r="M710" i="13"/>
  <c r="O710" i="13" s="1"/>
  <c r="P710" i="13" s="1"/>
  <c r="M894" i="13"/>
  <c r="O894" i="13" s="1"/>
  <c r="P894" i="13" s="1"/>
  <c r="M1022" i="13"/>
  <c r="O1022" i="13" s="1"/>
  <c r="P1022" i="13" s="1"/>
  <c r="O1126" i="13"/>
  <c r="P1126" i="13" s="1"/>
  <c r="M190" i="13"/>
  <c r="O190" i="13" s="1"/>
  <c r="P190" i="13" s="1"/>
  <c r="M286" i="13"/>
  <c r="O286" i="13" s="1"/>
  <c r="P286" i="13" s="1"/>
  <c r="M478" i="13"/>
  <c r="N478" i="13" s="1"/>
  <c r="M638" i="13"/>
  <c r="O638" i="13" s="1"/>
  <c r="P638" i="13" s="1"/>
  <c r="M878" i="13"/>
  <c r="O878" i="13" s="1"/>
  <c r="P878" i="13" s="1"/>
  <c r="M1038" i="13"/>
  <c r="O1038" i="13" s="1"/>
  <c r="P1038" i="13" s="1"/>
  <c r="M1142" i="13"/>
  <c r="O1142" i="13" s="1"/>
  <c r="P1142" i="13" s="1"/>
  <c r="M142" i="8"/>
  <c r="M133" i="8"/>
  <c r="M115" i="8"/>
  <c r="M148" i="8"/>
  <c r="M141" i="8"/>
  <c r="M126" i="8"/>
  <c r="M114" i="8"/>
  <c r="M150" i="8"/>
  <c r="M140" i="8"/>
  <c r="M136" i="8"/>
  <c r="M125" i="8"/>
  <c r="M118" i="8"/>
  <c r="M98" i="8"/>
  <c r="M149" i="8"/>
  <c r="M143" i="8"/>
  <c r="M139" i="8"/>
  <c r="M134" i="8"/>
  <c r="M124" i="8"/>
  <c r="M117" i="8"/>
  <c r="M146" i="8"/>
  <c r="B23" i="8"/>
  <c r="B21" i="8"/>
  <c r="H82" i="12" a="1"/>
  <c r="H82" i="12" s="1"/>
  <c r="D90" i="12"/>
  <c r="D89" i="12"/>
  <c r="D88" i="12"/>
  <c r="D87" i="12"/>
  <c r="D86" i="12"/>
  <c r="D85" i="12"/>
  <c r="D61" i="12"/>
  <c r="D75" i="12"/>
  <c r="H193" i="12" a="1"/>
  <c r="H193" i="12" s="1"/>
  <c r="D201" i="12"/>
  <c r="D202" i="12" a="1"/>
  <c r="D202" i="12" s="1"/>
  <c r="D200" i="12"/>
  <c r="D199" i="12"/>
  <c r="D198" i="12"/>
  <c r="D197" i="12"/>
  <c r="D196" i="12"/>
  <c r="D159" i="12"/>
  <c r="D158" i="12"/>
  <c r="D157" i="12"/>
  <c r="D76" i="12"/>
  <c r="D63" i="12"/>
  <c r="D62" i="12"/>
  <c r="H55" i="12" a="1"/>
  <c r="H55" i="12" s="1"/>
  <c r="H68" i="12" a="1"/>
  <c r="H68" i="12" s="1"/>
  <c r="D77" i="12"/>
  <c r="D74" i="12"/>
  <c r="D73" i="12"/>
  <c r="D72" i="12"/>
  <c r="D71" i="12"/>
  <c r="D60" i="12"/>
  <c r="D59" i="12"/>
  <c r="D58" i="12"/>
  <c r="B68" i="8"/>
  <c r="A166" i="8"/>
  <c r="A167" i="8"/>
  <c r="A165" i="8"/>
  <c r="A159" i="8"/>
  <c r="A158" i="8"/>
  <c r="A157" i="8"/>
  <c r="A156" i="8"/>
  <c r="A155" i="8"/>
  <c r="B157" i="12"/>
  <c r="C22" i="8"/>
  <c r="B76" i="12"/>
  <c r="C23" i="8"/>
  <c r="B158" i="12"/>
  <c r="C21" i="8"/>
  <c r="B89" i="12"/>
  <c r="B201" i="12"/>
  <c r="A22" i="8"/>
  <c r="B61" i="12"/>
  <c r="B75" i="12"/>
  <c r="A21" i="8"/>
  <c r="B200" i="12"/>
  <c r="C20" i="8"/>
  <c r="N597" i="13" l="1"/>
  <c r="N262" i="13"/>
  <c r="N118" i="13"/>
  <c r="N1192" i="13"/>
  <c r="N1276" i="13"/>
  <c r="N1124" i="13"/>
  <c r="N683" i="13"/>
  <c r="N1013" i="13"/>
  <c r="N254" i="13"/>
  <c r="N967" i="13"/>
  <c r="N947" i="13"/>
  <c r="N1007" i="13"/>
  <c r="N1179" i="13"/>
  <c r="N161" i="13"/>
  <c r="N938" i="13"/>
  <c r="N522" i="13"/>
  <c r="N809" i="13"/>
  <c r="N677" i="13"/>
  <c r="O230" i="13"/>
  <c r="P230" i="13" s="1"/>
  <c r="N598" i="13"/>
  <c r="N736" i="13"/>
  <c r="N920" i="13"/>
  <c r="N1137" i="13"/>
  <c r="N876" i="13"/>
  <c r="N517" i="13"/>
  <c r="N489" i="13"/>
  <c r="N426" i="13"/>
  <c r="N711" i="13"/>
  <c r="N435" i="13"/>
  <c r="N686" i="13"/>
  <c r="N1066" i="13"/>
  <c r="N1202" i="13"/>
  <c r="N664" i="13"/>
  <c r="N406" i="13"/>
  <c r="N695" i="13"/>
  <c r="N943" i="13"/>
  <c r="N955" i="13"/>
  <c r="N632" i="13"/>
  <c r="N541" i="13"/>
  <c r="N148" i="13"/>
  <c r="N944" i="13"/>
  <c r="N97" i="13"/>
  <c r="N1163" i="13"/>
  <c r="N722" i="13"/>
  <c r="N465" i="13"/>
  <c r="N354" i="13"/>
  <c r="N538" i="13"/>
  <c r="N1004" i="13"/>
  <c r="N513" i="13"/>
  <c r="N829" i="13"/>
  <c r="N337" i="13"/>
  <c r="N886" i="13"/>
  <c r="N872" i="13"/>
  <c r="N999" i="13"/>
  <c r="N420" i="13"/>
  <c r="N864" i="13"/>
  <c r="N1237" i="13"/>
  <c r="N1208" i="13"/>
  <c r="N1087" i="13"/>
  <c r="N767" i="13"/>
  <c r="N913" i="13"/>
  <c r="N108" i="13"/>
  <c r="N930" i="13"/>
  <c r="N573" i="13"/>
  <c r="N969" i="13"/>
  <c r="N758" i="13"/>
  <c r="N1130" i="13"/>
  <c r="N800" i="13"/>
  <c r="N565" i="13"/>
  <c r="N792" i="13"/>
  <c r="N449" i="13"/>
  <c r="N1236" i="13"/>
  <c r="N1291" i="13"/>
  <c r="N946" i="13"/>
  <c r="N805" i="13"/>
  <c r="N1086" i="13"/>
  <c r="N916" i="13"/>
  <c r="N907" i="13"/>
  <c r="N784" i="13"/>
  <c r="N798" i="13"/>
  <c r="N869" i="13"/>
  <c r="N1057" i="13"/>
  <c r="N539" i="13"/>
  <c r="N924" i="13"/>
  <c r="N794" i="13"/>
  <c r="N525" i="13"/>
  <c r="N498" i="13"/>
  <c r="N1166" i="13"/>
  <c r="N807" i="13"/>
  <c r="N863" i="13"/>
  <c r="N847" i="13"/>
  <c r="N656" i="13"/>
  <c r="N1200" i="13"/>
  <c r="N352" i="13"/>
  <c r="N1108" i="13"/>
  <c r="N1101" i="13"/>
  <c r="N1118" i="13"/>
  <c r="N174" i="13"/>
  <c r="N836" i="13"/>
  <c r="N896" i="13"/>
  <c r="N1119" i="13"/>
  <c r="N1050" i="13"/>
  <c r="N473" i="13"/>
  <c r="N654" i="13"/>
  <c r="N1076" i="13"/>
  <c r="N427" i="13"/>
  <c r="N995" i="13"/>
  <c r="N418" i="13"/>
  <c r="N1024" i="13"/>
  <c r="N536" i="13"/>
  <c r="N680" i="13"/>
  <c r="N753" i="13"/>
  <c r="N1081" i="13"/>
  <c r="N1264" i="13"/>
  <c r="N577" i="13"/>
  <c r="N630" i="13"/>
  <c r="N941" i="13"/>
  <c r="N78" i="13"/>
  <c r="N643" i="13"/>
  <c r="N490" i="13"/>
  <c r="N1195" i="13"/>
  <c r="N363" i="13"/>
  <c r="N976" i="13"/>
  <c r="N623" i="13"/>
  <c r="N389" i="13"/>
  <c r="N121" i="13"/>
  <c r="N1002" i="13"/>
  <c r="N177" i="13"/>
  <c r="N1018" i="13"/>
  <c r="N762" i="13"/>
  <c r="N506" i="13"/>
  <c r="N888" i="13"/>
  <c r="N624" i="13"/>
  <c r="N685" i="13"/>
  <c r="N945" i="13"/>
  <c r="N1079" i="13"/>
  <c r="N1001" i="13"/>
  <c r="N559" i="13"/>
  <c r="N651" i="13"/>
  <c r="N690" i="13"/>
  <c r="N688" i="13"/>
  <c r="N70" i="13"/>
  <c r="N748" i="13"/>
  <c r="N871" i="13"/>
  <c r="N697" i="13"/>
  <c r="N867" i="13"/>
  <c r="N674" i="13"/>
  <c r="N992" i="13"/>
  <c r="N504" i="13"/>
  <c r="N689" i="13"/>
  <c r="N511" i="13"/>
  <c r="N361" i="13"/>
  <c r="N1295" i="13"/>
  <c r="N129" i="13"/>
  <c r="N1148" i="13"/>
  <c r="N540" i="13"/>
  <c r="N725" i="13"/>
  <c r="N1201" i="13"/>
  <c r="N1088" i="13"/>
  <c r="N483" i="13"/>
  <c r="N325" i="13"/>
  <c r="N404" i="13"/>
  <c r="N1229" i="13"/>
  <c r="N638" i="13"/>
  <c r="N1095" i="13"/>
  <c r="N839" i="13"/>
  <c r="N350" i="13"/>
  <c r="N642" i="13"/>
  <c r="N472" i="13"/>
  <c r="N625" i="13"/>
  <c r="N405" i="13"/>
  <c r="N796" i="13"/>
  <c r="N1169" i="13"/>
  <c r="N375" i="13"/>
  <c r="N1131" i="13"/>
  <c r="N875" i="13"/>
  <c r="N622" i="13"/>
  <c r="N569" i="13"/>
  <c r="N676" i="13"/>
  <c r="N795" i="13"/>
  <c r="N1154" i="13"/>
  <c r="N898" i="13"/>
  <c r="N495" i="13"/>
  <c r="N641" i="13"/>
  <c r="N953" i="13"/>
  <c r="N735" i="13"/>
  <c r="N1203" i="13"/>
  <c r="N1178" i="13"/>
  <c r="N922" i="13"/>
  <c r="N666" i="13"/>
  <c r="N1240" i="13"/>
  <c r="N694" i="13"/>
  <c r="N601" i="13"/>
  <c r="N89" i="13"/>
  <c r="N1224" i="13"/>
  <c r="N877" i="13"/>
  <c r="N660" i="13"/>
  <c r="N520" i="13"/>
  <c r="N721" i="13"/>
  <c r="N209" i="13"/>
  <c r="N1196" i="13"/>
  <c r="N190" i="13"/>
  <c r="N833" i="13"/>
  <c r="N515" i="13"/>
  <c r="N932" i="13"/>
  <c r="N324" i="13"/>
  <c r="N1122" i="13"/>
  <c r="N866" i="13"/>
  <c r="N408" i="13"/>
  <c r="N813" i="13"/>
  <c r="N412" i="13"/>
  <c r="N1146" i="13"/>
  <c r="N890" i="13"/>
  <c r="N634" i="13"/>
  <c r="N378" i="13"/>
  <c r="N1056" i="13"/>
  <c r="N737" i="13"/>
  <c r="N326" i="13"/>
  <c r="N919" i="13"/>
  <c r="N537" i="13"/>
  <c r="N25" i="13"/>
  <c r="N1067" i="13"/>
  <c r="N456" i="13"/>
  <c r="N145" i="13"/>
  <c r="N1174" i="13"/>
  <c r="N637" i="13"/>
  <c r="N1164" i="13"/>
  <c r="N1089" i="13"/>
  <c r="N801" i="13"/>
  <c r="N790" i="13"/>
  <c r="N580" i="13"/>
  <c r="N699" i="13"/>
  <c r="N547" i="13"/>
  <c r="N668" i="13"/>
  <c r="N529" i="13"/>
  <c r="N845" i="13"/>
  <c r="N1223" i="13"/>
  <c r="N591" i="13"/>
  <c r="N1058" i="13"/>
  <c r="N110" i="13"/>
  <c r="N581" i="13"/>
  <c r="N825" i="13"/>
  <c r="N1075" i="13"/>
  <c r="N400" i="13"/>
  <c r="N238" i="13"/>
  <c r="N893" i="13"/>
  <c r="N398" i="13"/>
  <c r="N469" i="13"/>
  <c r="N466" i="13"/>
  <c r="N328" i="13"/>
  <c r="N1100" i="13"/>
  <c r="N1045" i="13"/>
  <c r="N1102" i="13"/>
  <c r="N1252" i="13"/>
  <c r="N1152" i="13"/>
  <c r="N989" i="13"/>
  <c r="N1151" i="13"/>
  <c r="N447" i="13"/>
  <c r="N925" i="13"/>
  <c r="N1084" i="13"/>
  <c r="N1189" i="13"/>
  <c r="N1150" i="13"/>
  <c r="N1228" i="13"/>
  <c r="N57" i="13"/>
  <c r="N1065" i="13"/>
  <c r="N431" i="13"/>
  <c r="N65" i="13"/>
  <c r="N964" i="13"/>
  <c r="N708" i="13"/>
  <c r="N196" i="13"/>
  <c r="N827" i="13"/>
  <c r="N571" i="13"/>
  <c r="N1282" i="13"/>
  <c r="N386" i="13"/>
  <c r="N1176" i="13"/>
  <c r="N113" i="13"/>
  <c r="N334" i="13"/>
  <c r="N451" i="13"/>
  <c r="N257" i="13"/>
  <c r="N425" i="13"/>
  <c r="N458" i="13"/>
  <c r="N156" i="13"/>
  <c r="N691" i="13"/>
  <c r="N346" i="13"/>
  <c r="N673" i="13"/>
  <c r="N225" i="13"/>
  <c r="N881" i="13"/>
  <c r="N1160" i="13"/>
  <c r="N631" i="13"/>
  <c r="N407" i="13"/>
  <c r="N342" i="13"/>
  <c r="N357" i="13"/>
  <c r="N619" i="13"/>
  <c r="N658" i="13"/>
  <c r="N657" i="13"/>
  <c r="N815" i="13"/>
  <c r="N705" i="13"/>
  <c r="N494" i="13"/>
  <c r="N1091" i="13"/>
  <c r="N441" i="13"/>
  <c r="N1262" i="13"/>
  <c r="N485" i="13"/>
  <c r="N789" i="13"/>
  <c r="N1083" i="13"/>
  <c r="N1026" i="13"/>
  <c r="N802" i="13"/>
  <c r="N600" i="13"/>
  <c r="N585" i="13"/>
  <c r="N846" i="13"/>
  <c r="N1209" i="13"/>
  <c r="N607" i="13"/>
  <c r="N718" i="13"/>
  <c r="N717" i="13"/>
  <c r="N1244" i="13"/>
  <c r="N1052" i="13"/>
  <c r="N528" i="13"/>
  <c r="N1309" i="13"/>
  <c r="N974" i="13"/>
  <c r="N1198" i="13"/>
  <c r="N1297" i="13"/>
  <c r="N1073" i="13"/>
  <c r="N1111" i="13"/>
  <c r="N729" i="13"/>
  <c r="N281" i="13"/>
  <c r="N321" i="13"/>
  <c r="N884" i="13"/>
  <c r="N628" i="13"/>
  <c r="N116" i="13"/>
  <c r="N1259" i="13"/>
  <c r="N1035" i="13"/>
  <c r="N811" i="13"/>
  <c r="N1106" i="13"/>
  <c r="N850" i="13"/>
  <c r="N434" i="13"/>
  <c r="N1304" i="13"/>
  <c r="N912" i="13"/>
  <c r="N720" i="13"/>
  <c r="N392" i="13"/>
  <c r="N1033" i="13"/>
  <c r="N198" i="13"/>
  <c r="N94" i="13"/>
  <c r="N620" i="13"/>
  <c r="N905" i="13"/>
  <c r="N593" i="13"/>
  <c r="N1022" i="13"/>
  <c r="N645" i="13"/>
  <c r="N1217" i="13"/>
  <c r="N961" i="13"/>
  <c r="N935" i="13"/>
  <c r="N377" i="13"/>
  <c r="N776" i="13"/>
  <c r="N926" i="13"/>
  <c r="N1307" i="13"/>
  <c r="N994" i="13"/>
  <c r="N770" i="13"/>
  <c r="N546" i="13"/>
  <c r="N1205" i="13"/>
  <c r="N344" i="13"/>
  <c r="N433" i="13"/>
  <c r="N1221" i="13"/>
  <c r="N904" i="13"/>
  <c r="N1222" i="13"/>
  <c r="N1117" i="13"/>
  <c r="N351" i="13"/>
  <c r="N745" i="13"/>
  <c r="N430" i="13"/>
  <c r="N1212" i="13"/>
  <c r="N1306" i="13"/>
  <c r="N728" i="13"/>
  <c r="N496" i="13"/>
  <c r="N1194" i="13"/>
  <c r="N733" i="13"/>
  <c r="N1265" i="13"/>
  <c r="N1041" i="13"/>
  <c r="N817" i="13"/>
  <c r="N791" i="13"/>
  <c r="N567" i="13"/>
  <c r="N217" i="13"/>
  <c r="N1003" i="13"/>
  <c r="N779" i="13"/>
  <c r="N555" i="13"/>
  <c r="N818" i="13"/>
  <c r="N594" i="13"/>
  <c r="N402" i="13"/>
  <c r="N1120" i="13"/>
  <c r="N880" i="13"/>
  <c r="N527" i="13"/>
  <c r="N381" i="13"/>
  <c r="N1038" i="13"/>
  <c r="N973" i="13"/>
  <c r="N1185" i="13"/>
  <c r="N929" i="13"/>
  <c r="N313" i="13"/>
  <c r="N544" i="13"/>
  <c r="N341" i="13"/>
  <c r="N514" i="13"/>
  <c r="N369" i="13"/>
  <c r="N970" i="13"/>
  <c r="N1310" i="13"/>
  <c r="N1055" i="13"/>
  <c r="N681" i="13"/>
  <c r="N233" i="13"/>
  <c r="N534" i="13"/>
  <c r="N512" i="13"/>
  <c r="N310" i="13"/>
  <c r="N28" i="13"/>
  <c r="N563" i="13"/>
  <c r="N464" i="13"/>
  <c r="N853" i="13"/>
  <c r="N481" i="13"/>
  <c r="N744" i="13"/>
  <c r="N1009" i="13"/>
  <c r="N785" i="13"/>
  <c r="N984" i="13"/>
  <c r="N759" i="13"/>
  <c r="N535" i="13"/>
  <c r="N1006" i="13"/>
  <c r="N549" i="13"/>
  <c r="N1044" i="13"/>
  <c r="N276" i="13"/>
  <c r="N747" i="13"/>
  <c r="N523" i="13"/>
  <c r="N786" i="13"/>
  <c r="N562" i="13"/>
  <c r="N370" i="13"/>
  <c r="N1048" i="13"/>
  <c r="N648" i="13"/>
  <c r="N910" i="13"/>
  <c r="N702" i="13"/>
  <c r="N936" i="13"/>
  <c r="N981" i="13"/>
  <c r="N309" i="13"/>
  <c r="N1211" i="13"/>
  <c r="N482" i="13"/>
  <c r="N781" i="13"/>
  <c r="N928" i="13"/>
  <c r="N838" i="13"/>
  <c r="N453" i="13"/>
  <c r="N1280" i="13"/>
  <c r="N1215" i="13"/>
  <c r="N991" i="13"/>
  <c r="N617" i="13"/>
  <c r="N169" i="13"/>
  <c r="N1278" i="13"/>
  <c r="N874" i="13"/>
  <c r="N1301" i="13"/>
  <c r="N819" i="13"/>
  <c r="N417" i="13"/>
  <c r="N1069" i="13"/>
  <c r="N503" i="13"/>
  <c r="N457" i="13"/>
  <c r="N576" i="13"/>
  <c r="N734" i="13"/>
  <c r="N501" i="13"/>
  <c r="N1012" i="13"/>
  <c r="N756" i="13"/>
  <c r="N500" i="13"/>
  <c r="N244" i="13"/>
  <c r="N933" i="13"/>
  <c r="N491" i="13"/>
  <c r="N530" i="13"/>
  <c r="N338" i="13"/>
  <c r="N1008" i="13"/>
  <c r="N584" i="13"/>
  <c r="N808" i="13"/>
  <c r="N1292" i="13"/>
  <c r="N1219" i="13"/>
  <c r="N150" i="13"/>
  <c r="N1027" i="13"/>
  <c r="N633" i="13"/>
  <c r="N185" i="13"/>
  <c r="N611" i="13"/>
  <c r="N1286" i="13"/>
  <c r="N1284" i="13"/>
  <c r="N1060" i="13"/>
  <c r="N804" i="13"/>
  <c r="N292" i="13"/>
  <c r="N36" i="13"/>
  <c r="N923" i="13"/>
  <c r="N667" i="13"/>
  <c r="N411" i="13"/>
  <c r="N1213" i="13"/>
  <c r="N703" i="13"/>
  <c r="N479" i="13"/>
  <c r="N1135" i="13"/>
  <c r="N1141" i="13"/>
  <c r="N1239" i="13"/>
  <c r="N1204" i="13"/>
  <c r="N401" i="13"/>
  <c r="N17" i="13"/>
  <c r="N1071" i="13"/>
  <c r="N1046" i="13"/>
  <c r="N701" i="13"/>
  <c r="N821" i="13"/>
  <c r="N1094" i="13"/>
  <c r="N542" i="13"/>
  <c r="N126" i="13"/>
  <c r="N1029" i="13"/>
  <c r="N1294" i="13"/>
  <c r="N710" i="13"/>
  <c r="N1063" i="13"/>
  <c r="N679" i="13"/>
  <c r="N551" i="13"/>
  <c r="N423" i="13"/>
  <c r="N1199" i="13"/>
  <c r="N957" i="13"/>
  <c r="N1110" i="13"/>
  <c r="O854" i="13"/>
  <c r="P854" i="13" s="1"/>
  <c r="N1311" i="13"/>
  <c r="N927" i="13"/>
  <c r="N799" i="13"/>
  <c r="N671" i="13"/>
  <c r="N543" i="13"/>
  <c r="N415" i="13"/>
  <c r="N975" i="13"/>
  <c r="N1308" i="13"/>
  <c r="N1180" i="13"/>
  <c r="O284" i="13"/>
  <c r="P284" i="13" s="1"/>
  <c r="O669" i="13"/>
  <c r="P669" i="13" s="1"/>
  <c r="O410" i="13"/>
  <c r="P410" i="13" s="1"/>
  <c r="N1077" i="13"/>
  <c r="O545" i="13"/>
  <c r="P545" i="13" s="1"/>
  <c r="O289" i="13"/>
  <c r="P289" i="13" s="1"/>
  <c r="N950" i="13"/>
  <c r="N414" i="13"/>
  <c r="N1157" i="13"/>
  <c r="N1277" i="13"/>
  <c r="N1207" i="13"/>
  <c r="N951" i="13"/>
  <c r="N823" i="13"/>
  <c r="O439" i="13"/>
  <c r="P439" i="13" s="1"/>
  <c r="O345" i="13"/>
  <c r="P345" i="13" s="1"/>
  <c r="N1167" i="13"/>
  <c r="N1285" i="13"/>
  <c r="O1074" i="13"/>
  <c r="P1074" i="13" s="1"/>
  <c r="N1093" i="13"/>
  <c r="O816" i="13"/>
  <c r="P816" i="13" s="1"/>
  <c r="N1231" i="13"/>
  <c r="O1191" i="13"/>
  <c r="P1191" i="13" s="1"/>
  <c r="N878" i="13"/>
  <c r="N454" i="13"/>
  <c r="N438" i="13"/>
  <c r="O1134" i="13"/>
  <c r="P1134" i="13" s="1"/>
  <c r="N502" i="13"/>
  <c r="N1281" i="13"/>
  <c r="N1153" i="13"/>
  <c r="N1025" i="13"/>
  <c r="N897" i="13"/>
  <c r="N769" i="13"/>
  <c r="N1144" i="13"/>
  <c r="N1287" i="13"/>
  <c r="N1159" i="13"/>
  <c r="N1031" i="13"/>
  <c r="N903" i="13"/>
  <c r="N775" i="13"/>
  <c r="N647" i="13"/>
  <c r="N519" i="13"/>
  <c r="N391" i="13"/>
  <c r="N621" i="13"/>
  <c r="N1080" i="13"/>
  <c r="N879" i="13"/>
  <c r="N803" i="13"/>
  <c r="N387" i="13"/>
  <c r="N906" i="13"/>
  <c r="O906" i="13" s="1"/>
  <c r="P906" i="13" s="1"/>
  <c r="O1261" i="13"/>
  <c r="P1261" i="13" s="1"/>
  <c r="N765" i="13"/>
  <c r="N413" i="13"/>
  <c r="O1156" i="13"/>
  <c r="P1156" i="13" s="1"/>
  <c r="N1028" i="13"/>
  <c r="N900" i="13"/>
  <c r="N772" i="13"/>
  <c r="N644" i="13"/>
  <c r="N388" i="13"/>
  <c r="N132" i="13"/>
  <c r="N4" i="13"/>
  <c r="N1275" i="13"/>
  <c r="N1147" i="13"/>
  <c r="N1019" i="13"/>
  <c r="N891" i="13"/>
  <c r="N763" i="13"/>
  <c r="N507" i="13"/>
  <c r="N379" i="13"/>
  <c r="N1218" i="13"/>
  <c r="N1090" i="13"/>
  <c r="N962" i="13"/>
  <c r="N834" i="13"/>
  <c r="N706" i="13"/>
  <c r="N578" i="13"/>
  <c r="O578" i="13" s="1"/>
  <c r="P578" i="13" s="1"/>
  <c r="N450" i="13"/>
  <c r="N1248" i="13"/>
  <c r="N960" i="13"/>
  <c r="N832" i="13"/>
  <c r="N704" i="13"/>
  <c r="N568" i="13"/>
  <c r="N440" i="13"/>
  <c r="N312" i="13"/>
  <c r="N693" i="13"/>
  <c r="N561" i="13"/>
  <c r="N305" i="13"/>
  <c r="N49" i="13"/>
  <c r="N297" i="13"/>
  <c r="N41" i="13"/>
  <c r="N750" i="13"/>
  <c r="N1054" i="13"/>
  <c r="N182" i="13"/>
  <c r="O760" i="13"/>
  <c r="P760" i="13" s="1"/>
  <c r="O368" i="13"/>
  <c r="P368" i="13" s="1"/>
  <c r="N480" i="13"/>
  <c r="N958" i="13"/>
  <c r="N774" i="13"/>
  <c r="N822" i="13"/>
  <c r="N1173" i="13"/>
  <c r="N949" i="13"/>
  <c r="N1175" i="13"/>
  <c r="N1047" i="13"/>
  <c r="O663" i="13"/>
  <c r="P663" i="13" s="1"/>
  <c r="O399" i="13"/>
  <c r="P399" i="13" s="1"/>
  <c r="N778" i="13"/>
  <c r="N1032" i="13"/>
  <c r="N1085" i="13"/>
  <c r="N980" i="13"/>
  <c r="N852" i="13"/>
  <c r="N724" i="13"/>
  <c r="N596" i="13"/>
  <c r="O596" i="13" s="1"/>
  <c r="P596" i="13" s="1"/>
  <c r="N212" i="13"/>
  <c r="N84" i="13"/>
  <c r="N1227" i="13"/>
  <c r="N1099" i="13"/>
  <c r="N971" i="13"/>
  <c r="N843" i="13"/>
  <c r="N715" i="13"/>
  <c r="N587" i="13"/>
  <c r="N885" i="13"/>
  <c r="N1021" i="13"/>
  <c r="N918" i="13"/>
  <c r="N841" i="13"/>
  <c r="N521" i="13"/>
  <c r="N362" i="13"/>
  <c r="N608" i="13"/>
  <c r="N193" i="13"/>
  <c r="N830" i="13"/>
  <c r="N533" i="13"/>
  <c r="N349" i="13"/>
  <c r="N844" i="13"/>
  <c r="N716" i="13"/>
  <c r="N588" i="13"/>
  <c r="N460" i="13"/>
  <c r="N204" i="13"/>
  <c r="N76" i="13"/>
  <c r="N1187" i="13"/>
  <c r="N1059" i="13"/>
  <c r="O158" i="13"/>
  <c r="P158" i="13" s="1"/>
  <c r="O1161" i="13"/>
  <c r="P1161" i="13" s="1"/>
  <c r="O459" i="13"/>
  <c r="P459" i="13" s="1"/>
  <c r="N997" i="13"/>
  <c r="O497" i="13"/>
  <c r="P497" i="13" s="1"/>
  <c r="O241" i="13"/>
  <c r="P241" i="13" s="1"/>
  <c r="N318" i="13"/>
  <c r="N777" i="13"/>
  <c r="N1039" i="13"/>
  <c r="O1039" i="13" s="1"/>
  <c r="P1039" i="13" s="1"/>
  <c r="N367" i="13"/>
  <c r="N329" i="13"/>
  <c r="N963" i="13"/>
  <c r="N1168" i="13"/>
  <c r="N842" i="13"/>
  <c r="N394" i="13"/>
  <c r="N672" i="13"/>
  <c r="O1014" i="13"/>
  <c r="P1014" i="13" s="1"/>
  <c r="N270" i="13"/>
  <c r="N726" i="13"/>
  <c r="N1305" i="13"/>
  <c r="N1177" i="13"/>
  <c r="N1049" i="13"/>
  <c r="N921" i="13"/>
  <c r="N793" i="13"/>
  <c r="N1136" i="13"/>
  <c r="O1279" i="13"/>
  <c r="P1279" i="13" s="1"/>
  <c r="N1023" i="13"/>
  <c r="N895" i="13"/>
  <c r="O639" i="13"/>
  <c r="P639" i="13" s="1"/>
  <c r="O383" i="13"/>
  <c r="P383" i="13" s="1"/>
  <c r="N470" i="13"/>
  <c r="O470" i="13" s="1"/>
  <c r="P470" i="13" s="1"/>
  <c r="N1225" i="13"/>
  <c r="N616" i="13"/>
  <c r="N713" i="13"/>
  <c r="N835" i="13"/>
  <c r="O835" i="13" s="1"/>
  <c r="P835" i="13" s="1"/>
  <c r="N419" i="13"/>
  <c r="N810" i="13"/>
  <c r="N330" i="13"/>
  <c r="N1230" i="13"/>
  <c r="N557" i="13"/>
  <c r="N365" i="13"/>
  <c r="N1020" i="13"/>
  <c r="N892" i="13"/>
  <c r="N764" i="13"/>
  <c r="N636" i="13"/>
  <c r="N508" i="13"/>
  <c r="N380" i="13"/>
  <c r="N252" i="13"/>
  <c r="N124" i="13"/>
  <c r="O124" i="13" s="1"/>
  <c r="P124" i="13" s="1"/>
  <c r="N1232" i="13"/>
  <c r="N1299" i="13"/>
  <c r="N1171" i="13"/>
  <c r="N1043" i="13"/>
  <c r="N915" i="13"/>
  <c r="N787" i="13"/>
  <c r="N659" i="13"/>
  <c r="O659" i="13" s="1"/>
  <c r="P659" i="13" s="1"/>
  <c r="N531" i="13"/>
  <c r="N403" i="13"/>
  <c r="O403" i="13" s="1"/>
  <c r="P403" i="13" s="1"/>
  <c r="N1274" i="13"/>
  <c r="O1303" i="13"/>
  <c r="P1303" i="13" s="1"/>
  <c r="O939" i="13"/>
  <c r="P939" i="13" s="1"/>
  <c r="N1298" i="13"/>
  <c r="N1170" i="13"/>
  <c r="N1042" i="13"/>
  <c r="N914" i="13"/>
  <c r="O332" i="13"/>
  <c r="P332" i="13" s="1"/>
  <c r="N302" i="13"/>
  <c r="N142" i="13"/>
  <c r="O142" i="13" s="1"/>
  <c r="P142" i="13" s="1"/>
  <c r="N605" i="13"/>
  <c r="N757" i="13"/>
  <c r="N1249" i="13"/>
  <c r="N1121" i="13"/>
  <c r="N993" i="13"/>
  <c r="N865" i="13"/>
  <c r="N1288" i="13"/>
  <c r="N1072" i="13"/>
  <c r="N1255" i="13"/>
  <c r="N1127" i="13"/>
  <c r="N743" i="13"/>
  <c r="N359" i="13"/>
  <c r="N942" i="13"/>
  <c r="O942" i="13" s="1"/>
  <c r="P942" i="13" s="1"/>
  <c r="N1193" i="13"/>
  <c r="N552" i="13"/>
  <c r="N719" i="13"/>
  <c r="N707" i="13"/>
  <c r="N1290" i="13"/>
  <c r="N714" i="13"/>
  <c r="N1000" i="13"/>
  <c r="N206" i="13"/>
  <c r="N589" i="13"/>
  <c r="O589" i="13" s="1"/>
  <c r="P589" i="13" s="1"/>
  <c r="N373" i="13"/>
  <c r="N996" i="13"/>
  <c r="N868" i="13"/>
  <c r="N740" i="13"/>
  <c r="N612" i="13"/>
  <c r="N484" i="13"/>
  <c r="O484" i="13" s="1"/>
  <c r="P484" i="13" s="1"/>
  <c r="N356" i="13"/>
  <c r="N228" i="13"/>
  <c r="N100" i="13"/>
  <c r="O100" i="13" s="1"/>
  <c r="P100" i="13" s="1"/>
  <c r="O1109" i="13"/>
  <c r="P1109" i="13" s="1"/>
  <c r="N1243" i="13"/>
  <c r="N1115" i="13"/>
  <c r="N987" i="13"/>
  <c r="N859" i="13"/>
  <c r="N731" i="13"/>
  <c r="N603" i="13"/>
  <c r="N475" i="13"/>
  <c r="N347" i="13"/>
  <c r="N1186" i="13"/>
  <c r="O1016" i="13"/>
  <c r="P1016" i="13" s="1"/>
  <c r="O856" i="13"/>
  <c r="P856" i="13" s="1"/>
  <c r="O592" i="13"/>
  <c r="P592" i="13" s="1"/>
  <c r="O336" i="13"/>
  <c r="P336" i="13" s="1"/>
  <c r="O613" i="13"/>
  <c r="P613" i="13" s="1"/>
  <c r="N662" i="13"/>
  <c r="N873" i="13"/>
  <c r="N246" i="13"/>
  <c r="N814" i="13"/>
  <c r="O814" i="13" s="1"/>
  <c r="P814" i="13" s="1"/>
  <c r="N510" i="13"/>
  <c r="N1302" i="13"/>
  <c r="N965" i="13"/>
  <c r="N861" i="13"/>
  <c r="O1040" i="13"/>
  <c r="P1040" i="13" s="1"/>
  <c r="N1128" i="13"/>
  <c r="N1271" i="13"/>
  <c r="N1143" i="13"/>
  <c r="N1015" i="13"/>
  <c r="N887" i="13"/>
  <c r="N911" i="13"/>
  <c r="N899" i="13"/>
  <c r="N1226" i="13"/>
  <c r="N650" i="13"/>
  <c r="N840" i="13"/>
  <c r="N862" i="13"/>
  <c r="N1206" i="13"/>
  <c r="O278" i="13"/>
  <c r="P278" i="13" s="1"/>
  <c r="N948" i="13"/>
  <c r="N820" i="13"/>
  <c r="N692" i="13"/>
  <c r="N564" i="13"/>
  <c r="N436" i="13"/>
  <c r="N308" i="13"/>
  <c r="N180" i="13"/>
  <c r="N52" i="13"/>
  <c r="N445" i="13"/>
  <c r="O752" i="13"/>
  <c r="P752" i="13" s="1"/>
  <c r="N797" i="13"/>
  <c r="O81" i="13"/>
  <c r="P81" i="13" s="1"/>
  <c r="N214" i="13"/>
  <c r="N265" i="13"/>
  <c r="N629" i="13"/>
  <c r="N416" i="13"/>
  <c r="N366" i="13"/>
  <c r="N1037" i="13"/>
  <c r="N493" i="13"/>
  <c r="N317" i="13"/>
  <c r="O317" i="13" s="1"/>
  <c r="P317" i="13" s="1"/>
  <c r="N1068" i="13"/>
  <c r="N940" i="13"/>
  <c r="N812" i="13"/>
  <c r="N684" i="13"/>
  <c r="N556" i="13"/>
  <c r="N428" i="13"/>
  <c r="N300" i="13"/>
  <c r="N172" i="13"/>
  <c r="N44" i="13"/>
  <c r="O44" i="13" s="1"/>
  <c r="P44" i="13" s="1"/>
  <c r="N1283" i="13"/>
  <c r="N1155" i="13"/>
  <c r="N640" i="13"/>
  <c r="O635" i="13"/>
  <c r="P635" i="13" s="1"/>
  <c r="O390" i="13"/>
  <c r="P390" i="13" s="1"/>
  <c r="O553" i="13"/>
  <c r="P553" i="13" s="1"/>
  <c r="O355" i="13"/>
  <c r="P355" i="13" s="1"/>
  <c r="O340" i="13"/>
  <c r="P340" i="13" s="1"/>
  <c r="N1142" i="13"/>
  <c r="N1256" i="13"/>
  <c r="O615" i="13"/>
  <c r="P615" i="13" s="1"/>
  <c r="O487" i="13"/>
  <c r="P487" i="13" s="1"/>
  <c r="N646" i="13"/>
  <c r="N1263" i="13"/>
  <c r="O649" i="13"/>
  <c r="P649" i="13" s="1"/>
  <c r="O586" i="13"/>
  <c r="P586" i="13" s="1"/>
  <c r="N766" i="13"/>
  <c r="N1197" i="13"/>
  <c r="N1220" i="13"/>
  <c r="N1092" i="13"/>
  <c r="O452" i="13"/>
  <c r="P452" i="13" s="1"/>
  <c r="O68" i="13"/>
  <c r="P68" i="13" s="1"/>
  <c r="O443" i="13"/>
  <c r="P443" i="13" s="1"/>
  <c r="O768" i="13"/>
  <c r="P768" i="13" s="1"/>
  <c r="O376" i="13"/>
  <c r="P376" i="13" s="1"/>
  <c r="N1133" i="13"/>
  <c r="N1257" i="13"/>
  <c r="N783" i="13"/>
  <c r="N9" i="13"/>
  <c r="N771" i="13"/>
  <c r="N1258" i="13"/>
  <c r="N746" i="13"/>
  <c r="N1053" i="13"/>
  <c r="O1053" i="13" s="1"/>
  <c r="P1053" i="13" s="1"/>
  <c r="N448" i="13"/>
  <c r="O606" i="13"/>
  <c r="P606" i="13" s="1"/>
  <c r="O134" i="13"/>
  <c r="P134" i="13" s="1"/>
  <c r="N590" i="13"/>
  <c r="N917" i="13"/>
  <c r="N1273" i="13"/>
  <c r="N1145" i="13"/>
  <c r="N1017" i="13"/>
  <c r="O1017" i="13" s="1"/>
  <c r="P1017" i="13" s="1"/>
  <c r="N889" i="13"/>
  <c r="N761" i="13"/>
  <c r="N1096" i="13"/>
  <c r="O1247" i="13"/>
  <c r="P1247" i="13" s="1"/>
  <c r="N1097" i="13"/>
  <c r="N687" i="13"/>
  <c r="N393" i="13"/>
  <c r="N739" i="13"/>
  <c r="N1162" i="13"/>
  <c r="N682" i="13"/>
  <c r="N968" i="13"/>
  <c r="N1030" i="13"/>
  <c r="N509" i="13"/>
  <c r="N333" i="13"/>
  <c r="O1116" i="13"/>
  <c r="P1116" i="13" s="1"/>
  <c r="N988" i="13"/>
  <c r="N860" i="13"/>
  <c r="N732" i="13"/>
  <c r="N604" i="13"/>
  <c r="N476" i="13"/>
  <c r="N348" i="13"/>
  <c r="N220" i="13"/>
  <c r="N92" i="13"/>
  <c r="N1267" i="13"/>
  <c r="N1139" i="13"/>
  <c r="O1139" i="13" s="1"/>
  <c r="P1139" i="13" s="1"/>
  <c r="N1011" i="13"/>
  <c r="N883" i="13"/>
  <c r="N755" i="13"/>
  <c r="N627" i="13"/>
  <c r="N499" i="13"/>
  <c r="N371" i="13"/>
  <c r="N1242" i="13"/>
  <c r="N1114" i="13"/>
  <c r="N986" i="13"/>
  <c r="N858" i="13"/>
  <c r="N730" i="13"/>
  <c r="N602" i="13"/>
  <c r="N474" i="13"/>
  <c r="N518" i="13"/>
  <c r="N1300" i="13"/>
  <c r="N1172" i="13"/>
  <c r="O788" i="13"/>
  <c r="P788" i="13" s="1"/>
  <c r="O532" i="13"/>
  <c r="P532" i="13" s="1"/>
  <c r="O20" i="13"/>
  <c r="P20" i="13" s="1"/>
  <c r="O395" i="13"/>
  <c r="P395" i="13" s="1"/>
  <c r="N1266" i="13"/>
  <c r="N1138" i="13"/>
  <c r="N1010" i="13"/>
  <c r="N882" i="13"/>
  <c r="N754" i="13"/>
  <c r="N626" i="13"/>
  <c r="O384" i="13"/>
  <c r="P384" i="13" s="1"/>
  <c r="O516" i="13"/>
  <c r="P516" i="13" s="1"/>
  <c r="O1149" i="13"/>
  <c r="P1149" i="13" s="1"/>
  <c r="O972" i="13"/>
  <c r="P972" i="13" s="1"/>
  <c r="O478" i="13"/>
  <c r="P478" i="13" s="1"/>
  <c r="O1293" i="13"/>
  <c r="P1293" i="13" s="1"/>
  <c r="O382" i="13"/>
  <c r="P382" i="13" s="1"/>
  <c r="O1234" i="13"/>
  <c r="P1234" i="13" s="1"/>
  <c r="O978" i="13"/>
  <c r="P978" i="13" s="1"/>
  <c r="O848" i="13"/>
  <c r="P848" i="13" s="1"/>
  <c r="N461" i="13"/>
  <c r="O273" i="13"/>
  <c r="P273" i="13" s="1"/>
  <c r="N1289" i="13"/>
  <c r="O1289" i="13" s="1"/>
  <c r="P1289" i="13" s="1"/>
  <c r="N488" i="13"/>
  <c r="N1112" i="13"/>
  <c r="N749" i="13"/>
  <c r="N1070" i="13"/>
  <c r="N782" i="13"/>
  <c r="N566" i="13"/>
  <c r="N437" i="13"/>
  <c r="N1036" i="13"/>
  <c r="N908" i="13"/>
  <c r="N780" i="13"/>
  <c r="N652" i="13"/>
  <c r="N524" i="13"/>
  <c r="O524" i="13" s="1"/>
  <c r="P524" i="13" s="1"/>
  <c r="N396" i="13"/>
  <c r="N268" i="13"/>
  <c r="N140" i="13"/>
  <c r="N12" i="13"/>
  <c r="N1251" i="13"/>
  <c r="N1123" i="13"/>
  <c r="N385" i="13"/>
  <c r="O385" i="13" s="1"/>
  <c r="P385" i="13" s="1"/>
  <c r="O260" i="13"/>
  <c r="P260" i="13" s="1"/>
  <c r="O1183" i="13"/>
  <c r="P1183" i="13" s="1"/>
  <c r="O1270" i="13"/>
  <c r="P1270" i="13" s="1"/>
  <c r="O468" i="13"/>
  <c r="P468" i="13" s="1"/>
  <c r="N286" i="13"/>
  <c r="N894" i="13"/>
  <c r="N582" i="13"/>
  <c r="N1238" i="13"/>
  <c r="N1061" i="13"/>
  <c r="N1269" i="13"/>
  <c r="N1165" i="13"/>
  <c r="N1216" i="13"/>
  <c r="O583" i="13"/>
  <c r="P583" i="13" s="1"/>
  <c r="O455" i="13"/>
  <c r="P455" i="13" s="1"/>
  <c r="N40" i="13"/>
  <c r="N505" i="13"/>
  <c r="O505" i="13" s="1"/>
  <c r="P505" i="13" s="1"/>
  <c r="N249" i="13"/>
  <c r="N909" i="13"/>
  <c r="N1103" i="13"/>
  <c r="O1103" i="13" s="1"/>
  <c r="P1103" i="13" s="1"/>
  <c r="O201" i="13"/>
  <c r="P201" i="13" s="1"/>
  <c r="N670" i="13"/>
  <c r="N446" i="13"/>
  <c r="N1188" i="13"/>
  <c r="O548" i="13"/>
  <c r="P548" i="13" s="1"/>
  <c r="O164" i="13"/>
  <c r="P164" i="13" s="1"/>
  <c r="N1051" i="13"/>
  <c r="O1250" i="13"/>
  <c r="P1250" i="13" s="1"/>
  <c r="O738" i="13"/>
  <c r="P738" i="13" s="1"/>
  <c r="O610" i="13"/>
  <c r="P610" i="13" s="1"/>
  <c r="N901" i="13"/>
  <c r="N104" i="13"/>
  <c r="N1158" i="13"/>
  <c r="N1129" i="13"/>
  <c r="N424" i="13"/>
  <c r="N655" i="13"/>
  <c r="N579" i="13"/>
  <c r="N1098" i="13"/>
  <c r="N618" i="13"/>
  <c r="N1184" i="13"/>
  <c r="N320" i="13"/>
  <c r="N462" i="13"/>
  <c r="N773" i="13"/>
  <c r="N709" i="13"/>
  <c r="O709" i="13" s="1"/>
  <c r="P709" i="13" s="1"/>
  <c r="N1241" i="13"/>
  <c r="N1113" i="13"/>
  <c r="N985" i="13"/>
  <c r="N857" i="13"/>
  <c r="N1064" i="13"/>
  <c r="N959" i="13"/>
  <c r="N831" i="13"/>
  <c r="O575" i="13"/>
  <c r="P575" i="13" s="1"/>
  <c r="O105" i="13"/>
  <c r="P105" i="13" s="1"/>
  <c r="N526" i="13"/>
  <c r="N937" i="13"/>
  <c r="N463" i="13"/>
  <c r="O463" i="13" s="1"/>
  <c r="P463" i="13" s="1"/>
  <c r="N73" i="13"/>
  <c r="N675" i="13"/>
  <c r="N1034" i="13"/>
  <c r="N554" i="13"/>
  <c r="N712" i="13"/>
  <c r="N902" i="13"/>
  <c r="O902" i="13" s="1"/>
  <c r="P902" i="13" s="1"/>
  <c r="N1246" i="13"/>
  <c r="N477" i="13"/>
  <c r="N301" i="13"/>
  <c r="N956" i="13"/>
  <c r="N828" i="13"/>
  <c r="N700" i="13"/>
  <c r="N572" i="13"/>
  <c r="N444" i="13"/>
  <c r="O444" i="13" s="1"/>
  <c r="P444" i="13" s="1"/>
  <c r="N316" i="13"/>
  <c r="N188" i="13"/>
  <c r="N60" i="13"/>
  <c r="O60" i="13" s="1"/>
  <c r="P60" i="13" s="1"/>
  <c r="N1005" i="13"/>
  <c r="N1235" i="13"/>
  <c r="N1107" i="13"/>
  <c r="N979" i="13"/>
  <c r="N851" i="13"/>
  <c r="N723" i="13"/>
  <c r="N595" i="13"/>
  <c r="N467" i="13"/>
  <c r="N339" i="13"/>
  <c r="N1210" i="13"/>
  <c r="N1082" i="13"/>
  <c r="N954" i="13"/>
  <c r="N826" i="13"/>
  <c r="O826" i="13" s="1"/>
  <c r="P826" i="13" s="1"/>
  <c r="N698" i="13"/>
  <c r="N570" i="13"/>
  <c r="N442" i="13"/>
  <c r="N1104" i="13"/>
  <c r="N421" i="13"/>
  <c r="N952" i="13"/>
  <c r="N824" i="13"/>
  <c r="N696" i="13"/>
  <c r="N560" i="13"/>
  <c r="O560" i="13" s="1"/>
  <c r="P560" i="13" s="1"/>
  <c r="N432" i="13"/>
  <c r="N609" i="13"/>
  <c r="N353" i="13"/>
  <c r="N33" i="13"/>
  <c r="N1214" i="13"/>
  <c r="O1214" i="13" s="1"/>
  <c r="P1214" i="13" s="1"/>
  <c r="N574" i="13"/>
  <c r="N1078" i="13"/>
  <c r="N374" i="13"/>
  <c r="O374" i="13" s="1"/>
  <c r="P374" i="13" s="1"/>
  <c r="N558" i="13"/>
  <c r="N741" i="13"/>
  <c r="N429" i="13"/>
  <c r="N653" i="13"/>
  <c r="N1233" i="13"/>
  <c r="N1105" i="13"/>
  <c r="N977" i="13"/>
  <c r="N849" i="13"/>
  <c r="N1272" i="13"/>
  <c r="N983" i="13"/>
  <c r="N855" i="13"/>
  <c r="N727" i="13"/>
  <c r="N599" i="13"/>
  <c r="N471" i="13"/>
  <c r="O471" i="13" s="1"/>
  <c r="P471" i="13" s="1"/>
  <c r="N343" i="13"/>
  <c r="N665" i="13"/>
  <c r="N409" i="13"/>
  <c r="N153" i="13"/>
  <c r="N360" i="13"/>
  <c r="N751" i="13"/>
  <c r="O137" i="13"/>
  <c r="P137" i="13" s="1"/>
  <c r="N837" i="13"/>
  <c r="N1182" i="13"/>
  <c r="N982" i="13"/>
  <c r="N661" i="13"/>
  <c r="N397" i="13"/>
  <c r="N1268" i="13"/>
  <c r="N1140" i="13"/>
  <c r="O372" i="13"/>
  <c r="P372" i="13" s="1"/>
  <c r="N1245" i="13"/>
  <c r="N1253" i="13"/>
  <c r="N1125" i="13"/>
  <c r="O931" i="13"/>
  <c r="P931" i="13" s="1"/>
  <c r="N222" i="13"/>
  <c r="N966" i="13"/>
  <c r="O86" i="13"/>
  <c r="P86" i="13" s="1"/>
  <c r="N1260" i="13"/>
  <c r="N1132" i="13"/>
  <c r="O492" i="13"/>
  <c r="P492" i="13" s="1"/>
  <c r="O364" i="13"/>
  <c r="P364" i="13" s="1"/>
  <c r="O236" i="13"/>
  <c r="P236" i="13" s="1"/>
  <c r="N1181" i="13"/>
  <c r="B25" i="8"/>
  <c r="B83" i="8"/>
  <c r="B82" i="8"/>
  <c r="A81" i="8"/>
  <c r="B81" i="8" s="1"/>
  <c r="AD52" i="8"/>
  <c r="AC52" i="8"/>
  <c r="AB52" i="8"/>
  <c r="AB43" i="8" a="1"/>
  <c r="AB43" i="8" s="1"/>
  <c r="AC43" i="8" a="1"/>
  <c r="AC43" i="8" s="1"/>
  <c r="AD43" i="8" a="1"/>
  <c r="AD43" i="8" s="1"/>
  <c r="AA43" i="8" a="1"/>
  <c r="Y43" i="8" a="1"/>
  <c r="X43" i="8" a="1"/>
  <c r="Z43" i="8" a="1"/>
  <c r="V43" i="8" a="1"/>
  <c r="W43" i="8" a="1"/>
  <c r="T43" i="8" a="1"/>
  <c r="S43" i="8" a="1"/>
  <c r="U43" i="8" a="1"/>
  <c r="X44" i="8"/>
  <c r="O44" i="8"/>
  <c r="J43" i="8" a="1"/>
  <c r="Q43" i="8" a="1"/>
  <c r="V44" i="8"/>
  <c r="P43" i="8" a="1"/>
  <c r="H43" i="8" a="1"/>
  <c r="F43" i="8" a="1"/>
  <c r="J44" i="8"/>
  <c r="E43" i="8" a="1"/>
  <c r="C43" i="8" a="1"/>
  <c r="AB44" i="8"/>
  <c r="C44" i="8"/>
  <c r="S44" i="8"/>
  <c r="I44" i="8"/>
  <c r="Y44" i="8"/>
  <c r="F44" i="8"/>
  <c r="L43" i="8" a="1"/>
  <c r="Q44" i="8"/>
  <c r="N43" i="8" a="1"/>
  <c r="M44" i="8"/>
  <c r="Z44" i="8"/>
  <c r="M43" i="8" a="1"/>
  <c r="T44" i="8"/>
  <c r="K44" i="8"/>
  <c r="O43" i="8" a="1"/>
  <c r="I43" i="8" a="1"/>
  <c r="AC44" i="8"/>
  <c r="G43" i="8" a="1"/>
  <c r="AD44" i="8"/>
  <c r="P44" i="8"/>
  <c r="L44" i="8"/>
  <c r="U44" i="8"/>
  <c r="R44" i="8"/>
  <c r="G44" i="8"/>
  <c r="AA44" i="8"/>
  <c r="H44" i="8"/>
  <c r="K43" i="8" a="1"/>
  <c r="R43" i="8" a="1"/>
  <c r="E44" i="8"/>
  <c r="D43" i="8" a="1"/>
  <c r="D44" i="8"/>
  <c r="N44" i="8"/>
  <c r="W44" i="8"/>
  <c r="AA43" i="8" l="1"/>
  <c r="Z43" i="8"/>
  <c r="Y43" i="8"/>
  <c r="X43" i="8"/>
  <c r="W43" i="8"/>
  <c r="V43" i="8"/>
  <c r="U43" i="8"/>
  <c r="AA54" i="8"/>
  <c r="AA53" i="8"/>
  <c r="S53" i="8"/>
  <c r="S54" i="8"/>
  <c r="K54" i="8"/>
  <c r="K53" i="8"/>
  <c r="Z54" i="8"/>
  <c r="Z53" i="8"/>
  <c r="R54" i="8"/>
  <c r="R53" i="8"/>
  <c r="F54" i="8"/>
  <c r="F53" i="8"/>
  <c r="AC54" i="8"/>
  <c r="AC53" i="8"/>
  <c r="U54" i="8"/>
  <c r="U53" i="8"/>
  <c r="M54" i="8"/>
  <c r="M53" i="8"/>
  <c r="E54" i="8"/>
  <c r="E53" i="8"/>
  <c r="W53" i="8"/>
  <c r="W54" i="8"/>
  <c r="O53" i="8"/>
  <c r="O54" i="8"/>
  <c r="C53" i="8"/>
  <c r="C54" i="8"/>
  <c r="AD54" i="8"/>
  <c r="AD53" i="8"/>
  <c r="V54" i="8"/>
  <c r="V53" i="8"/>
  <c r="N54" i="8"/>
  <c r="N53" i="8"/>
  <c r="J54" i="8"/>
  <c r="J53" i="8"/>
  <c r="Y54" i="8"/>
  <c r="Y53" i="8"/>
  <c r="Q54" i="8"/>
  <c r="Q53" i="8"/>
  <c r="I54" i="8"/>
  <c r="I53" i="8"/>
  <c r="AB53" i="8"/>
  <c r="AB54" i="8"/>
  <c r="X54" i="8"/>
  <c r="X53" i="8"/>
  <c r="T54" i="8"/>
  <c r="T53" i="8"/>
  <c r="P54" i="8"/>
  <c r="P53" i="8"/>
  <c r="L54" i="8"/>
  <c r="L53" i="8"/>
  <c r="H54" i="8"/>
  <c r="H53" i="8"/>
  <c r="D54" i="8"/>
  <c r="D53" i="8"/>
  <c r="G53" i="8"/>
  <c r="G54" i="8"/>
  <c r="Q43" i="8"/>
  <c r="R43" i="8"/>
  <c r="P43" i="8"/>
  <c r="N43" i="8"/>
  <c r="L43" i="8"/>
  <c r="J43" i="8"/>
  <c r="H43" i="8"/>
  <c r="F43" i="8"/>
  <c r="D43" i="8"/>
  <c r="S43" i="8"/>
  <c r="T43" i="8"/>
  <c r="O43" i="8"/>
  <c r="M43" i="8"/>
  <c r="K43" i="8"/>
  <c r="I43" i="8"/>
  <c r="G43" i="8"/>
  <c r="E43" i="8"/>
  <c r="C43" i="8"/>
  <c r="B42" i="8" a="1"/>
  <c r="AD42" i="8" s="1"/>
  <c r="K42" i="8" l="1"/>
  <c r="G42" i="8"/>
  <c r="W42" i="8"/>
  <c r="AA42" i="8"/>
  <c r="O42" i="8"/>
  <c r="C42" i="8"/>
  <c r="S42" i="8"/>
  <c r="D42" i="8"/>
  <c r="H42" i="8"/>
  <c r="L42" i="8"/>
  <c r="P42" i="8"/>
  <c r="T42" i="8"/>
  <c r="X42" i="8"/>
  <c r="AB42" i="8"/>
  <c r="B42" i="8"/>
  <c r="E42" i="8"/>
  <c r="I42" i="8"/>
  <c r="M42" i="8"/>
  <c r="Q42" i="8"/>
  <c r="U42" i="8"/>
  <c r="Y42" i="8"/>
  <c r="AC42" i="8"/>
  <c r="F42" i="8"/>
  <c r="J42" i="8"/>
  <c r="N42" i="8"/>
  <c r="R42" i="8"/>
  <c r="V42" i="8"/>
  <c r="Z42" i="8"/>
  <c r="D188" i="12" l="1"/>
  <c r="D187" i="12"/>
  <c r="D186" i="12"/>
  <c r="D185" i="12"/>
  <c r="D184" i="12"/>
  <c r="H181" i="12" a="1"/>
  <c r="H181" i="12" s="1"/>
  <c r="D176" i="12"/>
  <c r="D175" i="12"/>
  <c r="D174" i="12"/>
  <c r="D173" i="12"/>
  <c r="D171" i="12"/>
  <c r="H164" i="12" a="1"/>
  <c r="H164" i="12" s="1"/>
  <c r="A148" i="8"/>
  <c r="A147" i="8"/>
  <c r="A149" i="8"/>
  <c r="D50" i="12"/>
  <c r="D49" i="12"/>
  <c r="D48" i="12"/>
  <c r="D47" i="12"/>
  <c r="D46" i="12"/>
  <c r="H43" i="12" a="1"/>
  <c r="H43" i="12" s="1"/>
  <c r="A2" i="12"/>
  <c r="B22" i="8" s="1"/>
  <c r="B20" i="8"/>
  <c r="C16" i="8"/>
  <c r="A146" i="8"/>
  <c r="A144" i="8"/>
  <c r="B50" i="8" s="1" a="1"/>
  <c r="B50" i="8" s="1"/>
  <c r="B51" i="8" s="1"/>
  <c r="A145" i="8"/>
  <c r="B119" i="8" a="1"/>
  <c r="B119" i="8" s="1"/>
  <c r="B117" i="8" a="1"/>
  <c r="B117" i="8" s="1"/>
  <c r="J303" i="12" a="1"/>
  <c r="J303" i="12" s="1"/>
  <c r="H273" i="12" a="1"/>
  <c r="H273" i="12" s="1"/>
  <c r="H250" i="12" a="1"/>
  <c r="H250" i="12" s="1"/>
  <c r="H145" i="12" a="1"/>
  <c r="H145" i="12" s="1"/>
  <c r="H133" i="12" a="1"/>
  <c r="H133" i="12" s="1"/>
  <c r="H121" i="12" a="1"/>
  <c r="H121" i="12" s="1"/>
  <c r="H109" i="12" a="1"/>
  <c r="H109" i="12" s="1"/>
  <c r="H97" i="12" a="1"/>
  <c r="H97" i="12" s="1"/>
  <c r="H95" i="12" a="1"/>
  <c r="H95" i="12" s="1"/>
  <c r="B116" i="8"/>
  <c r="B115" i="8"/>
  <c r="B114" i="8" a="1"/>
  <c r="B114" i="8" s="1"/>
  <c r="A12" i="7"/>
  <c r="D310" i="12"/>
  <c r="D308" i="12"/>
  <c r="D307" i="12"/>
  <c r="D306" i="12"/>
  <c r="D258" i="12"/>
  <c r="D296" i="12" a="1"/>
  <c r="D296" i="12" s="1"/>
  <c r="D292" i="12" a="1"/>
  <c r="D292" i="12" s="1"/>
  <c r="D288" i="12" a="1"/>
  <c r="D288" i="12" s="1"/>
  <c r="D284" i="12" a="1"/>
  <c r="D284" i="12" s="1"/>
  <c r="D282" i="12" a="1"/>
  <c r="D282" i="12" s="1"/>
  <c r="D280" i="12" a="1"/>
  <c r="D280" i="12" s="1"/>
  <c r="D278" i="12" a="1"/>
  <c r="D278" i="12" s="1"/>
  <c r="D276" i="12" a="1"/>
  <c r="D276" i="12" s="1"/>
  <c r="D261" i="12"/>
  <c r="D260" i="12"/>
  <c r="D259" i="12"/>
  <c r="D257" i="12"/>
  <c r="D256" i="12"/>
  <c r="D156" i="12"/>
  <c r="D155" i="12"/>
  <c r="D154" i="12"/>
  <c r="D153" i="12"/>
  <c r="D140" i="12"/>
  <c r="D139" i="12"/>
  <c r="D138" i="12"/>
  <c r="D137" i="12"/>
  <c r="D136" i="12"/>
  <c r="D128" i="12"/>
  <c r="D127" i="12"/>
  <c r="D126" i="12"/>
  <c r="D125" i="12"/>
  <c r="D124" i="12"/>
  <c r="D102" i="12"/>
  <c r="D116" i="12"/>
  <c r="D115" i="12"/>
  <c r="D114" i="12"/>
  <c r="D112" i="12"/>
  <c r="D104" i="12"/>
  <c r="D103" i="12"/>
  <c r="D101" i="12"/>
  <c r="D100" i="12"/>
  <c r="A20" i="8"/>
  <c r="B258" i="12"/>
  <c r="B118" i="8"/>
  <c r="A23" i="8"/>
  <c r="B175" i="12"/>
  <c r="B16" i="8"/>
  <c r="M108" i="8" l="1"/>
  <c r="M127" i="8"/>
  <c r="M130" i="8"/>
  <c r="M105" i="8"/>
  <c r="M111" i="8"/>
  <c r="M109" i="8"/>
  <c r="M128" i="8"/>
  <c r="M132" i="8"/>
  <c r="M107" i="8"/>
  <c r="M113" i="8"/>
  <c r="M129" i="8"/>
  <c r="M104" i="8"/>
  <c r="M131" i="8"/>
  <c r="M112" i="8"/>
  <c r="D50" i="8" a="1"/>
  <c r="D50" i="8" s="1"/>
  <c r="D51" i="8" s="1"/>
  <c r="C50" i="8" a="1"/>
  <c r="C50" i="8" s="1"/>
  <c r="B122" i="8"/>
  <c r="D120" i="8" a="1"/>
  <c r="D120" i="8" s="1"/>
  <c r="F120" i="8" a="1"/>
  <c r="F120" i="8" s="1"/>
  <c r="H120" i="8" a="1"/>
  <c r="H120" i="8" s="1"/>
  <c r="E120" i="8" a="1"/>
  <c r="E120" i="8" s="1"/>
  <c r="G120" i="8" a="1"/>
  <c r="G120" i="8" s="1"/>
  <c r="C120" i="8" a="1"/>
  <c r="C120" i="8" s="1"/>
  <c r="M116" i="8" l="1"/>
  <c r="M110" i="8"/>
  <c r="M135" i="8"/>
  <c r="D52" i="8"/>
  <c r="C52" i="8"/>
  <c r="C51" i="8"/>
  <c r="C83" i="8"/>
  <c r="B52" i="8"/>
  <c r="B44" i="8"/>
  <c r="C81" i="8" l="1"/>
  <c r="B54" i="8"/>
  <c r="B53" i="8"/>
  <c r="C100" i="8" a="1"/>
  <c r="C100" i="8" s="1"/>
  <c r="D100" i="8" s="1"/>
  <c r="C99" i="8" a="1"/>
  <c r="C99" i="8" s="1"/>
  <c r="D99" i="8" s="1"/>
  <c r="C101" i="8" a="1"/>
  <c r="C101" i="8" s="1"/>
  <c r="D101" i="8" s="1"/>
  <c r="C102" i="8" a="1"/>
  <c r="C102" i="8" s="1"/>
  <c r="D102" i="8" s="1"/>
  <c r="C15" i="8"/>
  <c r="C14" i="8"/>
  <c r="B14" i="8"/>
  <c r="B15" i="8"/>
  <c r="B1" i="13" l="1"/>
  <c r="A163" i="8"/>
  <c r="AD49" i="8"/>
  <c r="Z49" i="8"/>
  <c r="V49" i="8"/>
  <c r="R49" i="8"/>
  <c r="N49" i="8"/>
  <c r="J49" i="8"/>
  <c r="F49" i="8"/>
  <c r="W49" i="8"/>
  <c r="O49" i="8"/>
  <c r="C49" i="8"/>
  <c r="AC49" i="8"/>
  <c r="Y49" i="8"/>
  <c r="U49" i="8"/>
  <c r="Q49" i="8"/>
  <c r="M49" i="8"/>
  <c r="I49" i="8"/>
  <c r="E49" i="8"/>
  <c r="S49" i="8"/>
  <c r="G49" i="8"/>
  <c r="AB49" i="8"/>
  <c r="X49" i="8"/>
  <c r="T49" i="8"/>
  <c r="P49" i="8"/>
  <c r="L49" i="8"/>
  <c r="H49" i="8"/>
  <c r="D49" i="8"/>
  <c r="AA49" i="8"/>
  <c r="K49" i="8"/>
  <c r="B49" i="8"/>
  <c r="A152" i="8"/>
  <c r="A153" i="8"/>
  <c r="A142" i="8"/>
  <c r="A49" i="8"/>
  <c r="AA50" i="8" a="1"/>
  <c r="Y50" i="8" a="1"/>
  <c r="X50" i="8" a="1"/>
  <c r="Z50" i="8" a="1"/>
  <c r="S50" i="8" a="1"/>
  <c r="V50" i="8" a="1"/>
  <c r="T50" i="8" a="1"/>
  <c r="W50" i="8" a="1"/>
  <c r="U50" i="8" a="1"/>
  <c r="K50" i="8" a="1"/>
  <c r="L50" i="8" a="1"/>
  <c r="H50" i="8" a="1"/>
  <c r="Q50" i="8" a="1"/>
  <c r="J50" i="8" a="1"/>
  <c r="B43" i="8" a="1"/>
  <c r="E50" i="8" a="1"/>
  <c r="M50" i="8" a="1"/>
  <c r="N50" i="8" a="1"/>
  <c r="O50" i="8" a="1"/>
  <c r="F50" i="8" a="1"/>
  <c r="I50" i="8" a="1"/>
  <c r="G50" i="8" a="1"/>
  <c r="R50" i="8" a="1"/>
  <c r="P50" i="8" a="1"/>
  <c r="AA50" i="8" l="1"/>
  <c r="Z50" i="8"/>
  <c r="Z51" i="8" s="1"/>
  <c r="R50" i="8"/>
  <c r="U50" i="8"/>
  <c r="U51" i="8" s="1"/>
  <c r="J50" i="8"/>
  <c r="X50" i="8"/>
  <c r="X51" i="8" s="1"/>
  <c r="W50" i="8"/>
  <c r="M50" i="8"/>
  <c r="L50" i="8"/>
  <c r="S50" i="8"/>
  <c r="E50" i="8"/>
  <c r="I50" i="8"/>
  <c r="K50" i="8"/>
  <c r="V50" i="8"/>
  <c r="Q50" i="8"/>
  <c r="O50" i="8"/>
  <c r="F50" i="8"/>
  <c r="H50" i="8"/>
  <c r="T50" i="8"/>
  <c r="G50" i="8"/>
  <c r="N50" i="8"/>
  <c r="Y50" i="8"/>
  <c r="P50" i="8"/>
  <c r="B43" i="8"/>
  <c r="U52" i="8" l="1"/>
  <c r="AA51" i="8"/>
  <c r="AA52" i="8"/>
  <c r="N52" i="8"/>
  <c r="N51" i="8"/>
  <c r="F52" i="8"/>
  <c r="F51" i="8"/>
  <c r="K52" i="8"/>
  <c r="K51" i="8"/>
  <c r="L52" i="8"/>
  <c r="L51" i="8"/>
  <c r="J52" i="8"/>
  <c r="J51" i="8"/>
  <c r="G52" i="8"/>
  <c r="G51" i="8"/>
  <c r="O52" i="8"/>
  <c r="O51" i="8"/>
  <c r="I52" i="8"/>
  <c r="I51" i="8"/>
  <c r="M52" i="8"/>
  <c r="M51" i="8"/>
  <c r="P52" i="8"/>
  <c r="P51" i="8"/>
  <c r="T52" i="8"/>
  <c r="T51" i="8"/>
  <c r="Q52" i="8"/>
  <c r="Q51" i="8"/>
  <c r="E52" i="8"/>
  <c r="E51" i="8"/>
  <c r="W52" i="8"/>
  <c r="W51" i="8"/>
  <c r="R52" i="8"/>
  <c r="R51" i="8"/>
  <c r="Y52" i="8"/>
  <c r="Y51" i="8"/>
  <c r="H52" i="8"/>
  <c r="H51" i="8"/>
  <c r="V52" i="8"/>
  <c r="V51" i="8"/>
  <c r="S52" i="8"/>
  <c r="S51" i="8"/>
  <c r="X52" i="8"/>
  <c r="C82" i="8"/>
  <c r="B86" i="8" s="1"/>
  <c r="M99" i="8" s="1"/>
  <c r="B58" i="8" a="1"/>
  <c r="B58" i="8" s="1"/>
  <c r="E46" i="8"/>
  <c r="D46" i="8"/>
  <c r="C46" i="8"/>
  <c r="B29" i="8"/>
  <c r="Z52" i="8" l="1"/>
  <c r="B30" i="8"/>
  <c r="A19" i="7"/>
  <c r="B32" i="8"/>
  <c r="B31" i="8"/>
  <c r="B46" i="8"/>
  <c r="B7" i="10"/>
  <c r="B9" i="10"/>
  <c r="B11" i="10"/>
  <c r="B2" i="3"/>
  <c r="B3" i="3"/>
  <c r="B4" i="3"/>
  <c r="B5" i="3"/>
  <c r="B6" i="3"/>
  <c r="B7" i="3"/>
  <c r="B8" i="3"/>
  <c r="B9" i="3"/>
  <c r="B10" i="3"/>
  <c r="B59" i="8" l="1" a="1"/>
  <c r="B59" i="8" s="1"/>
  <c r="B65" i="8" a="1"/>
  <c r="B65" i="8" s="1"/>
  <c r="B64" i="8" a="1"/>
  <c r="B64" i="8" s="1"/>
  <c r="B33" i="8"/>
  <c r="B61" i="8" l="1" a="1"/>
  <c r="B61" i="8" s="1"/>
  <c r="B62" i="8" a="1"/>
  <c r="B62" i="8" s="1"/>
  <c r="B34" i="8"/>
  <c r="A21" i="7" l="1"/>
  <c r="A23" i="7"/>
  <c r="B60" i="8" l="1" a="1"/>
  <c r="B60" i="8" s="1"/>
  <c r="B87" i="8" l="1"/>
  <c r="B88" i="8" l="1"/>
  <c r="D83" i="8"/>
  <c r="D81" i="8"/>
  <c r="D82" i="8"/>
  <c r="C126" i="8" l="1"/>
  <c r="B89" i="8"/>
  <c r="M102" i="8" s="1"/>
  <c r="M101" i="8"/>
  <c r="B63" i="8" a="1"/>
  <c r="B63" i="8" s="1"/>
  <c r="B74" i="8" l="1" a="1"/>
  <c r="B74" i="8" s="1"/>
  <c r="B93" i="8"/>
  <c r="M106" i="8" s="1"/>
  <c r="B90" i="8"/>
  <c r="A11" i="7"/>
  <c r="B76" i="8" l="1"/>
  <c r="E100" i="8"/>
  <c r="C15" i="10"/>
  <c r="E99" i="8"/>
  <c r="E102" i="8"/>
  <c r="B13" i="10"/>
  <c r="E101" i="8"/>
  <c r="A106" i="8" l="1"/>
  <c r="B109" i="8" s="1" a="1"/>
  <c r="B109" i="8" s="1"/>
  <c r="C13" i="10" l="1"/>
  <c r="M122" i="8"/>
  <c r="M103" i="8"/>
  <c r="B106" i="8" a="1"/>
  <c r="B106" i="8" s="1"/>
  <c r="M100" i="8" l="1"/>
  <c r="M119" i="8"/>
  <c r="A14" i="7" a="1"/>
  <c r="A14"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Andrew Alvin</author>
  </authors>
  <commentList>
    <comment ref="A50" authorId="0" shapeId="0" xr:uid="{336445FC-E78E-4A0F-B8CA-BA41E266E48F}">
      <text>
        <r>
          <rPr>
            <sz val="9"/>
            <color indexed="81"/>
            <rFont val="Tahoma"/>
            <family val="2"/>
          </rPr>
          <t>Changed formula from OFFSET() to INDIRECT() for compatibility with Excel 2016.</t>
        </r>
      </text>
    </comment>
    <comment ref="B71" authorId="0" shapeId="0" xr:uid="{E0909664-E013-4139-B6F2-994D82C0380A}">
      <text>
        <r>
          <rPr>
            <sz val="9"/>
            <color indexed="81"/>
            <rFont val="Tahoma"/>
            <family val="2"/>
          </rPr>
          <t>If there is no "ORIGINAL" column, just leave this as TRUE to reduce the number of changes that need to be made to dependent formulas.</t>
        </r>
      </text>
    </comment>
    <comment ref="C71" authorId="0" shapeId="0" xr:uid="{07875A3B-B7DD-402E-848B-35A538CB111F}">
      <text>
        <r>
          <rPr>
            <sz val="9"/>
            <color indexed="81"/>
            <rFont val="Tahoma"/>
            <family val="2"/>
          </rPr>
          <t>Set to TRUE if there is no "ORIGINAL" column.</t>
        </r>
      </text>
    </comment>
    <comment ref="B73" authorId="0" shapeId="0" xr:uid="{BFF8824A-8171-424F-8BEF-EC0697F4331B}">
      <text>
        <r>
          <rPr>
            <sz val="9"/>
            <color indexed="81"/>
            <rFont val="Tahoma"/>
            <family val="2"/>
          </rPr>
          <t>Set to FALSE to raise a formula error if the user achieves 100% accuracy despite this being theoretically impossible.</t>
        </r>
      </text>
    </comment>
    <comment ref="A76" authorId="0" shapeId="0" xr:uid="{A29421D4-8C59-4624-B014-EAA6CC924BA3}">
      <text>
        <r>
          <rPr>
            <b/>
            <sz val="9"/>
            <color indexed="81"/>
            <rFont val="Tahoma"/>
            <family val="2"/>
          </rPr>
          <t>Andrew Alvin:</t>
        </r>
        <r>
          <rPr>
            <sz val="9"/>
            <color indexed="81"/>
            <rFont val="Tahoma"/>
            <family val="2"/>
          </rPr>
          <t xml:space="preserve">
If "Legacy compatible" = FALSE, do not include help text for that error in the legacy report.</t>
        </r>
      </text>
    </comment>
    <comment ref="C125" authorId="0" shapeId="0" xr:uid="{03B7464D-671E-4534-A496-37E320D9F3D5}">
      <text>
        <r>
          <rPr>
            <b/>
            <sz val="9"/>
            <color indexed="81"/>
            <rFont val="Tahoma"/>
            <family val="2"/>
          </rPr>
          <t>Important: to ensure that this range dynamically follows the correct cells on shtActivity when rows/columns get deleted/added, include the "Activity!..." scope.</t>
        </r>
      </text>
    </comment>
    <comment ref="A131" authorId="0" shapeId="0" xr:uid="{6B56AA55-2EA8-430C-8680-C88FFBB97733}">
      <text>
        <r>
          <rPr>
            <sz val="9"/>
            <color indexed="81"/>
            <rFont val="Tahoma"/>
            <family val="2"/>
          </rPr>
          <t>Intended use: for pasting into the "AppliesToRange" column of tblCFPrototypes above.</t>
        </r>
      </text>
    </comment>
    <comment ref="A133" authorId="0" shapeId="0" xr:uid="{0B969F1D-965A-417D-9313-357AFC542EBB}">
      <text>
        <r>
          <rPr>
            <sz val="9"/>
            <color indexed="81"/>
            <rFont val="Tahoma"/>
            <family val="2"/>
          </rPr>
          <t>All range addresses should be both row- and column-locked. E.g. "$A$1", not "A1".</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<sst xmlns="http://schemas.openxmlformats.org/spreadsheetml/2006/main" count="9439" uniqueCount="3463">
  <si>
    <t>Name</t>
  </si>
  <si>
    <t>ErrNum</t>
  </si>
  <si>
    <t>HelpText</t>
  </si>
  <si>
    <t>Error</t>
  </si>
  <si>
    <t>A #SPILL! error indicates that a dynamic array formula is trying to expand into one or more non-blank cells.</t>
  </si>
  <si>
    <t>Your formula results in a division by zero.</t>
  </si>
  <si>
    <t>Your formula references a name or formula that does not exist. Check for typos.</t>
  </si>
  <si>
    <t>One common cause of the #NULL! error is the accidental use of a space instead of a colon in cell range commands, for example "A1 D4" instead of "A1:D4".</t>
  </si>
  <si>
    <t>#REF! most commonly occurs when a range or named value gets deleted. Formulas that were referencing that range or value will now contain #REF! instead.</t>
  </si>
  <si>
    <t>Your formula produces a complex or too-large number. Calculations that produce #NUM! include: SQRT(-1), 0 ^ 0, ASIN(1.01), 100 ^ 1000.</t>
  </si>
  <si>
    <t>#VALUE! is a general error that occurs when there a formula is invalid in some way: for example, the application of mathematical operators to non-numeric values.</t>
  </si>
  <si>
    <t>A #CALC! error often indicates that a dynamic array formula has returned no results.</t>
  </si>
  <si>
    <t>#N/A most commonly occurs when a lookup function such as VLOOKUP() or MATCH() returns no matches, or when a function is applied to a range containing #N/A.</t>
  </si>
  <si>
    <t>Formula</t>
  </si>
  <si>
    <t>Output</t>
  </si>
  <si>
    <t>Award earned</t>
  </si>
  <si>
    <t>Gold</t>
  </si>
  <si>
    <t>Bronze</t>
  </si>
  <si>
    <t>Silver</t>
  </si>
  <si>
    <t>Award</t>
  </si>
  <si>
    <t>Index</t>
  </si>
  <si>
    <t>Earned</t>
  </si>
  <si>
    <t>Highest award earned</t>
  </si>
  <si>
    <t>Fraction correct required</t>
  </si>
  <si>
    <t>nColsNonUnique</t>
  </si>
  <si>
    <t>None</t>
  </si>
  <si>
    <t>Grading</t>
  </si>
  <si>
    <t>Number correct</t>
  </si>
  <si>
    <t>BRONZE</t>
  </si>
  <si>
    <t>SILVER</t>
  </si>
  <si>
    <t>GOLD</t>
  </si>
  <si>
    <t>Keep going! Your award will appear here when you reach:</t>
  </si>
  <si>
    <t>Progress to next award</t>
  </si>
  <si>
    <t>nextRewardProgress</t>
  </si>
  <si>
    <t>nextRewardProgThresh</t>
  </si>
  <si>
    <t>nameClean</t>
  </si>
  <si>
    <t>Awarded to</t>
  </si>
  <si>
    <t>Non-unique formulatext</t>
  </si>
  <si>
    <t>Detecting forbidden formulatext content in tblMobileNumbers</t>
  </si>
  <si>
    <t>Table names</t>
  </si>
  <si>
    <t>dataTblName</t>
  </si>
  <si>
    <t>First row formulatext</t>
  </si>
  <si>
    <t>Forbidden cell references</t>
  </si>
  <si>
    <t>nColsRefersToOriginalTblRef</t>
  </si>
  <si>
    <t>nColsRefersToOriginalCellRef</t>
  </si>
  <si>
    <t>nColsNonFormula</t>
  </si>
  <si>
    <t>Non-blank non-formula cells (ignoring the raw data cols)</t>
  </si>
  <si>
    <t>anyFormulaErrors</t>
  </si>
  <si>
    <t>Key</t>
  </si>
  <si>
    <t>VBA</t>
  </si>
  <si>
    <t>Metadata</t>
  </si>
  <si>
    <t>activityNumber</t>
  </si>
  <si>
    <t>X.X</t>
  </si>
  <si>
    <t>activityName</t>
  </si>
  <si>
    <t>Row</t>
  </si>
  <si>
    <t>origColReferencesOrigTbl</t>
  </si>
  <si>
    <t>fracCorrectFormatted</t>
  </si>
  <si>
    <t>fracCorrect</t>
  </si>
  <si>
    <t>For charts</t>
  </si>
  <si>
    <t>X</t>
  </si>
  <si>
    <t>▼</t>
  </si>
  <si>
    <t>Data label</t>
  </si>
  <si>
    <t>abbvThresh</t>
  </si>
  <si>
    <t>Bar width</t>
  </si>
  <si>
    <t>nColsRefersToOriginalCol</t>
  </si>
  <si>
    <t>nColsRefersToOriginalTbl</t>
  </si>
  <si>
    <t>Reference to column "ORIGINAL" (ignoring the match col)</t>
  </si>
  <si>
    <t>Reference to column "ORIGINAL" by cell reference (ignoring the match col)</t>
  </si>
  <si>
    <t>matchColOK</t>
  </si>
  <si>
    <t>ID</t>
  </si>
  <si>
    <t>=LEFT(text, [num_chars])</t>
  </si>
  <si>
    <t>=RIGHT(text, [num_chars])</t>
  </si>
  <si>
    <t>=MID(text, start_num, num_chars)</t>
  </si>
  <si>
    <t>=LEN(text)</t>
  </si>
  <si>
    <t>=TRIM(text)</t>
  </si>
  <si>
    <t>=SUBSTITUTE(text, old_text, new_text, [instance_num])</t>
  </si>
  <si>
    <t>Memory aid:</t>
  </si>
  <si>
    <t>text</t>
  </si>
  <si>
    <t>old_text</t>
  </si>
  <si>
    <t>new_text</t>
  </si>
  <si>
    <t>Haystack</t>
  </si>
  <si>
    <t>Needle</t>
  </si>
  <si>
    <t>What to replace needle with</t>
  </si>
  <si>
    <t>The following formulas are available only in Excel 365 or Excel 2021+.</t>
  </si>
  <si>
    <t>You are likely to need some of the following formulas during this activity.</t>
  </si>
  <si>
    <t>Formulas that might be of interest if you are trying a creative approach.</t>
  </si>
  <si>
    <t>=TEXTJOIN(delimiter, ignore_empty, text1, ...)</t>
  </si>
  <si>
    <t>a</t>
  </si>
  <si>
    <t>b</t>
  </si>
  <si>
    <t>c</t>
  </si>
  <si>
    <t>Input array</t>
  </si>
  <si>
    <t>=SEQUENCE(rows, columns, [start], [step])</t>
  </si>
  <si>
    <t>nameSlicePos</t>
  </si>
  <si>
    <t>nameSpacePos1</t>
  </si>
  <si>
    <t>nameSpacePos2</t>
  </si>
  <si>
    <t>nameMultiline</t>
  </si>
  <si>
    <t>Length</t>
  </si>
  <si>
    <t>nameMultilineThresh</t>
  </si>
  <si>
    <t>nameMultilineXLThresh</t>
  </si>
  <si>
    <t>maxNameLength</t>
  </si>
  <si>
    <t>Contains INDIRECT</t>
  </si>
  <si>
    <t>nColsUseIndirect</t>
  </si>
  <si>
    <t>nColsUseOffset</t>
  </si>
  <si>
    <t>Contains OFFSET</t>
  </si>
  <si>
    <t>=LET(name1, name_value1, calculation_or_name2, [name_value2, ...)</t>
  </si>
  <si>
    <t/>
  </si>
  <si>
    <t>Excel version inference</t>
  </si>
  <si>
    <t>fnIfsWorking</t>
  </si>
  <si>
    <t>fnTextjoinWorking</t>
  </si>
  <si>
    <t>fnLetWorking</t>
  </si>
  <si>
    <t>fnUniqueWorking</t>
  </si>
  <si>
    <t>fnFormulatextWorking</t>
  </si>
  <si>
    <t>isErr_nonBlankNonFormula</t>
  </si>
  <si>
    <t>fnSequenceWorking</t>
  </si>
  <si>
    <t>DEBUG</t>
  </si>
  <si>
    <t>Locked columns</t>
  </si>
  <si>
    <t>Column name</t>
  </si>
  <si>
    <t>lockedColsDataTblName</t>
  </si>
  <si>
    <t>This version</t>
  </si>
  <si>
    <t>Excel 2013</t>
  </si>
  <si>
    <t>Excel 2016</t>
  </si>
  <si>
    <t>Microsoft Office Professional Plus 2016</t>
  </si>
  <si>
    <t>Excel 2019</t>
  </si>
  <si>
    <t>Excel 365</t>
  </si>
  <si>
    <t>Excel 2021</t>
  </si>
  <si>
    <t>Legacy compatible</t>
  </si>
  <si>
    <t>legacyErrorReport</t>
  </si>
  <si>
    <t>Reference to column "ORIGINAL" by any method</t>
  </si>
  <si>
    <t>Sheet names and protection status</t>
  </si>
  <si>
    <t>Sheet name</t>
  </si>
  <si>
    <t>Test cell value</t>
  </si>
  <si>
    <t>Protected</t>
  </si>
  <si>
    <t>allReqdFnsWorking</t>
  </si>
  <si>
    <t>=IF(logical_test, [value_if_true], [value_if_false])</t>
  </si>
  <si>
    <t>Sex</t>
  </si>
  <si>
    <t>Allen, Miss. Elisabeth Walton</t>
  </si>
  <si>
    <t>female</t>
  </si>
  <si>
    <t>Allison, Master. Hudson Trevor</t>
  </si>
  <si>
    <t>male</t>
  </si>
  <si>
    <t>Allison, Miss. Helen Loraine</t>
  </si>
  <si>
    <t>Allison, Mr. Hudson Joshua Creighton</t>
  </si>
  <si>
    <t>Allison, Mrs. Hudson J C (Bessie Waldo Daniels)</t>
  </si>
  <si>
    <t>Anderson, Mr. Harry</t>
  </si>
  <si>
    <t>Andrews, Miss. Kornelia Theodosia</t>
  </si>
  <si>
    <t>Andrews, Mr. Thomas Jr</t>
  </si>
  <si>
    <t>Appleton, Mrs. Edward Dale (Charlotte Lamson)</t>
  </si>
  <si>
    <t>Artagaveytia, Mr. Ramon</t>
  </si>
  <si>
    <t>Astor, Col. John Jacob</t>
  </si>
  <si>
    <t>Astor, Mrs. John Jacob (Madeleine Talmadge Force)</t>
  </si>
  <si>
    <t>Aubart, Mme. Leontine Pauline</t>
  </si>
  <si>
    <t>Barber, Miss. Ellen 'Nellie'</t>
  </si>
  <si>
    <t>Barkworth, Mr. Algernon Henry Wilson</t>
  </si>
  <si>
    <t>Baumann, Mr. John D</t>
  </si>
  <si>
    <t>Baxter, Mr. Quigg Edmond</t>
  </si>
  <si>
    <t>Baxter, Mrs. James (Helene DeLaudeniere Chaput)</t>
  </si>
  <si>
    <t>Bazzani, Miss. Albina</t>
  </si>
  <si>
    <t>Beattie, Mr. Thomson</t>
  </si>
  <si>
    <t>Beckwith, Mr. Richard Leonard</t>
  </si>
  <si>
    <t>Beckwith, Mrs. Richard Leonard (Sallie Monypeny)</t>
  </si>
  <si>
    <t>Behr, Mr. Karl Howell</t>
  </si>
  <si>
    <t>Bidois, Miss. Rosalie</t>
  </si>
  <si>
    <t>Bird, Miss. Ellen</t>
  </si>
  <si>
    <t>Birnbaum, Mr. Jakob</t>
  </si>
  <si>
    <t>Bishop, Mr. Dickinson H</t>
  </si>
  <si>
    <t>Bishop, Mrs. Dickinson H (Helen Walton)</t>
  </si>
  <si>
    <t>Bissette, Miss. Amelia</t>
  </si>
  <si>
    <t>Bjornstrom-Steffansson, Mr. Mauritz Hakan</t>
  </si>
  <si>
    <t>Blackwell, Mr. Stephen Weart</t>
  </si>
  <si>
    <t>Blank, Mr. Henry</t>
  </si>
  <si>
    <t>Bonnell, Miss. Caroline</t>
  </si>
  <si>
    <t>Bonnell, Miss. Elizabeth</t>
  </si>
  <si>
    <t>Borebank, Mr. John James</t>
  </si>
  <si>
    <t>Bowen, Miss. Grace Scott</t>
  </si>
  <si>
    <t>Bowerman, Miss. Elsie Edith</t>
  </si>
  <si>
    <t>Bradley, Mr. George ('George Arthur Brayton')</t>
  </si>
  <si>
    <t>Brady, Mr. John Bertram</t>
  </si>
  <si>
    <t>Brandeis, Mr. Emil</t>
  </si>
  <si>
    <t>Brewe, Dr. Arthur Jackson</t>
  </si>
  <si>
    <t>Brown, Mrs. James Joseph (Margaret Tobin)</t>
  </si>
  <si>
    <t>Brown, Mrs. John Murray (Caroline Lane Lamson)</t>
  </si>
  <si>
    <t>Bucknell, Mrs. William Robert (Emma Eliza Ward)</t>
  </si>
  <si>
    <t>Burns, Miss. Elizabeth Margaret</t>
  </si>
  <si>
    <t>Butt, Major. Archibald Willingham</t>
  </si>
  <si>
    <t>Cairns, Mr. Alexander</t>
  </si>
  <si>
    <t>Calderhead, Mr. Edward Pennington</t>
  </si>
  <si>
    <t>Candee, Mrs. Edward (Helen Churchill Hungerford)</t>
  </si>
  <si>
    <t>Cardeza, Mr. Thomas Drake Martinez</t>
  </si>
  <si>
    <t>Cardeza, Mrs. James Warburton Martinez (Charlotte Wardle Drake)</t>
  </si>
  <si>
    <t>Carlsson, Mr. Frans Olof</t>
  </si>
  <si>
    <t>Carrau, Mr. Francisco M</t>
  </si>
  <si>
    <t>Carrau, Mr. Jose Pedro</t>
  </si>
  <si>
    <t>Carter, Master. William Thornton II</t>
  </si>
  <si>
    <t>Carter, Miss. Lucile Polk</t>
  </si>
  <si>
    <t>Carter, Mr. William Ernest</t>
  </si>
  <si>
    <t>Carter, Mrs. William Ernest (Lucile Polk)</t>
  </si>
  <si>
    <t>Case, Mr. Howard Brown</t>
  </si>
  <si>
    <t>Cassebeer, Mrs. Henry Arthur Jr (Eleanor Genevieve Fosdick)</t>
  </si>
  <si>
    <t>Cavendish, Mr. Tyrell William</t>
  </si>
  <si>
    <t>Cavendish, Mrs. Tyrell William (Julia Florence Siegel)</t>
  </si>
  <si>
    <t>Chaffee, Mr. Herbert Fuller</t>
  </si>
  <si>
    <t>Chaffee, Mrs. Herbert Fuller (Carrie Constance Toogood)</t>
  </si>
  <si>
    <t>Chambers, Mr. Norman Campbell</t>
  </si>
  <si>
    <t>Chambers, Mrs. Norman Campbell (Bertha Griggs)</t>
  </si>
  <si>
    <t>Chaudanson, Miss. Victorine</t>
  </si>
  <si>
    <t>Cherry, Miss. Gladys</t>
  </si>
  <si>
    <t>Chevre, Mr. Paul Romaine</t>
  </si>
  <si>
    <t>Chibnall, Mrs. (Edith Martha Bowerman)</t>
  </si>
  <si>
    <t>Chisholm, Mr. Roderick Robert Crispin</t>
  </si>
  <si>
    <t>Clark, Mr. Walter Miller</t>
  </si>
  <si>
    <t>Clark, Mrs. Walter Miller (Virginia McDowell)</t>
  </si>
  <si>
    <t>Cleaver, Miss. Alice</t>
  </si>
  <si>
    <t>Clifford, Mr. George Quincy</t>
  </si>
  <si>
    <t>Colley, Mr. Edward Pomeroy</t>
  </si>
  <si>
    <t>Compton, Miss. Sara Rebecca</t>
  </si>
  <si>
    <t>Compton, Mr. Alexander Taylor Jr</t>
  </si>
  <si>
    <t>Compton, Mrs. Alexander Taylor (Mary Eliza Ingersoll)</t>
  </si>
  <si>
    <t>Cornell, Mrs. Robert Clifford (Malvina Helen Lamson)</t>
  </si>
  <si>
    <t>Crafton, Mr. John Bertram</t>
  </si>
  <si>
    <t>Crosby, Capt. Edward Gifford</t>
  </si>
  <si>
    <t>Crosby, Miss. Harriet R</t>
  </si>
  <si>
    <t>Crosby, Mrs. Edward Gifford (Catherine Elizabeth Halstead)</t>
  </si>
  <si>
    <t>Cumings, Mr. John Bradley</t>
  </si>
  <si>
    <t>Cumings, Mrs. John Bradley (Florence Briggs Thayer)</t>
  </si>
  <si>
    <t>Daly, Mr. Peter Denis</t>
  </si>
  <si>
    <t>Daniel, Mr. Robert Williams</t>
  </si>
  <si>
    <t>Daniels, Miss. Sarah</t>
  </si>
  <si>
    <t>Davidson, Mr. Thornton</t>
  </si>
  <si>
    <t>Davidson, Mrs. Thornton (Orian Hays)</t>
  </si>
  <si>
    <t>Dick, Mr. Albert Adrian</t>
  </si>
  <si>
    <t>Dick, Mrs. Albert Adrian (Vera Gillespie)</t>
  </si>
  <si>
    <t>Dodge, Dr. Washington</t>
  </si>
  <si>
    <t>Dodge, Master. Washington</t>
  </si>
  <si>
    <t>Dodge, Mrs. Washington (Ruth Vidaver)</t>
  </si>
  <si>
    <t>Douglas, Mr. Walter Donald</t>
  </si>
  <si>
    <t>Douglas, Mrs. Frederick Charles (Mary Helene Baxter)</t>
  </si>
  <si>
    <t>Douglas, Mrs. Walter Donald (Mahala Dutton)</t>
  </si>
  <si>
    <t>Duff Gordon, Lady. (Lucille Christiana Sutherland) ('Mrs Morgan')</t>
  </si>
  <si>
    <t>Duff Gordon, Sir. Cosmo Edmund ('Mr Morgan')</t>
  </si>
  <si>
    <t>Dulles, Mr. William Crothers</t>
  </si>
  <si>
    <t>Earnshaw, Mrs. Boulton (Olive Potter)</t>
  </si>
  <si>
    <t>Endres, Miss. Caroline Louise</t>
  </si>
  <si>
    <t>Eustis, Miss. Elizabeth Mussey</t>
  </si>
  <si>
    <t>Evans, Miss. Edith Corse</t>
  </si>
  <si>
    <t>Farthing, Mr. John</t>
  </si>
  <si>
    <t>Flegenheim, Mrs. Alfred (Antoinette)</t>
  </si>
  <si>
    <t>Fleming, Miss. Margaret</t>
  </si>
  <si>
    <t>Flynn, Mr. John Irwin ('Irving')</t>
  </si>
  <si>
    <t>Foreman, Mr. Benjamin Laventall</t>
  </si>
  <si>
    <t>Fortune, Miss. Alice Elizabeth</t>
  </si>
  <si>
    <t>Fortune, Miss. Ethel Flora</t>
  </si>
  <si>
    <t>Fortune, Miss. Mabel Helen</t>
  </si>
  <si>
    <t>Fortune, Mr. Charles Alexander</t>
  </si>
  <si>
    <t>Fortune, Mr. Mark</t>
  </si>
  <si>
    <t>Fortune, Mrs. Mark (Mary McDougald)</t>
  </si>
  <si>
    <t>Francatelli, Miss. Laura Mabel</t>
  </si>
  <si>
    <t>Franklin, Mr. Thomas Parham</t>
  </si>
  <si>
    <t>Frauenthal, Dr. Henry William</t>
  </si>
  <si>
    <t>Frauenthal, Mr. Isaac Gerald</t>
  </si>
  <si>
    <t>Frauenthal, Mrs. Henry William (Clara Heinsheimer)</t>
  </si>
  <si>
    <t>Frolicher, Miss. Hedwig Margaritha</t>
  </si>
  <si>
    <t>Frolicher-Stehli, Mr. Maxmillian</t>
  </si>
  <si>
    <t>Frolicher-Stehli, Mrs. Maxmillian (Margaretha Emerentia Stehli)</t>
  </si>
  <si>
    <t>Fry, Mr. Richard</t>
  </si>
  <si>
    <t>Futrelle, Mr. Jacques Heath</t>
  </si>
  <si>
    <t>Futrelle, Mrs. Jacques Heath (Lily May Peel)</t>
  </si>
  <si>
    <t>Gee, Mr. Arthur H</t>
  </si>
  <si>
    <t>Geiger, Miss. Amalie</t>
  </si>
  <si>
    <t>Gibson, Miss. Dorothy Winifred</t>
  </si>
  <si>
    <t>Gibson, Mrs. Leonard (Pauline C Boeson)</t>
  </si>
  <si>
    <t>Giglio, Mr. Victor</t>
  </si>
  <si>
    <t>Goldenberg, Mr. Samuel L</t>
  </si>
  <si>
    <t>Goldenberg, Mrs. Samuel L (Edwiga Grabowska)</t>
  </si>
  <si>
    <t>Goldschmidt, Mr. George B</t>
  </si>
  <si>
    <t>Gracie, Col. Archibald IV</t>
  </si>
  <si>
    <t>Graham, Miss. Margaret Edith</t>
  </si>
  <si>
    <t>Graham, Mr. George Edward</t>
  </si>
  <si>
    <t>Graham, Mrs. William Thompson (Edith Junkins)</t>
  </si>
  <si>
    <t>Greenfield, Mr. William Bertram</t>
  </si>
  <si>
    <t>Greenfield, Mrs. Leo David (Blanche Strouse)</t>
  </si>
  <si>
    <t>Guggenheim, Mr. Benjamin</t>
  </si>
  <si>
    <t>Harder, Mr. George Achilles</t>
  </si>
  <si>
    <t>Harder, Mrs. George Achilles (Dorothy Annan)</t>
  </si>
  <si>
    <t>Harper, Mr. Henry Sleeper</t>
  </si>
  <si>
    <t>Harper, Mrs. Henry Sleeper (Myna Haxtun)</t>
  </si>
  <si>
    <t>Harrington, Mr. Charles H</t>
  </si>
  <si>
    <t>Harris, Mr. Henry Birkhardt</t>
  </si>
  <si>
    <t>Harris, Mrs. Henry Birkhardt (Irene Wallach)</t>
  </si>
  <si>
    <t>Harrison, Mr. William</t>
  </si>
  <si>
    <t>Hassab, Mr. Hammad</t>
  </si>
  <si>
    <t>Hawksford, Mr. Walter James</t>
  </si>
  <si>
    <t>Hays, Miss. Margaret Bechstein</t>
  </si>
  <si>
    <t>Hays, Mr. Charles Melville</t>
  </si>
  <si>
    <t>Hays, Mrs. Charles Melville (Clara Jennings Gregg)</t>
  </si>
  <si>
    <t>Head, Mr. Christopher</t>
  </si>
  <si>
    <t>Hilliard, Mr. Herbert Henry</t>
  </si>
  <si>
    <t>Hipkins, Mr. William Edward</t>
  </si>
  <si>
    <t>Hippach, Miss. Jean Gertrude</t>
  </si>
  <si>
    <t>Hippach, Mrs. Louis Albert (Ida Sophia Fischer)</t>
  </si>
  <si>
    <t>Hogeboom, Mrs. John C (Anna Andrews)</t>
  </si>
  <si>
    <t>Holverson, Mr. Alexander Oskar</t>
  </si>
  <si>
    <t>Holverson, Mrs. Alexander Oskar (Mary Aline Towner)</t>
  </si>
  <si>
    <t>Homer, Mr. Harry ('Mr E Haven')</t>
  </si>
  <si>
    <t>Hoyt, Mr. Frederick Maxfield</t>
  </si>
  <si>
    <t>Hoyt, Mr. William Fisher</t>
  </si>
  <si>
    <t>Hoyt, Mrs. Frederick Maxfield (Jane Anne Forby)</t>
  </si>
  <si>
    <t>Icard, Miss. Amelie</t>
  </si>
  <si>
    <t>Isham, Miss. Ann Elizabeth</t>
  </si>
  <si>
    <t>Ismay, Mr. Joseph Bruce</t>
  </si>
  <si>
    <t>Jones, Mr. Charles Cresson</t>
  </si>
  <si>
    <t>Julian, Mr. Henry Forbes</t>
  </si>
  <si>
    <t>Keeping, Mr. Edwin</t>
  </si>
  <si>
    <t>Kent, Mr. Edward Austin</t>
  </si>
  <si>
    <t>Kenyon, Mr. Frederick R</t>
  </si>
  <si>
    <t>Kenyon, Mrs. Frederick R (Marion)</t>
  </si>
  <si>
    <t>Kimball, Mr. Edwin Nelson Jr</t>
  </si>
  <si>
    <t>Kimball, Mrs. Edwin Nelson Jr (Gertrude Parsons)</t>
  </si>
  <si>
    <t>Klaber, Mr. Herman</t>
  </si>
  <si>
    <t>Kreuchen, Miss. Emilie</t>
  </si>
  <si>
    <t>Leader, Dr. Alice (Farnham)</t>
  </si>
  <si>
    <t>LeRoy, Miss. Bertha</t>
  </si>
  <si>
    <t>Lesurer, Mr. Gustave J</t>
  </si>
  <si>
    <t>Lewy, Mr. Ervin G</t>
  </si>
  <si>
    <t>Lindeberg-Lind, Mr. Erik Gustaf ('Mr Edward Lingrey')</t>
  </si>
  <si>
    <t>Lindstrom, Mrs. Carl Johan (Sigrid Posse)</t>
  </si>
  <si>
    <t>Lines, Miss. Mary Conover</t>
  </si>
  <si>
    <t>Lines, Mrs. Ernest H (Elizabeth Lindsey James)</t>
  </si>
  <si>
    <t>Long, Mr. Milton Clyde</t>
  </si>
  <si>
    <t>Longley, Miss. Gretchen Fiske</t>
  </si>
  <si>
    <t>Loring, Mr. Joseph Holland</t>
  </si>
  <si>
    <t>Lurette, Miss. Elise</t>
  </si>
  <si>
    <t>Madill, Miss. Georgette Alexandra</t>
  </si>
  <si>
    <t>Maguire, Mr. John Edward</t>
  </si>
  <si>
    <t>Maioni, Miss. Roberta</t>
  </si>
  <si>
    <t>Marechal, Mr. Pierre</t>
  </si>
  <si>
    <t>Marvin, Mr. Daniel Warner</t>
  </si>
  <si>
    <t>Marvin, Mrs. Daniel Warner (Mary Graham Carmichael Farquarson)</t>
  </si>
  <si>
    <t>Mayne, Mlle. Berthe Antonine ('Mrs de Villiers')</t>
  </si>
  <si>
    <t>McCaffry, Mr. Thomas Francis</t>
  </si>
  <si>
    <t>McCarthy, Mr. Timothy J</t>
  </si>
  <si>
    <t>McGough, Mr. James Robert</t>
  </si>
  <si>
    <t>Meyer, Mr. Edgar Joseph</t>
  </si>
  <si>
    <t>Meyer, Mrs. Edgar Joseph (Leila Saks)</t>
  </si>
  <si>
    <t>Millet, Mr. Francis Davis</t>
  </si>
  <si>
    <t>Minahan, Dr. William Edward</t>
  </si>
  <si>
    <t>Minahan, Miss. Daisy E</t>
  </si>
  <si>
    <t>Minahan, Mrs. William Edward (Lillian E Thorpe)</t>
  </si>
  <si>
    <t>Mock, Mr. Philipp Edmund</t>
  </si>
  <si>
    <t>Molson, Mr. Harry Markland</t>
  </si>
  <si>
    <t>Moore, Mr. Clarence Bloomfield</t>
  </si>
  <si>
    <t>Natsch, Mr. Charles H</t>
  </si>
  <si>
    <t>Newell, Miss. Madeleine</t>
  </si>
  <si>
    <t>Newell, Miss. Marjorie</t>
  </si>
  <si>
    <t>Newell, Mr. Arthur Webster</t>
  </si>
  <si>
    <t>Newsom, Miss. Helen Monypeny</t>
  </si>
  <si>
    <t>Nicholson, Mr. Arthur Ernest</t>
  </si>
  <si>
    <t>Oliva y Ocana, Dona. Fermina</t>
  </si>
  <si>
    <t>Omont, Mr. Alfred Fernand</t>
  </si>
  <si>
    <t>Ostby, Miss. Helene Ragnhild</t>
  </si>
  <si>
    <t>Ostby, Mr. Engelhart Cornelius</t>
  </si>
  <si>
    <t>Ovies y Rodriguez, Mr. Servando</t>
  </si>
  <si>
    <t>Parr, Mr. William Henry Marsh</t>
  </si>
  <si>
    <t>Partner, Mr. Austen</t>
  </si>
  <si>
    <t>Payne, Mr. Vivian Ponsonby</t>
  </si>
  <si>
    <t>Pears, Mr. Thomas Clinton</t>
  </si>
  <si>
    <t>Pears, Mrs. Thomas (Edith Wearne)</t>
  </si>
  <si>
    <t>Penasco y Castellana, Mr. Victor de Satode</t>
  </si>
  <si>
    <t>Penasco y Castellana, Mrs. Victor de Satode (Maria Josefa Perez de Soto y Vallejo)</t>
  </si>
  <si>
    <t>Perreault, Miss. Anne</t>
  </si>
  <si>
    <t>Peuchen, Major. Arthur Godfrey</t>
  </si>
  <si>
    <t>Porter, Mr. Walter Chamberlain</t>
  </si>
  <si>
    <t>Potter, Mrs. Thomas Jr (Lily Alexenia Wilson)</t>
  </si>
  <si>
    <t>Reuchlin, Jonkheer. John George</t>
  </si>
  <si>
    <t>Rheims, Mr. George Alexander Lucien</t>
  </si>
  <si>
    <t>Ringhini, Mr. Sante</t>
  </si>
  <si>
    <t>Robbins, Mr. Victor</t>
  </si>
  <si>
    <t>Robert, Mrs. Edward Scott (Elisabeth Walton McMillan)</t>
  </si>
  <si>
    <t>Roebling, Mr. Washington Augustus II</t>
  </si>
  <si>
    <t>Romaine, Mr. Charles Hallace ('Mr C Rolmane')</t>
  </si>
  <si>
    <t>Rood, Mr. Hugh Roscoe</t>
  </si>
  <si>
    <t>Rosenbaum, Miss. Edith Louise</t>
  </si>
  <si>
    <t>Rosenshine, Mr. George ('Mr George Thorne')</t>
  </si>
  <si>
    <t>Ross, Mr. John Hugo</t>
  </si>
  <si>
    <t>Rothes, the Countess. of (Lucy Noel Martha Dyer-Edwards)</t>
  </si>
  <si>
    <t>Rothschild, Mr. Martin</t>
  </si>
  <si>
    <t>Rothschild, Mrs. Martin (Elizabeth L. Barrett)</t>
  </si>
  <si>
    <t>Rowe, Mr. Alfred G</t>
  </si>
  <si>
    <t>Ryerson, Master. John Borie</t>
  </si>
  <si>
    <t>Ryerson, Miss. Emily Borie</t>
  </si>
  <si>
    <t>Ryerson, Miss. Susan Parker 'Suzette'</t>
  </si>
  <si>
    <t>Ryerson, Mr. Arthur Larned</t>
  </si>
  <si>
    <t>Ryerson, Mrs. Arthur Larned (Emily Maria Borie)</t>
  </si>
  <si>
    <t>Saalfeld, Mr. Adolphe</t>
  </si>
  <si>
    <t>Sagesser, Mlle. Emma</t>
  </si>
  <si>
    <t>Salomon, Mr. Abraham L</t>
  </si>
  <si>
    <t>Schabert, Mrs. Paul (Emma Mock)</t>
  </si>
  <si>
    <t>Serepeca, Miss. Augusta</t>
  </si>
  <si>
    <t>Seward, Mr. Frederic Kimber</t>
  </si>
  <si>
    <t>Shutes, Miss. Elizabeth W</t>
  </si>
  <si>
    <t>Silverthorne, Mr. Spencer Victor</t>
  </si>
  <si>
    <t>Silvey, Mr. William Baird</t>
  </si>
  <si>
    <t>Silvey, Mrs. William Baird (Alice Munger)</t>
  </si>
  <si>
    <t>Simonius-Blumer, Col. Oberst Alfons</t>
  </si>
  <si>
    <t>Sloper, Mr. William Thompson</t>
  </si>
  <si>
    <t>Smart, Mr. John Montgomery</t>
  </si>
  <si>
    <t>Smith, Mr. James Clinch</t>
  </si>
  <si>
    <t>Smith, Mr. Lucien Philip</t>
  </si>
  <si>
    <t>Smith, Mr. Richard William</t>
  </si>
  <si>
    <t>Smith, Mrs. Lucien Philip (Mary Eloise Hughes)</t>
  </si>
  <si>
    <t>Snyder, Mr. John Pillsbury</t>
  </si>
  <si>
    <t>Snyder, Mrs. John Pillsbury (Nelle Stevenson)</t>
  </si>
  <si>
    <t>Spedden, Master. Robert Douglas</t>
  </si>
  <si>
    <t>Spedden, Mr. Frederic Oakley</t>
  </si>
  <si>
    <t>Spedden, Mrs. Frederic Oakley (Margaretta Corning Stone)</t>
  </si>
  <si>
    <t>Spencer, Mr. William Augustus</t>
  </si>
  <si>
    <t>Spencer, Mrs. William Augustus (Marie Eugenie)</t>
  </si>
  <si>
    <t>Stahelin-Maeglin, Dr. Max</t>
  </si>
  <si>
    <t>Stead, Mr. William Thomas</t>
  </si>
  <si>
    <t>Stengel, Mr. Charles Emil Henry</t>
  </si>
  <si>
    <t>Stengel, Mrs. Charles Emil Henry (Annie May Morris)</t>
  </si>
  <si>
    <t>Stephenson, Mrs. Walter Bertram (Martha Eustis)</t>
  </si>
  <si>
    <t>Stewart, Mr. Albert A</t>
  </si>
  <si>
    <t>Stone, Mrs. George Nelson (Martha Evelyn)</t>
  </si>
  <si>
    <t>Straus, Mr. Isidor</t>
  </si>
  <si>
    <t>Straus, Mrs. Isidor (Rosalie Ida Blun)</t>
  </si>
  <si>
    <t>Sutton, Mr. Frederick</t>
  </si>
  <si>
    <t>Swift, Mrs. Frederick Joel (Margaret Welles Barron)</t>
  </si>
  <si>
    <t>Taussig, Miss. Ruth</t>
  </si>
  <si>
    <t>Taussig, Mr. Emil</t>
  </si>
  <si>
    <t>Taussig, Mrs. Emil (Tillie Mandelbaum)</t>
  </si>
  <si>
    <t>Taylor, Mr. Elmer Zebley</t>
  </si>
  <si>
    <t>Taylor, Mrs. Elmer Zebley (Juliet Cummins Wright)</t>
  </si>
  <si>
    <t>Thayer, Mr. John Borland</t>
  </si>
  <si>
    <t>Thayer, Mr. John Borland Jr</t>
  </si>
  <si>
    <t>Thayer, Mrs. John Borland (Marian Longstreth Morris)</t>
  </si>
  <si>
    <t>Thorne, Mrs. Gertrude Maybelle</t>
  </si>
  <si>
    <t>Tucker, Mr. Gilbert Milligan Jr</t>
  </si>
  <si>
    <t>Uruchurtu, Don. Manuel E</t>
  </si>
  <si>
    <t>Van der hoef, Mr. Wyckoff</t>
  </si>
  <si>
    <t>Walker, Mr. William Anderson</t>
  </si>
  <si>
    <t>Ward, Miss. Anna</t>
  </si>
  <si>
    <t>Warren, Mr. Frank Manley</t>
  </si>
  <si>
    <t>Warren, Mrs. Frank Manley (Anna Sophia Atkinson)</t>
  </si>
  <si>
    <t>Weir, Col. John</t>
  </si>
  <si>
    <t>White, Mr. Percival Wayland</t>
  </si>
  <si>
    <t>White, Mr. Richard Frasar</t>
  </si>
  <si>
    <t>White, Mrs. John Stuart (Ella Holmes)</t>
  </si>
  <si>
    <t>Wick, Miss. Mary Natalie</t>
  </si>
  <si>
    <t>Wick, Mr. George Dennick</t>
  </si>
  <si>
    <t>Wick, Mrs. George Dennick (Mary Hitchcock)</t>
  </si>
  <si>
    <t>Widener, Mr. George Dunton</t>
  </si>
  <si>
    <t>Widener, Mr. Harry Elkins</t>
  </si>
  <si>
    <t>Widener, Mrs. George Dunton (Eleanor Elkins)</t>
  </si>
  <si>
    <t>Willard, Miss. Constance</t>
  </si>
  <si>
    <t>Williams, Mr. Charles Duane</t>
  </si>
  <si>
    <t>Williams, Mr. Richard Norris II</t>
  </si>
  <si>
    <t>Williams-Lambert, Mr. Fletcher Fellows</t>
  </si>
  <si>
    <t>Wilson, Miss. Helen Alice</t>
  </si>
  <si>
    <t>Woolner, Mr. Hugh</t>
  </si>
  <si>
    <t>Wright, Mr. George</t>
  </si>
  <si>
    <t>Young, Miss. Marie Grice</t>
  </si>
  <si>
    <t>Abelson, Mr. Samuel</t>
  </si>
  <si>
    <t>Abelson, Mrs. Samuel (Hannah Wizosky)</t>
  </si>
  <si>
    <t>Aldworth, Mr. Charles Augustus</t>
  </si>
  <si>
    <t>Andrew, Mr. Edgardo Samuel</t>
  </si>
  <si>
    <t>Andrew, Mr. Frank Thomas</t>
  </si>
  <si>
    <t>Angle, Mr. William A</t>
  </si>
  <si>
    <t>Angle, Mrs. William A (Florence 'Mary' Agnes Hughes)</t>
  </si>
  <si>
    <t>Ashby, Mr. John</t>
  </si>
  <si>
    <t>Bailey, Mr. Percy Andrew</t>
  </si>
  <si>
    <t>Baimbrigge, Mr. Charles Robert</t>
  </si>
  <si>
    <t>Ball, Mrs. (Ada E Hall)</t>
  </si>
  <si>
    <t>Banfield, Mr. Frederick James</t>
  </si>
  <si>
    <t>Bateman, Rev. Robert James</t>
  </si>
  <si>
    <t>Beane, Mr. Edward</t>
  </si>
  <si>
    <t>Beane, Mrs. Edward (Ethel Clarke)</t>
  </si>
  <si>
    <t>Beauchamp, Mr. Henry James</t>
  </si>
  <si>
    <t>Becker, Master. Richard F</t>
  </si>
  <si>
    <t>Becker, Miss. Marion Louise</t>
  </si>
  <si>
    <t>Becker, Miss. Ruth Elizabeth</t>
  </si>
  <si>
    <t>Becker, Mrs. Allen Oliver (Nellie E Baumgardner)</t>
  </si>
  <si>
    <t>Beesley, Mr. Lawrence</t>
  </si>
  <si>
    <t>Bentham, Miss. Lilian W</t>
  </si>
  <si>
    <t>Berriman, Mr. William John</t>
  </si>
  <si>
    <t>Botsford, Mr. William Hull</t>
  </si>
  <si>
    <t>Bowenur, Mr. Solomon</t>
  </si>
  <si>
    <t>Bracken, Mr. James H</t>
  </si>
  <si>
    <t>Brown, Miss. Amelia 'Mildred'</t>
  </si>
  <si>
    <t>Brown, Miss. Edith Eileen</t>
  </si>
  <si>
    <t>Brown, Mr. Thomas William Solomon</t>
  </si>
  <si>
    <t>Brown, Mrs. Thomas William Solomon (Elizabeth Catherine Ford)</t>
  </si>
  <si>
    <t>Bryhl, Miss. Dagmar Jenny Ingeborg</t>
  </si>
  <si>
    <t>Bryhl, Mr. Kurt Arnold Gottfrid</t>
  </si>
  <si>
    <t>Buss, Miss. Kate</t>
  </si>
  <si>
    <t>Butler, Mr. Reginald Fenton</t>
  </si>
  <si>
    <t>Byles, Rev. Thomas Roussel Davids</t>
  </si>
  <si>
    <t>Bystrom, Mrs. (Karolina)</t>
  </si>
  <si>
    <t>Caldwell, Master. Alden Gates</t>
  </si>
  <si>
    <t>Caldwell, Mr. Albert Francis</t>
  </si>
  <si>
    <t>Caldwell, Mrs. Albert Francis (Sylvia Mae Harbaugh)</t>
  </si>
  <si>
    <t>Cameron, Miss. Clear Annie</t>
  </si>
  <si>
    <t>Campbell, Mr. William</t>
  </si>
  <si>
    <t>Carbines, Mr. William</t>
  </si>
  <si>
    <t>Carter, Mrs. Ernest Courtenay (Lilian Hughes)</t>
  </si>
  <si>
    <t>Carter, Rev. Ernest Courtenay</t>
  </si>
  <si>
    <t>Chapman, Mr. Charles Henry</t>
  </si>
  <si>
    <t>Chapman, Mr. John Henry</t>
  </si>
  <si>
    <t>Chapman, Mrs. John Henry (Sara Elizabeth Lawry)</t>
  </si>
  <si>
    <t>Christy, Miss. Julie Rachel</t>
  </si>
  <si>
    <t>Christy, Mrs. (Alice Frances)</t>
  </si>
  <si>
    <t>Clarke, Mr. Charles Valentine</t>
  </si>
  <si>
    <t>Clarke, Mrs. Charles V (Ada Maria Winfield)</t>
  </si>
  <si>
    <t>Coleridge, Mr. Reginald Charles</t>
  </si>
  <si>
    <t>Collander, Mr. Erik Gustaf</t>
  </si>
  <si>
    <t>Collett, Mr. Sidney C Stuart</t>
  </si>
  <si>
    <t>Collyer, Miss. Marjorie 'Lottie'</t>
  </si>
  <si>
    <t>Collyer, Mr. Harvey</t>
  </si>
  <si>
    <t>Collyer, Mrs. Harvey (Charlotte Annie Tate)</t>
  </si>
  <si>
    <t>Cook, Mrs. (Selena Rogers)</t>
  </si>
  <si>
    <t>Corbett, Mrs. Walter H (Irene Colvin)</t>
  </si>
  <si>
    <t>Corey, Mrs. Percy C (Mary Phyllis Elizabeth Miller)</t>
  </si>
  <si>
    <t>Cotterill, Mr. Henry 'Harry'</t>
  </si>
  <si>
    <t>Cunningham, Mr. Alfred Fleming</t>
  </si>
  <si>
    <t>Davies, Master. John Morgan Jr</t>
  </si>
  <si>
    <t>Davies, Mr. Charles Henry</t>
  </si>
  <si>
    <t>Davies, Mrs. John Morgan (Elizabeth Agnes Mary White)</t>
  </si>
  <si>
    <t>Davis, Miss. Mary</t>
  </si>
  <si>
    <t>de Brito, Mr. Jose Joaquim</t>
  </si>
  <si>
    <t>Deacon, Mr. Percy William</t>
  </si>
  <si>
    <t>del Carlo, Mr. Sebastiano</t>
  </si>
  <si>
    <t>del Carlo, Mrs. Sebastiano (Argenia Genovesi)</t>
  </si>
  <si>
    <t>Denbury, Mr. Herbert</t>
  </si>
  <si>
    <t>Dibden, Mr. William</t>
  </si>
  <si>
    <t>Doling, Miss. Elsie</t>
  </si>
  <si>
    <t>Doling, Mrs. John T (Ada Julia Bone)</t>
  </si>
  <si>
    <t>Downton, Mr. William James</t>
  </si>
  <si>
    <t>Drew, Master. Marshall Brines</t>
  </si>
  <si>
    <t>Drew, Mr. James Vivian</t>
  </si>
  <si>
    <t>Drew, Mrs. James Vivian (Lulu Thorne Christian)</t>
  </si>
  <si>
    <t>Duran y More, Miss. Asuncion</t>
  </si>
  <si>
    <t>Duran y More, Miss. Florentina</t>
  </si>
  <si>
    <t>Eitemiller, Mr. George Floyd</t>
  </si>
  <si>
    <t>Enander, Mr. Ingvar</t>
  </si>
  <si>
    <t>Fahlstrom, Mr. Arne Jonas</t>
  </si>
  <si>
    <t>Faunthorpe, Mr. Harry</t>
  </si>
  <si>
    <t>Faunthorpe, Mrs. Lizzie (Elizabeth Anne Wilkinson)</t>
  </si>
  <si>
    <t>Fillbrook, Mr. Joseph Charles</t>
  </si>
  <si>
    <t>Fox, Mr. Stanley Hubert</t>
  </si>
  <si>
    <t>Frost, Mr. Anthony Wood 'Archie'</t>
  </si>
  <si>
    <t>Funk, Miss. Annie Clemmer</t>
  </si>
  <si>
    <t>Fynney, Mr. Joseph J</t>
  </si>
  <si>
    <t>Gale, Mr. Harry</t>
  </si>
  <si>
    <t>Gale, Mr. Shadrach</t>
  </si>
  <si>
    <t>Garside, Miss. Ethel</t>
  </si>
  <si>
    <t>Gaskell, Mr. Alfred</t>
  </si>
  <si>
    <t>Gavey, Mr. Lawrence</t>
  </si>
  <si>
    <t>Gilbert, Mr. William</t>
  </si>
  <si>
    <t>Giles, Mr. Edgar</t>
  </si>
  <si>
    <t>Giles, Mr. Frederick Edward</t>
  </si>
  <si>
    <t>Giles, Mr. Ralph</t>
  </si>
  <si>
    <t>Gill, Mr. John William</t>
  </si>
  <si>
    <t>Gillespie, Mr. William Henry</t>
  </si>
  <si>
    <t>Givard, Mr. Hans Kristensen</t>
  </si>
  <si>
    <t>Greenberg, Mr. Samuel</t>
  </si>
  <si>
    <t>Hale, Mr. Reginald</t>
  </si>
  <si>
    <t>Hamalainen, Master. Viljo</t>
  </si>
  <si>
    <t>Hamalainen, Mrs. William (Anna)</t>
  </si>
  <si>
    <t>Harbeck, Mr. William H</t>
  </si>
  <si>
    <t>Harper, Miss. Annie Jessie 'Nina'</t>
  </si>
  <si>
    <t>Harper, Rev. John</t>
  </si>
  <si>
    <t>Harris, Mr. George</t>
  </si>
  <si>
    <t>Harris, Mr. Walter</t>
  </si>
  <si>
    <t>Hart, Miss. Eva Miriam</t>
  </si>
  <si>
    <t>Hart, Mr. Benjamin</t>
  </si>
  <si>
    <t>Hart, Mrs. Benjamin (Esther Ada Bloomfield)</t>
  </si>
  <si>
    <t>Herman, Miss. Alice</t>
  </si>
  <si>
    <t>Herman, Miss. Kate</t>
  </si>
  <si>
    <t>Herman, Mr. Samuel</t>
  </si>
  <si>
    <t>Herman, Mrs. Samuel (Jane Laver)</t>
  </si>
  <si>
    <t>Hewlett, Mrs. (Mary D Kingcome)</t>
  </si>
  <si>
    <t>Hickman, Mr. Leonard Mark</t>
  </si>
  <si>
    <t>Hickman, Mr. Lewis</t>
  </si>
  <si>
    <t>Hickman, Mr. Stanley George</t>
  </si>
  <si>
    <t>Hiltunen, Miss. Marta</t>
  </si>
  <si>
    <t>Hocking, Miss. Ellen 'Nellie'</t>
  </si>
  <si>
    <t>Hocking, Mr. Richard George</t>
  </si>
  <si>
    <t>Hocking, Mr. Samuel James Metcalfe</t>
  </si>
  <si>
    <t>Hocking, Mrs. Elizabeth (Eliza Needs)</t>
  </si>
  <si>
    <t>Hodges, Mr. Henry Price</t>
  </si>
  <si>
    <t>Hold, Mr. Stephen</t>
  </si>
  <si>
    <t>Hold, Mrs. Stephen (Annie Margaret Hill)</t>
  </si>
  <si>
    <t>Hood, Mr. Ambrose Jr</t>
  </si>
  <si>
    <t>Hosono, Mr. Masabumi</t>
  </si>
  <si>
    <t>Howard, Mr. Benjamin</t>
  </si>
  <si>
    <t>Howard, Mrs. Benjamin (Ellen Truelove Arman)</t>
  </si>
  <si>
    <t>Hunt, Mr. George Henry</t>
  </si>
  <si>
    <t>Ilett, Miss. Bertha</t>
  </si>
  <si>
    <t>Jacobsohn, Mr. Sidney Samuel</t>
  </si>
  <si>
    <t>Jacobsohn, Mrs. Sidney Samuel (Amy Frances Christy)</t>
  </si>
  <si>
    <t>Jarvis, Mr. John Denzil</t>
  </si>
  <si>
    <t>Jefferys, Mr. Clifford Thomas</t>
  </si>
  <si>
    <t>Jefferys, Mr. Ernest Wilfred</t>
  </si>
  <si>
    <t>Jenkin, Mr. Stephen Curnow</t>
  </si>
  <si>
    <t>Jerwan, Mrs. Amin S (Marie Marthe Thuillard)</t>
  </si>
  <si>
    <t>Kantor, Mr. Sinai</t>
  </si>
  <si>
    <t>Kantor, Mrs. Sinai (Miriam Sternin)</t>
  </si>
  <si>
    <t>Karnes, Mrs. J Frank (Claire Bennett)</t>
  </si>
  <si>
    <t>Keane, Miss. Nora A</t>
  </si>
  <si>
    <t>Keane, Mr. Daniel</t>
  </si>
  <si>
    <t>Kelly, Mrs. Florence 'Fannie'</t>
  </si>
  <si>
    <t>Kirkland, Rev. Charles Leonard</t>
  </si>
  <si>
    <t>Knight, Mr. Robert J</t>
  </si>
  <si>
    <t>Kvillner, Mr. Johan Henrik Johannesson</t>
  </si>
  <si>
    <t>Lahtinen, Mrs. William (Anna Sylfven)</t>
  </si>
  <si>
    <t>Lahtinen, Rev. William</t>
  </si>
  <si>
    <t>Lamb, Mr. John Joseph</t>
  </si>
  <si>
    <t>Laroche, Miss. Louise</t>
  </si>
  <si>
    <t>Laroche, Miss. Simonne Marie Anne Andree</t>
  </si>
  <si>
    <t>Laroche, Mr. Joseph Philippe Lemercier</t>
  </si>
  <si>
    <t>Laroche, Mrs. Joseph (Juliette Marie Louise Lafargue)</t>
  </si>
  <si>
    <t>Lehmann, Miss. Bertha</t>
  </si>
  <si>
    <t>Leitch, Miss. Jessie Wills</t>
  </si>
  <si>
    <t>Lemore, Mrs. (Amelia Milley)</t>
  </si>
  <si>
    <t>Levy, Mr. Rene Jacques</t>
  </si>
  <si>
    <t>Leyson, Mr. Robert William Norman</t>
  </si>
  <si>
    <t>Lingane, Mr. John</t>
  </si>
  <si>
    <t>Louch, Mr. Charles Alexander</t>
  </si>
  <si>
    <t>Louch, Mrs. Charles Alexander (Alice Adelaide Slow)</t>
  </si>
  <si>
    <t>Mack, Mrs. (Mary)</t>
  </si>
  <si>
    <t>Malachard, Mr. Noel</t>
  </si>
  <si>
    <t>Mallet, Master. Andre</t>
  </si>
  <si>
    <t>Mallet, Mr. Albert</t>
  </si>
  <si>
    <t>Mallet, Mrs. Albert (Antoinette Magnin)</t>
  </si>
  <si>
    <t>Mangiavacchi, Mr. Serafino Emilio</t>
  </si>
  <si>
    <t>Matthews, Mr. William John</t>
  </si>
  <si>
    <t>Maybery, Mr. Frank Hubert</t>
  </si>
  <si>
    <t>McCrae, Mr. Arthur Gordon</t>
  </si>
  <si>
    <t>McCrie, Mr. James Matthew</t>
  </si>
  <si>
    <t>McKane, Mr. Peter David</t>
  </si>
  <si>
    <t>Mellinger, Miss. Madeleine Violet</t>
  </si>
  <si>
    <t>Mellinger, Mrs. (Elizabeth Anne Maidment)</t>
  </si>
  <si>
    <t>Mellors, Mr. William John</t>
  </si>
  <si>
    <t>Meyer, Mr. August</t>
  </si>
  <si>
    <t>Milling, Mr. Jacob Christian</t>
  </si>
  <si>
    <t>Mitchell, Mr. Henry Michael</t>
  </si>
  <si>
    <t>Montvila, Rev. Juozas</t>
  </si>
  <si>
    <t>Moraweck, Dr. Ernest</t>
  </si>
  <si>
    <t>Morley, Mr. Henry Samuel ('Mr Henry Marshall')</t>
  </si>
  <si>
    <t>Mudd, Mr. Thomas Charles</t>
  </si>
  <si>
    <t>Myles, Mr. Thomas Francis</t>
  </si>
  <si>
    <t>Nasser, Mr. Nicholas</t>
  </si>
  <si>
    <t>Nasser, Mrs. Nicholas (Adele Achem)</t>
  </si>
  <si>
    <t>Navratil, Master. Edmond Roger</t>
  </si>
  <si>
    <t>Navratil, Master. Michel M</t>
  </si>
  <si>
    <t>Navratil, Mr. Michel ('Louis M Hoffman')</t>
  </si>
  <si>
    <t>Nesson, Mr. Israel</t>
  </si>
  <si>
    <t>Nicholls, Mr. Joseph Charles</t>
  </si>
  <si>
    <t>Norman, Mr. Robert Douglas</t>
  </si>
  <si>
    <t>Nourney, Mr. Alfred ('Baron von Drachstedt')</t>
  </si>
  <si>
    <t>Nye, Mrs. (Elizabeth Ramell)</t>
  </si>
  <si>
    <t>Otter, Mr. Richard</t>
  </si>
  <si>
    <t>Oxenham, Mr. Percy Thomas</t>
  </si>
  <si>
    <t>Padro y Manent, Mr. Julian</t>
  </si>
  <si>
    <t>Pain, Dr. Alfred</t>
  </si>
  <si>
    <t>Pallas y Castello, Mr. Emilio</t>
  </si>
  <si>
    <t>Parker, Mr. Clifford Richard</t>
  </si>
  <si>
    <t>Parkes, Mr. Francis 'Frank'</t>
  </si>
  <si>
    <t>Parrish, Mrs. (Lutie Davis)</t>
  </si>
  <si>
    <t>Pengelly, Mr. Frederick William</t>
  </si>
  <si>
    <t>Pernot, Mr. Rene</t>
  </si>
  <si>
    <t>Peruschitz, Rev. Joseph Maria</t>
  </si>
  <si>
    <t>Phillips, Miss. Alice Frances Louisa</t>
  </si>
  <si>
    <t>Phillips, Miss. Kate Florence ('Mrs Kate Louise Phillips Marshall')</t>
  </si>
  <si>
    <t>Phillips, Mr. Escott Robert</t>
  </si>
  <si>
    <t>Pinsky, Mrs. (Rosa)</t>
  </si>
  <si>
    <t>Ponesell, Mr. Martin</t>
  </si>
  <si>
    <t>Portaluppi, Mr. Emilio Ilario Giuseppe</t>
  </si>
  <si>
    <t>Pulbaum, Mr. Franz</t>
  </si>
  <si>
    <t>Quick, Miss. Phyllis May</t>
  </si>
  <si>
    <t>Quick, Miss. Winifred Vera</t>
  </si>
  <si>
    <t>Quick, Mrs. Frederick Charles (Jane Richards)</t>
  </si>
  <si>
    <t>Reeves, Mr. David</t>
  </si>
  <si>
    <t>Renouf, Mr. Peter Henry</t>
  </si>
  <si>
    <t>Renouf, Mrs. Peter Henry (Lillian Jefferys)</t>
  </si>
  <si>
    <t>Reynaldo, Ms. Encarnacion</t>
  </si>
  <si>
    <t>Richard, Mr. Emile</t>
  </si>
  <si>
    <t>Richards, Master. George Sibley</t>
  </si>
  <si>
    <t>Richards, Master. William Rowe</t>
  </si>
  <si>
    <t>Richards, Mrs. Sidney (Emily Hocking)</t>
  </si>
  <si>
    <t>Ridsdale, Miss. Lucy</t>
  </si>
  <si>
    <t>Rogers, Mr. Reginald Harry</t>
  </si>
  <si>
    <t>Rugg, Miss. Emily</t>
  </si>
  <si>
    <t>Schmidt, Mr. August</t>
  </si>
  <si>
    <t>Sedgwick, Mr. Charles Frederick Waddington</t>
  </si>
  <si>
    <t>Sharp, Mr. Percival James R</t>
  </si>
  <si>
    <t>Shelley, Mrs. William (Imanita Parrish Hall)</t>
  </si>
  <si>
    <t>Silven, Miss. Lyyli Karoliina</t>
  </si>
  <si>
    <t>Sincock, Miss. Maude</t>
  </si>
  <si>
    <t>Sinkkonen, Miss. Anna</t>
  </si>
  <si>
    <t>Sjostedt, Mr. Ernst Adolf</t>
  </si>
  <si>
    <t>Slayter, Miss. Hilda Mary</t>
  </si>
  <si>
    <t>Slemen, Mr. Richard James</t>
  </si>
  <si>
    <t>Smith, Miss. Marion Elsie</t>
  </si>
  <si>
    <t>Sobey, Mr. Samuel James Hayden</t>
  </si>
  <si>
    <t>Stanton, Mr. Samuel Ward</t>
  </si>
  <si>
    <t>Stokes, Mr. Philip Joseph</t>
  </si>
  <si>
    <t>Swane, Mr. George</t>
  </si>
  <si>
    <t>Sweet, Mr. George Frederick</t>
  </si>
  <si>
    <t>Toomey, Miss. Ellen</t>
  </si>
  <si>
    <t>Troupiansky, Mr. Moses Aaron</t>
  </si>
  <si>
    <t>Trout, Mrs. William H (Jessie L)</t>
  </si>
  <si>
    <t>Troutt, Miss. Edwina Celia 'Winnie'</t>
  </si>
  <si>
    <t>Turpin, Mr. William John Robert</t>
  </si>
  <si>
    <t>Turpin, Mrs. William John Robert (Dorothy Ann Wonnacott)</t>
  </si>
  <si>
    <t>Veal, Mr. James</t>
  </si>
  <si>
    <t>Walcroft, Miss. Nellie</t>
  </si>
  <si>
    <t>Ware, Mr. John James</t>
  </si>
  <si>
    <t>Ware, Mr. William Jeffery</t>
  </si>
  <si>
    <t>Ware, Mrs. John James (Florence Louise Long)</t>
  </si>
  <si>
    <t>Watson, Mr. Ennis Hastings</t>
  </si>
  <si>
    <t>Watt, Miss. Bertha J</t>
  </si>
  <si>
    <t>Watt, Mrs. James (Elizabeth 'Bessie' Inglis Milne)</t>
  </si>
  <si>
    <t>Webber, Miss. Susan</t>
  </si>
  <si>
    <t>Weisz, Mr. Leopold</t>
  </si>
  <si>
    <t>Weisz, Mrs. Leopold (Mathilde Francoise Pede)</t>
  </si>
  <si>
    <t>Wells, Master. Ralph Lester</t>
  </si>
  <si>
    <t>Wells, Miss. Joan</t>
  </si>
  <si>
    <t>Wells, Mrs. Arthur Henry ('Addie' Dart Trevaskis)</t>
  </si>
  <si>
    <t>West, Miss. Barbara J</t>
  </si>
  <si>
    <t>West, Miss. Constance Mirium</t>
  </si>
  <si>
    <t>West, Mr. Edwy Arthur</t>
  </si>
  <si>
    <t>West, Mrs. Edwy Arthur (Ada Mary Worth)</t>
  </si>
  <si>
    <t>Wheadon, Mr. Edward H</t>
  </si>
  <si>
    <t>Wheeler, Mr. Edwin 'Frederick'</t>
  </si>
  <si>
    <t>Wilhelms, Mr. Charles</t>
  </si>
  <si>
    <t>Williams, Mr. Charles Eugene</t>
  </si>
  <si>
    <t>Wright, Miss. Marion</t>
  </si>
  <si>
    <t>Yrois, Miss. Henriette ('Mrs Harbeck')</t>
  </si>
  <si>
    <t>Abbing, Mr. Anthony</t>
  </si>
  <si>
    <t>Abbott, Master. Eugene Joseph</t>
  </si>
  <si>
    <t>Abbott, Mr. Rossmore Edward</t>
  </si>
  <si>
    <t>Abbott, Mrs. Stanton (Rosa Hunt)</t>
  </si>
  <si>
    <t>Abelseth, Miss. Karen Marie</t>
  </si>
  <si>
    <t>Abelseth, Mr. Olaus Jorgensen</t>
  </si>
  <si>
    <t>Abrahamsson, Mr. Abraham August Johannes</t>
  </si>
  <si>
    <t>Abrahim, Mrs. Joseph (Sophie Halaut Easu)</t>
  </si>
  <si>
    <t>Adahl, Mr. Mauritz Nils Martin</t>
  </si>
  <si>
    <t>Adams, Mr. John</t>
  </si>
  <si>
    <t>Ahlin, Mrs. Johan (Johanna Persdotter Larsson)</t>
  </si>
  <si>
    <t>Aks, Master. Philip Frank</t>
  </si>
  <si>
    <t>Aks, Mrs. Sam (Leah Rosen)</t>
  </si>
  <si>
    <t>Albimona, Mr. Nassef Cassem</t>
  </si>
  <si>
    <t>Alexander, Mr. William</t>
  </si>
  <si>
    <t>Alhomaki, Mr. Ilmari Rudolf</t>
  </si>
  <si>
    <t>Ali, Mr. Ahmed</t>
  </si>
  <si>
    <t>Ali, Mr. William</t>
  </si>
  <si>
    <t>Allen, Mr. William Henry</t>
  </si>
  <si>
    <t>Allum, Mr. Owen George</t>
  </si>
  <si>
    <t>Andersen, Mr. Albert Karvin</t>
  </si>
  <si>
    <t>Andersen-Jensen, Miss. Carla Christine Nielsine</t>
  </si>
  <si>
    <t>Andersson, Master. Sigvard Harald Elias</t>
  </si>
  <si>
    <t>Andersson, Miss. Ebba Iris Alfrida</t>
  </si>
  <si>
    <t>Andersson, Miss. Ellis Anna Maria</t>
  </si>
  <si>
    <t>Andersson, Miss. Erna Alexandra</t>
  </si>
  <si>
    <t>Andersson, Miss. Ida Augusta Margareta</t>
  </si>
  <si>
    <t>Andersson, Miss. Ingeborg Constanzia</t>
  </si>
  <si>
    <t>Andersson, Miss. Sigrid Elisabeth</t>
  </si>
  <si>
    <t>Andersson, Mr. Anders Johan</t>
  </si>
  <si>
    <t>Andersson, Mr. August Edvard ('Wennerstrom')</t>
  </si>
  <si>
    <t>Andersson, Mr. Johan Samuel</t>
  </si>
  <si>
    <t>Andersson, Mrs. Anders Johan (Alfrida Konstantia Brogren)</t>
  </si>
  <si>
    <t>Andreasson, Mr. Paul Edvin</t>
  </si>
  <si>
    <t>Angheloff, Mr. Minko</t>
  </si>
  <si>
    <t>Arnold-Franchi, Mr. Josef</t>
  </si>
  <si>
    <t>Arnold-Franchi, Mrs. Josef (Josefine Franchi)</t>
  </si>
  <si>
    <t>Aronsson, Mr. Ernst Axel Algot</t>
  </si>
  <si>
    <t>Asim, Mr. Adola</t>
  </si>
  <si>
    <t>Asplund, Master. Carl Edgar</t>
  </si>
  <si>
    <t>Asplund, Master. Clarence Gustaf Hugo</t>
  </si>
  <si>
    <t>Asplund, Master. Edvin Rojj Felix</t>
  </si>
  <si>
    <t>Asplund, Master. Filip Oscar</t>
  </si>
  <si>
    <t>Asplund, Miss. Lillian Gertrud</t>
  </si>
  <si>
    <t>Asplund, Mr. Carl Oscar Vilhelm Gustafsson</t>
  </si>
  <si>
    <t>Asplund, Mr. Johan Charles</t>
  </si>
  <si>
    <t>Asplund, Mrs. Carl Oscar (Selma Augusta Emilia Johansson)</t>
  </si>
  <si>
    <t>Assaf Khalil, Mrs. Mariana ('Miriam')</t>
  </si>
  <si>
    <t>Assaf, Mr. Gerios</t>
  </si>
  <si>
    <t>Assam, Mr. Ali</t>
  </si>
  <si>
    <t>Attalah, Miss. Malake</t>
  </si>
  <si>
    <t>Attalah, Mr. Sleiman</t>
  </si>
  <si>
    <t>Augustsson, Mr. Albert</t>
  </si>
  <si>
    <t>Ayoub, Miss. Banoura</t>
  </si>
  <si>
    <t>Baccos, Mr. Raffull</t>
  </si>
  <si>
    <t>Backstrom, Mr. Karl Alfred</t>
  </si>
  <si>
    <t>Backstrom, Mrs. Karl Alfred (Maria Mathilda Gustafsson)</t>
  </si>
  <si>
    <t>Baclini, Miss. Eugenie</t>
  </si>
  <si>
    <t>Baclini, Miss. Helene Barbara</t>
  </si>
  <si>
    <t>Baclini, Miss. Marie Catherine</t>
  </si>
  <si>
    <t>Baclini, Mrs. Solomon (Latifa Qurban)</t>
  </si>
  <si>
    <t>Badman, Miss. Emily Louisa</t>
  </si>
  <si>
    <t>Badt, Mr. Mohamed</t>
  </si>
  <si>
    <t>Balkic, Mr. Cerin</t>
  </si>
  <si>
    <t>Barah, Mr. Hanna Assi</t>
  </si>
  <si>
    <t>Barbara, Miss. Saiide</t>
  </si>
  <si>
    <t>Barbara, Mrs. (Catherine David)</t>
  </si>
  <si>
    <t>Barry, Miss. Julia</t>
  </si>
  <si>
    <t>Barton, Mr. David John</t>
  </si>
  <si>
    <t>Beavan, Mr. William Thomas</t>
  </si>
  <si>
    <t>Bengtsson, Mr. John Viktor</t>
  </si>
  <si>
    <t>Berglund, Mr. Karl Ivar Sven</t>
  </si>
  <si>
    <t>Betros, Master. Seman</t>
  </si>
  <si>
    <t>Betros, Mr. Tannous</t>
  </si>
  <si>
    <t>Bing, Mr. Lee</t>
  </si>
  <si>
    <t>Birkeland, Mr. Hans Martin Monsen</t>
  </si>
  <si>
    <t>Bjorklund, Mr. Ernst Herbert</t>
  </si>
  <si>
    <t>Bostandyeff, Mr. Guentcho</t>
  </si>
  <si>
    <t>Boulos, Master. Akar</t>
  </si>
  <si>
    <t>Boulos, Miss. Nourelain</t>
  </si>
  <si>
    <t>Boulos, Mr. Hanna</t>
  </si>
  <si>
    <t>Boulos, Mrs. Joseph (Sultana)</t>
  </si>
  <si>
    <t>Bourke, Miss. Mary</t>
  </si>
  <si>
    <t>Bourke, Mr. John</t>
  </si>
  <si>
    <t>Bourke, Mrs. John (Catherine)</t>
  </si>
  <si>
    <t>Bowen, Mr. David John 'Dai'</t>
  </si>
  <si>
    <t>Bradley, Miss. Bridget Delia</t>
  </si>
  <si>
    <t>Braf, Miss. Elin Ester Maria</t>
  </si>
  <si>
    <t>Braund, Mr. Lewis Richard</t>
  </si>
  <si>
    <t>Braund, Mr. Owen Harris</t>
  </si>
  <si>
    <t>Brobeck, Mr. Karl Rudolf</t>
  </si>
  <si>
    <t>Brocklebank, Mr. William Alfred</t>
  </si>
  <si>
    <t>Buckley, Miss. Katherine</t>
  </si>
  <si>
    <t>Buckley, Mr. Daniel</t>
  </si>
  <si>
    <t>Burke, Mr. Jeremiah</t>
  </si>
  <si>
    <t>Burns, Miss. Mary Delia</t>
  </si>
  <si>
    <t>Cacic, Miss. Manda</t>
  </si>
  <si>
    <t>Cacic, Miss. Marija</t>
  </si>
  <si>
    <t>Cacic, Mr. Jego Grga</t>
  </si>
  <si>
    <t>Cacic, Mr. Luka</t>
  </si>
  <si>
    <t>Calic, Mr. Jovo</t>
  </si>
  <si>
    <t>Calic, Mr. Petar</t>
  </si>
  <si>
    <t>Canavan, Miss. Mary</t>
  </si>
  <si>
    <t>Canavan, Mr. Patrick</t>
  </si>
  <si>
    <t>Cann, Mr. Ernest Charles</t>
  </si>
  <si>
    <t>Caram, Mr. Joseph</t>
  </si>
  <si>
    <t>Caram, Mrs. Joseph (Maria Elias)</t>
  </si>
  <si>
    <t>Carlsson, Mr. August Sigfrid</t>
  </si>
  <si>
    <t>Carlsson, Mr. Carl Robert</t>
  </si>
  <si>
    <t>Carr, Miss. Helen 'Ellen'</t>
  </si>
  <si>
    <t>Carr, Miss. Jeannie</t>
  </si>
  <si>
    <t>Carver, Mr. Alfred John</t>
  </si>
  <si>
    <t>Celotti, Mr. Francesco</t>
  </si>
  <si>
    <t>Charters, Mr. David</t>
  </si>
  <si>
    <t>Chip, Mr. Chang</t>
  </si>
  <si>
    <t>Christmann, Mr. Emil</t>
  </si>
  <si>
    <t>Chronopoulos, Mr. Apostolos</t>
  </si>
  <si>
    <t>Chronopoulos, Mr. Demetrios</t>
  </si>
  <si>
    <t>Coelho, Mr. Domingos Fernandeo</t>
  </si>
  <si>
    <t>Cohen, Mr. Gurshon 'Gus'</t>
  </si>
  <si>
    <t>Colbert, Mr. Patrick</t>
  </si>
  <si>
    <t>Coleff, Mr. Peju</t>
  </si>
  <si>
    <t>Coleff, Mr. Satio</t>
  </si>
  <si>
    <t>Conlon, Mr. Thomas Henry</t>
  </si>
  <si>
    <t>Connaghton, Mr. Michael</t>
  </si>
  <si>
    <t>Connolly, Miss. Kate</t>
  </si>
  <si>
    <t>Connors, Mr. Patrick</t>
  </si>
  <si>
    <t>Cook, Mr. Jacob</t>
  </si>
  <si>
    <t>Cor, Mr. Bartol</t>
  </si>
  <si>
    <t>Cor, Mr. Ivan</t>
  </si>
  <si>
    <t>Cor, Mr. Liudevit</t>
  </si>
  <si>
    <t>Corn, Mr. Harry</t>
  </si>
  <si>
    <t>Coutts, Master. Eden Leslie 'Neville'</t>
  </si>
  <si>
    <t>Coutts, Master. William Loch 'William'</t>
  </si>
  <si>
    <t>Coutts, Mrs. William (Winnie 'Minnie' Treanor)</t>
  </si>
  <si>
    <t>Coxon, Mr. Daniel</t>
  </si>
  <si>
    <t>Crease, Mr. Ernest James</t>
  </si>
  <si>
    <t>Cribb, Miss. Laura Alice</t>
  </si>
  <si>
    <t>Cribb, Mr. John Hatfield</t>
  </si>
  <si>
    <t>Culumovic, Mr. Jeso</t>
  </si>
  <si>
    <t>Daher, Mr. Shedid</t>
  </si>
  <si>
    <t>Dahl, Mr. Karl Edwart</t>
  </si>
  <si>
    <t>Dahlberg, Miss. Gerda Ulrika</t>
  </si>
  <si>
    <t>Dakic, Mr. Branko</t>
  </si>
  <si>
    <t>Daly, Miss. Margaret Marcella 'Maggie'</t>
  </si>
  <si>
    <t>Daly, Mr. Eugene Patrick</t>
  </si>
  <si>
    <t>Danbom, Master. Gilbert Sigvard Emanuel</t>
  </si>
  <si>
    <t>Danbom, Mr. Ernst Gilbert</t>
  </si>
  <si>
    <t>Danbom, Mrs. Ernst Gilbert (Anna Sigrid Maria Brogren)</t>
  </si>
  <si>
    <t>Danoff, Mr. Yoto</t>
  </si>
  <si>
    <t>Dantcheff, Mr. Ristiu</t>
  </si>
  <si>
    <t>Davies, Mr. Alfred J</t>
  </si>
  <si>
    <t>Davies, Mr. Evan</t>
  </si>
  <si>
    <t>Davies, Mr. John Samuel</t>
  </si>
  <si>
    <t>Davies, Mr. Joseph</t>
  </si>
  <si>
    <t>Davison, Mr. Thomas Henry</t>
  </si>
  <si>
    <t>Davison, Mrs. Thomas Henry (Mary E Finck)</t>
  </si>
  <si>
    <t>de Messemaeker, Mr. Guillaume Joseph</t>
  </si>
  <si>
    <t>de Messemaeker, Mrs. Guillaume Joseph (Emma)</t>
  </si>
  <si>
    <t>de Mulder, Mr. Theodore</t>
  </si>
  <si>
    <t>de Pelsmaeker, Mr. Alfons</t>
  </si>
  <si>
    <t>Dean, Master. Bertram Vere</t>
  </si>
  <si>
    <t>Dean, Miss. Elizabeth Gladys 'Millvina'</t>
  </si>
  <si>
    <t>Dean, Mr. Bertram Frank</t>
  </si>
  <si>
    <t>Dean, Mrs. Bertram (Eva Georgetta Light)</t>
  </si>
  <si>
    <t>Delalic, Mr. Redjo</t>
  </si>
  <si>
    <t>Demetri, Mr. Marinko</t>
  </si>
  <si>
    <t>Denkoff, Mr. Mitto</t>
  </si>
  <si>
    <t>Dennis, Mr. Samuel</t>
  </si>
  <si>
    <t>Dennis, Mr. William</t>
  </si>
  <si>
    <t>Devaney, Miss. Margaret Delia</t>
  </si>
  <si>
    <t>Dika, Mr. Mirko</t>
  </si>
  <si>
    <t>Dimic, Mr. Jovan</t>
  </si>
  <si>
    <t>Dintcheff, Mr. Valtcho</t>
  </si>
  <si>
    <t>Doharr, Mr. Tannous</t>
  </si>
  <si>
    <t>Dooley, Mr. Patrick</t>
  </si>
  <si>
    <t>Dorking, Mr. Edward Arthur</t>
  </si>
  <si>
    <t>Dowdell, Miss. Elizabeth</t>
  </si>
  <si>
    <t>Doyle, Miss. Elizabeth</t>
  </si>
  <si>
    <t>Drapkin, Miss. Jennie</t>
  </si>
  <si>
    <t>Drazenoic, Mr. Jozef</t>
  </si>
  <si>
    <t>Duane, Mr. Frank</t>
  </si>
  <si>
    <t>Duquemin, Mr. Joseph</t>
  </si>
  <si>
    <t>Dyker, Mr. Adolf Fredrik</t>
  </si>
  <si>
    <t>Dyker, Mrs. Adolf Fredrik (Anna Elisabeth Judith Andersson)</t>
  </si>
  <si>
    <t>Edvardsson, Mr. Gustaf Hjalmar</t>
  </si>
  <si>
    <t>Eklund, Mr. Hans Linus</t>
  </si>
  <si>
    <t>Ekstrom, Mr. Johan</t>
  </si>
  <si>
    <t>Elias, Mr. Dibo</t>
  </si>
  <si>
    <t>Elias, Mr. Joseph</t>
  </si>
  <si>
    <t>Elias, Mr. Joseph Jr</t>
  </si>
  <si>
    <t>Elias, Mr. Tannous</t>
  </si>
  <si>
    <t>Elsbury, Mr. William James</t>
  </si>
  <si>
    <t>Emanuel, Miss. Virginia Ethel</t>
  </si>
  <si>
    <t>Emir, Mr. Farred Chehab</t>
  </si>
  <si>
    <t>Everett, Mr. Thomas James</t>
  </si>
  <si>
    <t>Farrell, Mr. James</t>
  </si>
  <si>
    <t>Finoli, Mr. Luigi</t>
  </si>
  <si>
    <t>Fischer, Mr. Eberhard Thelander</t>
  </si>
  <si>
    <t>Fleming, Miss. Honora</t>
  </si>
  <si>
    <t>Flynn, Mr. James</t>
  </si>
  <si>
    <t>Flynn, Mr. John</t>
  </si>
  <si>
    <t>Foley, Mr. Joseph</t>
  </si>
  <si>
    <t>Foley, Mr. William</t>
  </si>
  <si>
    <t>Foo, Mr. Choong</t>
  </si>
  <si>
    <t>Ford, Miss. Doolina Margaret 'Daisy'</t>
  </si>
  <si>
    <t>Ford, Miss. Robina Maggie 'Ruby'</t>
  </si>
  <si>
    <t>Ford, Mr. Arthur</t>
  </si>
  <si>
    <t>Ford, Mr. Edward Watson</t>
  </si>
  <si>
    <t>Ford, Mr. William Neal</t>
  </si>
  <si>
    <t>Ford, Mrs. Edward (Margaret Ann Watson)</t>
  </si>
  <si>
    <t>Fox, Mr. Patrick</t>
  </si>
  <si>
    <t>Franklin, Mr. Charles (Charles Fardon)</t>
  </si>
  <si>
    <t>Gallagher, Mr. Martin</t>
  </si>
  <si>
    <t>Garfirth, Mr. John</t>
  </si>
  <si>
    <t>Gheorgheff, Mr. Stanio</t>
  </si>
  <si>
    <t>Gilinski, Mr. Eliezer</t>
  </si>
  <si>
    <t>Gilnagh, Miss. Katherine 'Katie'</t>
  </si>
  <si>
    <t>Glynn, Miss. Mary Agatha</t>
  </si>
  <si>
    <t>Goldsmith, Master. Frank John William 'Frankie'</t>
  </si>
  <si>
    <t>Goldsmith, Mr. Frank John</t>
  </si>
  <si>
    <t>Goldsmith, Mr. Nathan</t>
  </si>
  <si>
    <t>Goldsmith, Mrs. Frank John (Emily Alice Brown)</t>
  </si>
  <si>
    <t>Goncalves, Mr. Manuel Estanslas</t>
  </si>
  <si>
    <t>Goodwin, Master. Harold Victor</t>
  </si>
  <si>
    <t>Goodwin, Master. Sidney Leonard</t>
  </si>
  <si>
    <t>Goodwin, Master. William Frederick</t>
  </si>
  <si>
    <t>Goodwin, Miss. Jessie Allis</t>
  </si>
  <si>
    <t>Goodwin, Miss. Lillian Amy</t>
  </si>
  <si>
    <t>Goodwin, Mr. Charles Edward</t>
  </si>
  <si>
    <t>Goodwin, Mr. Charles Frederick</t>
  </si>
  <si>
    <t>Goodwin, Mrs. Frederick (Augusta Tyler)</t>
  </si>
  <si>
    <t>Green, Mr. George Henry</t>
  </si>
  <si>
    <t>Gronnestad, Mr. Daniel Danielsen</t>
  </si>
  <si>
    <t>Guest, Mr. Robert</t>
  </si>
  <si>
    <t>Gustafsson, Mr. Alfred Ossian</t>
  </si>
  <si>
    <t>Gustafsson, Mr. Anders Vilhelm</t>
  </si>
  <si>
    <t>Gustafsson, Mr. Johan Birger</t>
  </si>
  <si>
    <t>Gustafsson, Mr. Karl Gideon</t>
  </si>
  <si>
    <t>Haas, Miss. Aloisia</t>
  </si>
  <si>
    <t>Hagardon, Miss. Kate</t>
  </si>
  <si>
    <t>Hagland, Mr. Ingvald Olai Olsen</t>
  </si>
  <si>
    <t>Hagland, Mr. Konrad Mathias Reiersen</t>
  </si>
  <si>
    <t>Hakkarainen, Mr. Pekka Pietari</t>
  </si>
  <si>
    <t>Hakkarainen, Mrs. Pekka Pietari (Elin Matilda Dolck)</t>
  </si>
  <si>
    <t>Hampe, Mr. Leon</t>
  </si>
  <si>
    <t>Hanna, Mr. Mansour</t>
  </si>
  <si>
    <t>Hansen, Mr. Claus Peter</t>
  </si>
  <si>
    <t>Hansen, Mr. Henrik Juul</t>
  </si>
  <si>
    <t>Hansen, Mr. Henry Damsgaard</t>
  </si>
  <si>
    <t>Hansen, Mrs. Claus Peter (Jennie L Howard)</t>
  </si>
  <si>
    <t>Harknett, Miss. Alice Phoebe</t>
  </si>
  <si>
    <t>Harmer, Mr. Abraham (David Lishin)</t>
  </si>
  <si>
    <t>Hart, Mr. Henry</t>
  </si>
  <si>
    <t>Hassan, Mr. Houssein G N</t>
  </si>
  <si>
    <t>Healy, Miss. Hanora 'Nora'</t>
  </si>
  <si>
    <t>Hedman, Mr. Oskar Arvid</t>
  </si>
  <si>
    <t>Hee, Mr. Ling</t>
  </si>
  <si>
    <t>Hegarty, Miss. Hanora 'Nora'</t>
  </si>
  <si>
    <t>Heikkinen, Miss. Laina</t>
  </si>
  <si>
    <t>Heininen, Miss. Wendla Maria</t>
  </si>
  <si>
    <t>Hellstrom, Miss. Hilda Maria</t>
  </si>
  <si>
    <t>Hendekovic, Mr. Ignjac</t>
  </si>
  <si>
    <t>Henriksson, Miss. Jenny Lovisa</t>
  </si>
  <si>
    <t>Henry, Miss. Delia</t>
  </si>
  <si>
    <t>Hirvonen, Miss. Hildur E</t>
  </si>
  <si>
    <t>Hirvonen, Mrs. Alexander (Helga E Lindqvist)</t>
  </si>
  <si>
    <t>Holm, Mr. John Fredrik Alexander</t>
  </si>
  <si>
    <t>Holthen, Mr. Johan Martin</t>
  </si>
  <si>
    <t>Honkanen, Miss. Eliina</t>
  </si>
  <si>
    <t>Horgan, Mr. John</t>
  </si>
  <si>
    <t>Howard, Miss. May Elizabeth</t>
  </si>
  <si>
    <t>Humblen, Mr. Adolf Mathias Nicolai Olsen</t>
  </si>
  <si>
    <t>Hyman, Mr. Abraham</t>
  </si>
  <si>
    <t>Ibrahim Shawah, Mr. Yousseff</t>
  </si>
  <si>
    <t>Ilieff, Mr. Ylio</t>
  </si>
  <si>
    <t>Ilmakangas, Miss. Ida Livija</t>
  </si>
  <si>
    <t>Ilmakangas, Miss. Pieta Sofia</t>
  </si>
  <si>
    <t>Ivanoff, Mr. Kanio</t>
  </si>
  <si>
    <t>Jalsevac, Mr. Ivan</t>
  </si>
  <si>
    <t>Jansson, Mr. Carl Olof</t>
  </si>
  <si>
    <t>Jardin, Mr. Jose Neto</t>
  </si>
  <si>
    <t>Jensen, Mr. Hans Peder</t>
  </si>
  <si>
    <t>Jensen, Mr. Niels Peder</t>
  </si>
  <si>
    <t>Jensen, Mr. Svend Lauritz</t>
  </si>
  <si>
    <t>Jermyn, Miss. Annie</t>
  </si>
  <si>
    <t>Johannesen-Bratthammer, Mr. Bernt</t>
  </si>
  <si>
    <t>Johanson, Mr. Jakob Alfred</t>
  </si>
  <si>
    <t>Johansson Palmquist, Mr. Oskar Leander</t>
  </si>
  <si>
    <t>Johansson, Mr. Erik</t>
  </si>
  <si>
    <t>Johansson, Mr. Gustaf Joel</t>
  </si>
  <si>
    <t>Johansson, Mr. Karl Johan</t>
  </si>
  <si>
    <t>Johansson, Mr. Nils</t>
  </si>
  <si>
    <t>Johnson, Master. Harold Theodor</t>
  </si>
  <si>
    <t>Johnson, Miss. Eleanor Ileen</t>
  </si>
  <si>
    <t>Johnson, Mr. Alfred</t>
  </si>
  <si>
    <t>Johnson, Mr. Malkolm Joackim</t>
  </si>
  <si>
    <t>Johnson, Mr. William Cahoone Jr</t>
  </si>
  <si>
    <t>Johnson, Mrs. Oscar W (Elisabeth Vilhelmina Berg)</t>
  </si>
  <si>
    <t>Johnston, Master. William Arthur 'Willie'</t>
  </si>
  <si>
    <t>Johnston, Miss. Catherine Helen 'Carrie'</t>
  </si>
  <si>
    <t>Johnston, Mr. Andrew G</t>
  </si>
  <si>
    <t>Johnston, Mrs. Andrew G (Elizabeth 'Lily' Watson)</t>
  </si>
  <si>
    <t>Jonkoff, Mr. Lalio</t>
  </si>
  <si>
    <t>Jonsson, Mr. Carl</t>
  </si>
  <si>
    <t>Jonsson, Mr. Nils Hilding</t>
  </si>
  <si>
    <t>Jussila, Miss. Katriina</t>
  </si>
  <si>
    <t>Jussila, Miss. Mari Aina</t>
  </si>
  <si>
    <t>Jussila, Mr. Eiriik</t>
  </si>
  <si>
    <t>Kallio, Mr. Nikolai Erland</t>
  </si>
  <si>
    <t>Kalvik, Mr. Johannes Halvorsen</t>
  </si>
  <si>
    <t>Karaic, Mr. Milan</t>
  </si>
  <si>
    <t>Karlsson, Mr. Einar Gervasius</t>
  </si>
  <si>
    <t>Karlsson, Mr. Julius Konrad Eugen</t>
  </si>
  <si>
    <t>Karlsson, Mr. Nils August</t>
  </si>
  <si>
    <t>Karun, Miss. Manca</t>
  </si>
  <si>
    <t>Karun, Mr. Franz</t>
  </si>
  <si>
    <t>Kassem, Mr. Fared</t>
  </si>
  <si>
    <t>Katavelas, Mr. Vassilios ('Catavelas Vassilios')</t>
  </si>
  <si>
    <t>Keane, Mr. Andrew 'Andy'</t>
  </si>
  <si>
    <t>Keefe, Mr. Arthur</t>
  </si>
  <si>
    <t>Kelly, Miss. Anna Katherine 'Annie Kate'</t>
  </si>
  <si>
    <t>Kelly, Miss. Mary</t>
  </si>
  <si>
    <t>Kelly, Mr. James</t>
  </si>
  <si>
    <t>Kennedy, Mr. John</t>
  </si>
  <si>
    <t>Khalil, Mr. Betros</t>
  </si>
  <si>
    <t>Khalil, Mrs. Betros (Zahie 'Maria' Elias)</t>
  </si>
  <si>
    <t>Kiernan, Mr. John</t>
  </si>
  <si>
    <t>Kiernan, Mr. Philip</t>
  </si>
  <si>
    <t>Kilgannon, Mr. Thomas J</t>
  </si>
  <si>
    <t>Kink, Miss. Maria</t>
  </si>
  <si>
    <t>Kink, Mr. Vincenz</t>
  </si>
  <si>
    <t>Kink-Heilmann, Miss. Luise Gretchen</t>
  </si>
  <si>
    <t>Kink-Heilmann, Mr. Anton</t>
  </si>
  <si>
    <t>Kink-Heilmann, Mrs. Anton (Luise Heilmann)</t>
  </si>
  <si>
    <t>Klasen, Miss. Gertrud Emilia</t>
  </si>
  <si>
    <t>Klasen, Mr. Klas Albin</t>
  </si>
  <si>
    <t>Klasen, Mrs. (Hulda Kristina Eugenia Lofqvist)</t>
  </si>
  <si>
    <t>Kraeff, Mr. Theodor</t>
  </si>
  <si>
    <t>Krekorian, Mr. Neshan</t>
  </si>
  <si>
    <t>Lahoud, Mr. Sarkis</t>
  </si>
  <si>
    <t>Laitinen, Miss. Kristina Sofia</t>
  </si>
  <si>
    <t>Laleff, Mr. Kristo</t>
  </si>
  <si>
    <t>Lam, Mr. Ali</t>
  </si>
  <si>
    <t>Lam, Mr. Len</t>
  </si>
  <si>
    <t>Landergren, Miss. Aurora Adelia</t>
  </si>
  <si>
    <t>Lane, Mr. Patrick</t>
  </si>
  <si>
    <t>Lang, Mr. Fang</t>
  </si>
  <si>
    <t>Larsson, Mr. August Viktor</t>
  </si>
  <si>
    <t>Larsson, Mr. Bengt Edvin</t>
  </si>
  <si>
    <t>Larsson-Rondberg, Mr. Edvard A</t>
  </si>
  <si>
    <t>Leeni, Mr. Fahim ('Philip Zenni')</t>
  </si>
  <si>
    <t>Lefebre, Master. Henry Forbes</t>
  </si>
  <si>
    <t>Lefebre, Miss. Ida</t>
  </si>
  <si>
    <t>Lefebre, Miss. Jeannie</t>
  </si>
  <si>
    <t>Lefebre, Miss. Mathilde</t>
  </si>
  <si>
    <t>Lefebre, Mrs. Frank (Frances)</t>
  </si>
  <si>
    <t>Leinonen, Mr. Antti Gustaf</t>
  </si>
  <si>
    <t>Lemberopolous, Mr. Peter L</t>
  </si>
  <si>
    <t>Lennon, Miss. Mary</t>
  </si>
  <si>
    <t>Lennon, Mr. Denis</t>
  </si>
  <si>
    <t>Leonard, Mr. Lionel</t>
  </si>
  <si>
    <t>Lester, Mr. James</t>
  </si>
  <si>
    <t>Lievens, Mr. Rene Aime</t>
  </si>
  <si>
    <t>Lindahl, Miss. Agda Thorilda Viktoria</t>
  </si>
  <si>
    <t>Lindblom, Miss. Augusta Charlotta</t>
  </si>
  <si>
    <t>Lindell, Mr. Edvard Bengtsson</t>
  </si>
  <si>
    <t>Lindell, Mrs. Edvard Bengtsson (Elin Gerda Persson)</t>
  </si>
  <si>
    <t>Lindqvist, Mr. Eino William</t>
  </si>
  <si>
    <t>Linehan, Mr. Michael</t>
  </si>
  <si>
    <t>Ling, Mr. Lee</t>
  </si>
  <si>
    <t>Lithman, Mr. Simon</t>
  </si>
  <si>
    <t>Lobb, Mr. William Arthur</t>
  </si>
  <si>
    <t>Lobb, Mrs. William Arthur (Cordelia K Stanlick)</t>
  </si>
  <si>
    <t>Lockyer, Mr. Edward</t>
  </si>
  <si>
    <t>Lovell, Mr. John Hall ('Henry')</t>
  </si>
  <si>
    <t>Lulic, Mr. Nikola</t>
  </si>
  <si>
    <t>Lundahl, Mr. Johan Svensson</t>
  </si>
  <si>
    <t>Lundin, Miss. Olga Elida</t>
  </si>
  <si>
    <t>Lundstrom, Mr. Thure Edvin</t>
  </si>
  <si>
    <t>Lyntakoff, Mr. Stanko</t>
  </si>
  <si>
    <t>MacKay, Mr. George William</t>
  </si>
  <si>
    <t>Madigan, Miss. Margaret 'Maggie'</t>
  </si>
  <si>
    <t>Madsen, Mr. Fridtjof Arne</t>
  </si>
  <si>
    <t>Maenpaa, Mr. Matti Alexanteri</t>
  </si>
  <si>
    <t>Mahon, Miss. Bridget Delia</t>
  </si>
  <si>
    <t>Mahon, Mr. John</t>
  </si>
  <si>
    <t>Maisner, Mr. Simon</t>
  </si>
  <si>
    <t>Makinen, Mr. Kalle Edvard</t>
  </si>
  <si>
    <t>Mamee, Mr. Hanna</t>
  </si>
  <si>
    <t>Mangan, Miss. Mary</t>
  </si>
  <si>
    <t>Mannion, Miss. Margareth</t>
  </si>
  <si>
    <t>Mardirosian, Mr. Sarkis</t>
  </si>
  <si>
    <t>Markoff, Mr. Marin</t>
  </si>
  <si>
    <t>Markun, Mr. Johann</t>
  </si>
  <si>
    <t>Masselmani, Mrs. Fatima</t>
  </si>
  <si>
    <t>Matinoff, Mr. Nicola</t>
  </si>
  <si>
    <t>McCarthy, Miss. Catherine 'Katie'</t>
  </si>
  <si>
    <t>McCormack, Mr. Thomas Joseph</t>
  </si>
  <si>
    <t>McCoy, Miss. Agnes</t>
  </si>
  <si>
    <t>McCoy, Miss. Alicia</t>
  </si>
  <si>
    <t>McCoy, Mr. Bernard</t>
  </si>
  <si>
    <t>McDermott, Miss. Brigdet Delia</t>
  </si>
  <si>
    <t>McEvoy, Mr. Michael</t>
  </si>
  <si>
    <t>McGovern, Miss. Mary</t>
  </si>
  <si>
    <t>McGowan, Miss. Anna 'Annie'</t>
  </si>
  <si>
    <t>McGowan, Miss. Katherine</t>
  </si>
  <si>
    <t>McMahon, Mr. Martin</t>
  </si>
  <si>
    <t>McNamee, Mr. Neal</t>
  </si>
  <si>
    <t>McNamee, Mrs. Neal (Eileen O'Leary)</t>
  </si>
  <si>
    <t>McNeill, Miss. Bridget</t>
  </si>
  <si>
    <t>Meanwell, Miss. (Marion Ogden)</t>
  </si>
  <si>
    <t>Meek, Mrs. Thomas (Annie Louise Rowley)</t>
  </si>
  <si>
    <t>Meo, Mr. Alfonzo</t>
  </si>
  <si>
    <t>Mernagh, Mr. Robert</t>
  </si>
  <si>
    <t>Midtsjo, Mr. Karl Albert</t>
  </si>
  <si>
    <t>Miles, Mr. Frank</t>
  </si>
  <si>
    <t>Mineff, Mr. Ivan</t>
  </si>
  <si>
    <t>Minkoff, Mr. Lazar</t>
  </si>
  <si>
    <t>Mionoff, Mr. Stoytcho</t>
  </si>
  <si>
    <t>Mitkoff, Mr. Mito</t>
  </si>
  <si>
    <t>Mockler, Miss. Helen Mary 'Ellie'</t>
  </si>
  <si>
    <t>Moen, Mr. Sigurd Hansen</t>
  </si>
  <si>
    <t>Moor, Master. Meier</t>
  </si>
  <si>
    <t>Moor, Mrs. (Beila)</t>
  </si>
  <si>
    <t>Moore, Mr. Leonard Charles</t>
  </si>
  <si>
    <t>Moran, Miss. Bertha</t>
  </si>
  <si>
    <t>Moran, Mr. Daniel J</t>
  </si>
  <si>
    <t>Moran, Mr. James</t>
  </si>
  <si>
    <t>Morley, Mr. William</t>
  </si>
  <si>
    <t>Morrow, Mr. Thomas Rowan</t>
  </si>
  <si>
    <t>Moss, Mr. Albert Johan</t>
  </si>
  <si>
    <t>Moubarek, Master. Gerios</t>
  </si>
  <si>
    <t>Moubarek, Master. Halim Gonios ('William George')</t>
  </si>
  <si>
    <t>Moubarek, Mrs. George (Omine 'Amenia' Alexander)</t>
  </si>
  <si>
    <t>Moussa, Mrs. (Mantoura Boulos)</t>
  </si>
  <si>
    <t>Moutal, Mr. Rahamin Haim</t>
  </si>
  <si>
    <t>Mullens, Miss. Katherine 'Katie'</t>
  </si>
  <si>
    <t>Mulvihill, Miss. Bertha E</t>
  </si>
  <si>
    <t>Murdlin, Mr. Joseph</t>
  </si>
  <si>
    <t>Murphy, Miss. Katherine 'Kate'</t>
  </si>
  <si>
    <t>Murphy, Miss. Margaret Jane</t>
  </si>
  <si>
    <t>Murphy, Miss. Nora</t>
  </si>
  <si>
    <t>Myhrman, Mr. Pehr Fabian Oliver Malkolm</t>
  </si>
  <si>
    <t>Naidenoff, Mr. Penko</t>
  </si>
  <si>
    <t>Najib, Miss. Adele Kiamie 'Jane'</t>
  </si>
  <si>
    <t>Nakid, Miss. Maria ('Mary')</t>
  </si>
  <si>
    <t>Nakid, Mr. Sahid</t>
  </si>
  <si>
    <t>Nakid, Mrs. Said (Waika 'Mary' Mowad)</t>
  </si>
  <si>
    <t>Nancarrow, Mr. William Henry</t>
  </si>
  <si>
    <t>Nankoff, Mr. Minko</t>
  </si>
  <si>
    <t>Nasr, Mr. Mustafa</t>
  </si>
  <si>
    <t>Naughton, Miss. Hannah</t>
  </si>
  <si>
    <t>Nenkoff, Mr. Christo</t>
  </si>
  <si>
    <t>Nicola-Yarred, Master. Elias</t>
  </si>
  <si>
    <t>Nicola-Yarred, Miss. Jamila</t>
  </si>
  <si>
    <t>Nieminen, Miss. Manta Josefina</t>
  </si>
  <si>
    <t>Niklasson, Mr. Samuel</t>
  </si>
  <si>
    <t>Nilsson, Miss. Berta Olivia</t>
  </si>
  <si>
    <t>Nilsson, Miss. Helmina Josefina</t>
  </si>
  <si>
    <t>Nilsson, Mr. August Ferdinand</t>
  </si>
  <si>
    <t>Nirva, Mr. Iisakki Antino Aijo</t>
  </si>
  <si>
    <t>Niskanen, Mr. Juha</t>
  </si>
  <si>
    <t>Nosworthy, Mr. Richard Cater</t>
  </si>
  <si>
    <t>Novel, Mr. Mansouer</t>
  </si>
  <si>
    <t>Nysten, Miss. Anna Sofia</t>
  </si>
  <si>
    <t>Nysveen, Mr. Johan Hansen</t>
  </si>
  <si>
    <t>O'Brien, Mr. Thomas</t>
  </si>
  <si>
    <t>O'Brien, Mr. Timothy</t>
  </si>
  <si>
    <t>O'Brien, Mrs. Thomas (Johanna 'Hannah' Godfrey)</t>
  </si>
  <si>
    <t>O'Connell, Mr. Patrick D</t>
  </si>
  <si>
    <t>O'Connor, Mr. Maurice</t>
  </si>
  <si>
    <t>O'Connor, Mr. Patrick</t>
  </si>
  <si>
    <t>Odahl, Mr. Nils Martin</t>
  </si>
  <si>
    <t>O'Donoghue, Ms. Bridget</t>
  </si>
  <si>
    <t>O'Driscoll, Miss. Bridget</t>
  </si>
  <si>
    <t>O'Dwyer, Miss. Ellen 'Nellie'</t>
  </si>
  <si>
    <t>Ohman, Miss. Velin</t>
  </si>
  <si>
    <t>O'Keefe, Mr. Patrick</t>
  </si>
  <si>
    <t>O'Leary, Miss. Hanora 'Norah'</t>
  </si>
  <si>
    <t>Olsen, Master. Artur Karl</t>
  </si>
  <si>
    <t>Olsen, Mr. Henry Margido</t>
  </si>
  <si>
    <t>Olsen, Mr. Karl Siegwart Andreas</t>
  </si>
  <si>
    <t>Olsen, Mr. Ole Martin</t>
  </si>
  <si>
    <t>Olsson, Miss. Elina</t>
  </si>
  <si>
    <t>Olsson, Mr. Nils Johan Goransson</t>
  </si>
  <si>
    <t>Olsson, Mr. Oscar Wilhelm</t>
  </si>
  <si>
    <t>Olsvigen, Mr. Thor Anderson</t>
  </si>
  <si>
    <t>Oreskovic, Miss. Jelka</t>
  </si>
  <si>
    <t>Oreskovic, Miss. Marija</t>
  </si>
  <si>
    <t>Oreskovic, Mr. Luka</t>
  </si>
  <si>
    <t>Osen, Mr. Olaf Elon</t>
  </si>
  <si>
    <t>Osman, Mrs. Mara</t>
  </si>
  <si>
    <t>O'Sullivan, Miss. Bridget Mary</t>
  </si>
  <si>
    <t>Palsson, Master. Gosta Leonard</t>
  </si>
  <si>
    <t>Palsson, Master. Paul Folke</t>
  </si>
  <si>
    <t>Palsson, Miss. Stina Viola</t>
  </si>
  <si>
    <t>Palsson, Miss. Torborg Danira</t>
  </si>
  <si>
    <t>Palsson, Mrs. Nils (Alma Cornelia Berglund)</t>
  </si>
  <si>
    <t>Panula, Master. Eino Viljami</t>
  </si>
  <si>
    <t>Panula, Master. Juha Niilo</t>
  </si>
  <si>
    <t>Panula, Master. Urho Abraham</t>
  </si>
  <si>
    <t>Panula, Mr. Ernesti Arvid</t>
  </si>
  <si>
    <t>Panula, Mr. Jaako Arnold</t>
  </si>
  <si>
    <t>Panula, Mrs. Juha (Maria Emilia Ojala)</t>
  </si>
  <si>
    <t>Pasic, Mr. Jakob</t>
  </si>
  <si>
    <t>Patchett, Mr. George</t>
  </si>
  <si>
    <t>Paulner, Mr. Uscher</t>
  </si>
  <si>
    <t>Pavlovic, Mr. Stefo</t>
  </si>
  <si>
    <t>Peacock, Master. Alfred Edward</t>
  </si>
  <si>
    <t>Peacock, Miss. Treasteall</t>
  </si>
  <si>
    <t>Peacock, Mrs. Benjamin (Edith Nile)</t>
  </si>
  <si>
    <t>Pearce, Mr. Ernest</t>
  </si>
  <si>
    <t>Pedersen, Mr. Olaf</t>
  </si>
  <si>
    <t>Peduzzi, Mr. Joseph</t>
  </si>
  <si>
    <t>Pekoniemi, Mr. Edvard</t>
  </si>
  <si>
    <t>Peltomaki, Mr. Nikolai Johannes</t>
  </si>
  <si>
    <t>Perkin, Mr. John Henry</t>
  </si>
  <si>
    <t>Persson, Mr. Ernst Ulrik</t>
  </si>
  <si>
    <t>Peter, Master. Michael J</t>
  </si>
  <si>
    <t>Peter, Miss. Anna</t>
  </si>
  <si>
    <t>Peter, Mrs. Catherine (Catherine Rizk)</t>
  </si>
  <si>
    <t>Peters, Miss. Katie</t>
  </si>
  <si>
    <t>Petersen, Mr. Marius</t>
  </si>
  <si>
    <t>Petranec, Miss. Matilda</t>
  </si>
  <si>
    <t>Petroff, Mr. Nedelio</t>
  </si>
  <si>
    <t>Petroff, Mr. Pastcho ('Pentcho')</t>
  </si>
  <si>
    <t>Petterson, Mr. Johan Emil</t>
  </si>
  <si>
    <t>Pettersson, Miss. Ellen Natalia</t>
  </si>
  <si>
    <t>Pickard, Mr. Berk (Berk Trembisky)</t>
  </si>
  <si>
    <t>Plotcharsky, Mr. Vasil</t>
  </si>
  <si>
    <t>Pokrnic, Mr. Mate</t>
  </si>
  <si>
    <t>Pokrnic, Mr. Tome</t>
  </si>
  <si>
    <t>Radeff, Mr. Alexander</t>
  </si>
  <si>
    <t>Rasmussen, Mrs. (Lena Jacobsen Solvang)</t>
  </si>
  <si>
    <t>Razi, Mr. Raihed</t>
  </si>
  <si>
    <t>Reed, Mr. James George</t>
  </si>
  <si>
    <t>Rekic, Mr. Tido</t>
  </si>
  <si>
    <t>Reynolds, Mr. Harold J</t>
  </si>
  <si>
    <t>Rice, Master. Albert</t>
  </si>
  <si>
    <t>Rice, Master. Arthur</t>
  </si>
  <si>
    <t>Rice, Master. Eric</t>
  </si>
  <si>
    <t>Rice, Master. Eugene</t>
  </si>
  <si>
    <t>Rice, Master. George Hugh</t>
  </si>
  <si>
    <t>Rice, Mrs. William (Margaret Norton)</t>
  </si>
  <si>
    <t>Riihivouri, Miss. Susanna Juhantytar 'Sanni'</t>
  </si>
  <si>
    <t>Rintamaki, Mr. Matti</t>
  </si>
  <si>
    <t>Riordan, Miss. Johanna 'Hannah'</t>
  </si>
  <si>
    <t>Risien, Mr. Samuel Beard</t>
  </si>
  <si>
    <t>Risien, Mrs. Samuel (Emma)</t>
  </si>
  <si>
    <t>Robins, Mr. Alexander A</t>
  </si>
  <si>
    <t>Robins, Mrs. Alexander A (Grace Charity Laury)</t>
  </si>
  <si>
    <t>Rogers, Mr. William John</t>
  </si>
  <si>
    <t>Rommetvedt, Mr. Knud Paust</t>
  </si>
  <si>
    <t>Rosblom, Miss. Salli Helena</t>
  </si>
  <si>
    <t>Rosblom, Mr. Viktor Richard</t>
  </si>
  <si>
    <t>Rosblom, Mrs. Viktor (Helena Wilhelmina)</t>
  </si>
  <si>
    <t>Roth, Miss. Sarah A</t>
  </si>
  <si>
    <t>Rouse, Mr. Richard Henry</t>
  </si>
  <si>
    <t>Rush, Mr. Alfred George John</t>
  </si>
  <si>
    <t>Ryan, Mr. Edward</t>
  </si>
  <si>
    <t>Ryan, Mr. Patrick</t>
  </si>
  <si>
    <t>Saad, Mr. Amin</t>
  </si>
  <si>
    <t>Saad, Mr. Khalil</t>
  </si>
  <si>
    <t>Saade, Mr. Jean Nassr</t>
  </si>
  <si>
    <t>Sadlier, Mr. Matthew</t>
  </si>
  <si>
    <t>Sadowitz, Mr. Harry</t>
  </si>
  <si>
    <t>Saether, Mr. Simon Sivertsen</t>
  </si>
  <si>
    <t>Sage, Master. Thomas Henry</t>
  </si>
  <si>
    <t>Sage, Master. William Henry</t>
  </si>
  <si>
    <t>Sage, Miss. Ada</t>
  </si>
  <si>
    <t>Sage, Miss. Constance Gladys</t>
  </si>
  <si>
    <t>Sage, Miss. Dorothy Edith 'Dolly'</t>
  </si>
  <si>
    <t>Sage, Miss. Stella Anna</t>
  </si>
  <si>
    <t>Sage, Mr. Douglas Bullen</t>
  </si>
  <si>
    <t>Sage, Mr. Frederick</t>
  </si>
  <si>
    <t>Sage, Mr. George John Jr</t>
  </si>
  <si>
    <t>Sage, Mr. John George</t>
  </si>
  <si>
    <t>Sage, Mrs. John (Annie Bullen)</t>
  </si>
  <si>
    <t>Salander, Mr. Karl Johan</t>
  </si>
  <si>
    <t>Salkjelsvik, Miss. Anna Kristine</t>
  </si>
  <si>
    <t>Salonen, Mr. Johan Werner</t>
  </si>
  <si>
    <t>Samaan, Mr. Elias</t>
  </si>
  <si>
    <t>Samaan, Mr. Hanna</t>
  </si>
  <si>
    <t>Samaan, Mr. Youssef</t>
  </si>
  <si>
    <t>Sandstrom, Miss. Beatrice Irene</t>
  </si>
  <si>
    <t>Sandstrom, Mrs. Hjalmar (Agnes Charlotta Bengtsson)</t>
  </si>
  <si>
    <t>Sandstrom, Miss. Marguerite Rut</t>
  </si>
  <si>
    <t>Sap, Mr. Julius</t>
  </si>
  <si>
    <t>Saundercock, Mr. William Henry</t>
  </si>
  <si>
    <t>Sawyer, Mr. Frederick Charles</t>
  </si>
  <si>
    <t>Scanlan, Mr. James</t>
  </si>
  <si>
    <t>Sdycoff, Mr. Todor</t>
  </si>
  <si>
    <t>Shaughnessy, Mr. Patrick</t>
  </si>
  <si>
    <t>Sheerlinck, Mr. Jan Baptist</t>
  </si>
  <si>
    <t>Shellard, Mr. Frederick William</t>
  </si>
  <si>
    <t>Shine, Miss. Ellen Natalia</t>
  </si>
  <si>
    <t>Shorney, Mr. Charles Joseph</t>
  </si>
  <si>
    <t>Simmons, Mr. John</t>
  </si>
  <si>
    <t>Sirayanian, Mr. Orsen</t>
  </si>
  <si>
    <t>Sirota, Mr. Maurice</t>
  </si>
  <si>
    <t>Sivic, Mr. Husein</t>
  </si>
  <si>
    <t>Sivola, Mr. Antti Wilhelm</t>
  </si>
  <si>
    <t>Sjoblom, Miss. Anna Sofia</t>
  </si>
  <si>
    <t>Skoog, Master. Harald</t>
  </si>
  <si>
    <t>Skoog, Master. Karl Thorsten</t>
  </si>
  <si>
    <t>Skoog, Miss. Mabel</t>
  </si>
  <si>
    <t>Skoog, Miss. Margit Elizabeth</t>
  </si>
  <si>
    <t>Skoog, Mr. Wilhelm</t>
  </si>
  <si>
    <t>Skoog, Mrs. William (Anna Bernhardina Karlsson)</t>
  </si>
  <si>
    <t>Slabenoff, Mr. Petco</t>
  </si>
  <si>
    <t>Slocovski, Mr. Selman Francis</t>
  </si>
  <si>
    <t>Smiljanic, Mr. Mile</t>
  </si>
  <si>
    <t>Smith, Mr. Thomas</t>
  </si>
  <si>
    <t>Smyth, Miss. Julia</t>
  </si>
  <si>
    <t>Soholt, Mr. Peter Andreas Lauritz Andersen</t>
  </si>
  <si>
    <t>Somerton, Mr. Francis William</t>
  </si>
  <si>
    <t>Spector, Mr. Woolf</t>
  </si>
  <si>
    <t>Spinner, Mr. Henry John</t>
  </si>
  <si>
    <t>Staneff, Mr. Ivan</t>
  </si>
  <si>
    <t>Stankovic, Mr. Ivan</t>
  </si>
  <si>
    <t>Stanley, Miss. Amy Zillah Elsie</t>
  </si>
  <si>
    <t>Stanley, Mr. Edward Roland</t>
  </si>
  <si>
    <t>Storey, Mr. Thomas</t>
  </si>
  <si>
    <t>Stoytcheff, Mr. Ilia</t>
  </si>
  <si>
    <t>Strandberg, Miss. Ida Sofia</t>
  </si>
  <si>
    <t>Stranden, Mr. Juho</t>
  </si>
  <si>
    <t>Strilic, Mr. Ivan</t>
  </si>
  <si>
    <t>Strom, Miss. Telma Matilda</t>
  </si>
  <si>
    <t>Strom, Mrs. Wilhelm (Elna Matilda Persson)</t>
  </si>
  <si>
    <t>Sunderland, Mr. Victor Francis</t>
  </si>
  <si>
    <t>Sundman, Mr. Johan Julian</t>
  </si>
  <si>
    <t>Sutehall, Mr. Henry Jr</t>
  </si>
  <si>
    <t>Svensson, Mr. Johan</t>
  </si>
  <si>
    <t>Svensson, Mr. Johan Cervin</t>
  </si>
  <si>
    <t>Svensson, Mr. Olof</t>
  </si>
  <si>
    <t>Tenglin, Mr. Gunnar Isidor</t>
  </si>
  <si>
    <t>Theobald, Mr. Thomas Leonard</t>
  </si>
  <si>
    <t>Thomas, Master. Assad Alexander</t>
  </si>
  <si>
    <t>Thomas, Mr. Charles P</t>
  </si>
  <si>
    <t>Thomas, Mr. John</t>
  </si>
  <si>
    <t>Thomas, Mr. Tannous</t>
  </si>
  <si>
    <t>Thomas, Mrs. Alexander (Thamine 'Thelma')</t>
  </si>
  <si>
    <t>Thomson, Mr. Alexander Morrison</t>
  </si>
  <si>
    <t>Thorneycroft, Mr. Percival</t>
  </si>
  <si>
    <t>Thorneycroft, Mrs. Percival (Florence Kate White)</t>
  </si>
  <si>
    <t>Tikkanen, Mr. Juho</t>
  </si>
  <si>
    <t>Tobin, Mr. Roger</t>
  </si>
  <si>
    <t>Todoroff, Mr. Lalio</t>
  </si>
  <si>
    <t>Tomlin, Mr. Ernest Portage</t>
  </si>
  <si>
    <t>Torber, Mr. Ernst William</t>
  </si>
  <si>
    <t>Torfa, Mr. Assad</t>
  </si>
  <si>
    <t>Tornquist, Mr. William Henry</t>
  </si>
  <si>
    <t>Toufik, Mr. Nakli</t>
  </si>
  <si>
    <t>Touma, Master. Georges Youssef</t>
  </si>
  <si>
    <t>Touma, Miss. Maria Youssef</t>
  </si>
  <si>
    <t>Touma, Mrs. Darwis (Hanne Youssef Razi)</t>
  </si>
  <si>
    <t>Turcin, Mr. Stjepan</t>
  </si>
  <si>
    <t>Turja, Miss. Anna Sofia</t>
  </si>
  <si>
    <t>Turkula, Mrs. (Hedwig)</t>
  </si>
  <si>
    <t>van Billiard, Master. James William</t>
  </si>
  <si>
    <t>van Billiard, Master. Walter John</t>
  </si>
  <si>
    <t>van Billiard, Mr. Austin Blyler</t>
  </si>
  <si>
    <t>Van Impe, Miss. Catharina</t>
  </si>
  <si>
    <t>Van Impe, Mr. Jean Baptiste</t>
  </si>
  <si>
    <t>Van Impe, Mrs. Jean Baptiste (Rosalie Paula Govaert)</t>
  </si>
  <si>
    <t>van Melkebeke, Mr. Philemon</t>
  </si>
  <si>
    <t>Vande Velde, Mr. Johannes Joseph</t>
  </si>
  <si>
    <t>Vande Walle, Mr. Nestor Cyriel</t>
  </si>
  <si>
    <t>Vanden Steen, Mr. Leo Peter</t>
  </si>
  <si>
    <t>Vander Cruyssen, Mr. Victor</t>
  </si>
  <si>
    <t>Vander Planke, Miss. Augusta Maria</t>
  </si>
  <si>
    <t>Vander Planke, Mr. Julius</t>
  </si>
  <si>
    <t>Vander Planke, Mr. Leo Edmondus</t>
  </si>
  <si>
    <t>Vander Planke, Mrs. Julius (Emelia Maria Vandemoortele)</t>
  </si>
  <si>
    <t>Vartanian, Mr. David</t>
  </si>
  <si>
    <t>Vendel, Mr. Olof Edvin</t>
  </si>
  <si>
    <t>Vestrom, Miss. Hulda Amanda Adolfina</t>
  </si>
  <si>
    <t>Vovk, Mr. Janko</t>
  </si>
  <si>
    <t>Waelens, Mr. Achille</t>
  </si>
  <si>
    <t>Ware, Mr. Frederick</t>
  </si>
  <si>
    <t>Warren, Mr. Charles William</t>
  </si>
  <si>
    <t>Webber, Mr. James</t>
  </si>
  <si>
    <t>Wenzel, Mr. Linhart</t>
  </si>
  <si>
    <t>Whabee, Mrs. George Joseph (Shawneene Abi-Saab)</t>
  </si>
  <si>
    <t>Widegren, Mr. Carl/Charles Peter</t>
  </si>
  <si>
    <t>Wiklund, Mr. Jakob Alfred</t>
  </si>
  <si>
    <t>Wiklund, Mr. Karl Johan</t>
  </si>
  <si>
    <t>Wilkes, Mrs. James (Ellen Needs)</t>
  </si>
  <si>
    <t>Willer, Mr. Aaron ('Abi Weller')</t>
  </si>
  <si>
    <t>Willey, Mr. Edward</t>
  </si>
  <si>
    <t>Williams, Mr. Howard Hugh 'Harry'</t>
  </si>
  <si>
    <t>Williams, Mr. Leslie</t>
  </si>
  <si>
    <t>Windelov, Mr. Einar</t>
  </si>
  <si>
    <t>Wirz, Mr. Albert</t>
  </si>
  <si>
    <t>Wiseman, Mr. Phillippe</t>
  </si>
  <si>
    <t>Wittevrongel, Mr. Camille</t>
  </si>
  <si>
    <t>Yasbeck, Mr. Antoni</t>
  </si>
  <si>
    <t>Yasbeck, Mrs. Antoni (Selini Alexander)</t>
  </si>
  <si>
    <t>Youseff, Mr. Gerious</t>
  </si>
  <si>
    <t>Yousif, Mr. Wazli</t>
  </si>
  <si>
    <t>Yousseff, Mr. Gerious</t>
  </si>
  <si>
    <t>Zabour, Miss. Hileni</t>
  </si>
  <si>
    <t>Zabour, Miss. Thamine</t>
  </si>
  <si>
    <t>Zakarian, Mr. Mapriededer</t>
  </si>
  <si>
    <t>Zakarian, Mr. Ortin</t>
  </si>
  <si>
    <t>Zimmerman, Mr. Leo</t>
  </si>
  <si>
    <t>Title</t>
  </si>
  <si>
    <t>Forenames</t>
  </si>
  <si>
    <t>Surname</t>
  </si>
  <si>
    <t>CommaPos</t>
  </si>
  <si>
    <t>DotPos</t>
  </si>
  <si>
    <t>OpenParPos</t>
  </si>
  <si>
    <t>CloseParPos</t>
  </si>
  <si>
    <t>P_Forenames</t>
  </si>
  <si>
    <t>P_FinalSpacePos</t>
  </si>
  <si>
    <t>InParentheses</t>
  </si>
  <si>
    <t>=FIND(find_text, within_text, [start_num])</t>
  </si>
  <si>
    <t>find_text</t>
  </si>
  <si>
    <t>within_text</t>
  </si>
  <si>
    <t>=IFERROR(value, value_if_error)</t>
  </si>
  <si>
    <t>Modify when changing data set</t>
  </si>
  <si>
    <t>Graded colnames</t>
  </si>
  <si>
    <t>N correct</t>
  </si>
  <si>
    <t>Number rows</t>
  </si>
  <si>
    <t>Number items graded</t>
  </si>
  <si>
    <t>Frac correct</t>
  </si>
  <si>
    <t>Allen</t>
  </si>
  <si>
    <t>Allison</t>
  </si>
  <si>
    <t>Bessie Waldo</t>
  </si>
  <si>
    <t>Elisabeth Walton</t>
  </si>
  <si>
    <t>Hudson Trevor</t>
  </si>
  <si>
    <t>Helen Loraine</t>
  </si>
  <si>
    <t>Hudson Joshua Creighton</t>
  </si>
  <si>
    <t>Mr.</t>
  </si>
  <si>
    <t>George</t>
  </si>
  <si>
    <t>Bradley</t>
  </si>
  <si>
    <t>Miss.</t>
  </si>
  <si>
    <t>Master.</t>
  </si>
  <si>
    <t>Mrs.</t>
  </si>
  <si>
    <t>Recommended formula functions</t>
  </si>
  <si>
    <t>ConvForenames</t>
  </si>
  <si>
    <t>EndOfConvFNPos</t>
  </si>
  <si>
    <t>Harry</t>
  </si>
  <si>
    <t>Anderson</t>
  </si>
  <si>
    <t>Kornelia Theodosia</t>
  </si>
  <si>
    <t>Andrews</t>
  </si>
  <si>
    <t>Charlotte</t>
  </si>
  <si>
    <t>Appleton</t>
  </si>
  <si>
    <t>Ramon</t>
  </si>
  <si>
    <t>Artagaveytia</t>
  </si>
  <si>
    <t>John Jacob</t>
  </si>
  <si>
    <t>Astor</t>
  </si>
  <si>
    <t>Madeleine Talmadge</t>
  </si>
  <si>
    <t>Leontine Pauline</t>
  </si>
  <si>
    <t>Aubart</t>
  </si>
  <si>
    <t>Barber</t>
  </si>
  <si>
    <t>Algernon Henry Wilson</t>
  </si>
  <si>
    <t>Barkworth</t>
  </si>
  <si>
    <t>John D</t>
  </si>
  <si>
    <t>Baumann</t>
  </si>
  <si>
    <t>Quigg Edmond</t>
  </si>
  <si>
    <t>Baxter</t>
  </si>
  <si>
    <t>Helene DeLaudeniere</t>
  </si>
  <si>
    <t>Albina</t>
  </si>
  <si>
    <t>Bazzani</t>
  </si>
  <si>
    <t>Thomson</t>
  </si>
  <si>
    <t>Beattie</t>
  </si>
  <si>
    <t>Richard Leonard</t>
  </si>
  <si>
    <t>Beckwith</t>
  </si>
  <si>
    <t>Sallie</t>
  </si>
  <si>
    <t>Karl Howell</t>
  </si>
  <si>
    <t>Behr</t>
  </si>
  <si>
    <t>Rosalie</t>
  </si>
  <si>
    <t>Bidois</t>
  </si>
  <si>
    <t>Ellen</t>
  </si>
  <si>
    <t>Bird</t>
  </si>
  <si>
    <t>Jakob</t>
  </si>
  <si>
    <t>Birnbaum</t>
  </si>
  <si>
    <t>Dickinson H</t>
  </si>
  <si>
    <t>Bishop</t>
  </si>
  <si>
    <t>Helen</t>
  </si>
  <si>
    <t>Amelia</t>
  </si>
  <si>
    <t>Bissette</t>
  </si>
  <si>
    <t>Mauritz Hakan</t>
  </si>
  <si>
    <t>Bjornstrom-Steffansson</t>
  </si>
  <si>
    <t>Stephen Weart</t>
  </si>
  <si>
    <t>Blackwell</t>
  </si>
  <si>
    <t>Henry</t>
  </si>
  <si>
    <t>Blank</t>
  </si>
  <si>
    <t>Caroline</t>
  </si>
  <si>
    <t>Bonnell</t>
  </si>
  <si>
    <t>Elizabeth</t>
  </si>
  <si>
    <t>John James</t>
  </si>
  <si>
    <t>Borebank</t>
  </si>
  <si>
    <t>Grace Scott</t>
  </si>
  <si>
    <t>Bowen</t>
  </si>
  <si>
    <t>Elsie Edith</t>
  </si>
  <si>
    <t>Bowerman</t>
  </si>
  <si>
    <t>John Bertram</t>
  </si>
  <si>
    <t>Brady</t>
  </si>
  <si>
    <t>Emil</t>
  </si>
  <si>
    <t>Brandeis</t>
  </si>
  <si>
    <t>Arthur Jackson</t>
  </si>
  <si>
    <t>Brewe</t>
  </si>
  <si>
    <t>Margaret</t>
  </si>
  <si>
    <t>Brown</t>
  </si>
  <si>
    <t>Caroline Lane</t>
  </si>
  <si>
    <t>Emma Eliza</t>
  </si>
  <si>
    <t>Bucknell</t>
  </si>
  <si>
    <t>Elizabeth Margaret</t>
  </si>
  <si>
    <t>Burns</t>
  </si>
  <si>
    <t>Archibald Willingham</t>
  </si>
  <si>
    <t>Butt</t>
  </si>
  <si>
    <t>Alexander</t>
  </si>
  <si>
    <t>Cairns</t>
  </si>
  <si>
    <t>Edward Pennington</t>
  </si>
  <si>
    <t>Calderhead</t>
  </si>
  <si>
    <t>Helen Churchill</t>
  </si>
  <si>
    <t>Candee</t>
  </si>
  <si>
    <t>Thomas Drake Martinez</t>
  </si>
  <si>
    <t>Cardeza</t>
  </si>
  <si>
    <t>Charlotte Wardle</t>
  </si>
  <si>
    <t>Frans Olof</t>
  </si>
  <si>
    <t>Carlsson</t>
  </si>
  <si>
    <t>Francisco M</t>
  </si>
  <si>
    <t>Carrau</t>
  </si>
  <si>
    <t>Jose Pedro</t>
  </si>
  <si>
    <t>Carter</t>
  </si>
  <si>
    <t>Lucile Polk</t>
  </si>
  <si>
    <t>William Ernest</t>
  </si>
  <si>
    <t>Lucile</t>
  </si>
  <si>
    <t>Howard Brown</t>
  </si>
  <si>
    <t>Case</t>
  </si>
  <si>
    <t>Eleanor Genevieve</t>
  </si>
  <si>
    <t>Cassebeer</t>
  </si>
  <si>
    <t>Tyrell William</t>
  </si>
  <si>
    <t>Cavendish</t>
  </si>
  <si>
    <t>Julia Florence</t>
  </si>
  <si>
    <t>Herbert Fuller</t>
  </si>
  <si>
    <t>Chaffee</t>
  </si>
  <si>
    <t>Carrie Constance</t>
  </si>
  <si>
    <t>Norman Campbell</t>
  </si>
  <si>
    <t>Chambers</t>
  </si>
  <si>
    <t>Bertha</t>
  </si>
  <si>
    <t>Victorine</t>
  </si>
  <si>
    <t>Chaudanson</t>
  </si>
  <si>
    <t>Gladys</t>
  </si>
  <si>
    <t>Cherry</t>
  </si>
  <si>
    <t>Paul Romaine</t>
  </si>
  <si>
    <t>Chevre</t>
  </si>
  <si>
    <t>Edith Martha</t>
  </si>
  <si>
    <t>Chibnall</t>
  </si>
  <si>
    <t>Roderick Robert Crispin</t>
  </si>
  <si>
    <t>Chisholm</t>
  </si>
  <si>
    <t>Walter Miller</t>
  </si>
  <si>
    <t>Clark</t>
  </si>
  <si>
    <t>Virginia</t>
  </si>
  <si>
    <t>Alice</t>
  </si>
  <si>
    <t>Cleaver</t>
  </si>
  <si>
    <t>George Quincy</t>
  </si>
  <si>
    <t>Clifford</t>
  </si>
  <si>
    <t>Edward Pomeroy</t>
  </si>
  <si>
    <t>Colley</t>
  </si>
  <si>
    <t>Sara Rebecca</t>
  </si>
  <si>
    <t>Compton</t>
  </si>
  <si>
    <t>Mary Eliza</t>
  </si>
  <si>
    <t>Malvina Helen</t>
  </si>
  <si>
    <t>Cornell</t>
  </si>
  <si>
    <t>Crafton</t>
  </si>
  <si>
    <t>Edward Gifford</t>
  </si>
  <si>
    <t>Crosby</t>
  </si>
  <si>
    <t>Harriet R</t>
  </si>
  <si>
    <t>Catherine Elizabeth</t>
  </si>
  <si>
    <t>John Bradley</t>
  </si>
  <si>
    <t>Cumings</t>
  </si>
  <si>
    <t>Florence Briggs</t>
  </si>
  <si>
    <t>Peter Denis</t>
  </si>
  <si>
    <t>Daly</t>
  </si>
  <si>
    <t>Robert Williams</t>
  </si>
  <si>
    <t>Daniel</t>
  </si>
  <si>
    <t>Sarah</t>
  </si>
  <si>
    <t>Daniels</t>
  </si>
  <si>
    <t>Thornton</t>
  </si>
  <si>
    <t>Davidson</t>
  </si>
  <si>
    <t>Orian</t>
  </si>
  <si>
    <t>Albert Adrian</t>
  </si>
  <si>
    <t>Dick</t>
  </si>
  <si>
    <t>Vera</t>
  </si>
  <si>
    <t>Washington</t>
  </si>
  <si>
    <t>Dodge</t>
  </si>
  <si>
    <t>Ruth</t>
  </si>
  <si>
    <t>Walter Donald</t>
  </si>
  <si>
    <t>Douglas</t>
  </si>
  <si>
    <t>Mary Helene</t>
  </si>
  <si>
    <t>Mahala</t>
  </si>
  <si>
    <t>Lucille Christiana</t>
  </si>
  <si>
    <t>Duff Gordon</t>
  </si>
  <si>
    <t>Cosmo Edmund</t>
  </si>
  <si>
    <t>William Crothers</t>
  </si>
  <si>
    <t>Dulles</t>
  </si>
  <si>
    <t>Olive</t>
  </si>
  <si>
    <t>Earnshaw</t>
  </si>
  <si>
    <t>Caroline Louise</t>
  </si>
  <si>
    <t>Endres</t>
  </si>
  <si>
    <t>Elizabeth Mussey</t>
  </si>
  <si>
    <t>Eustis</t>
  </si>
  <si>
    <t>Edith Corse</t>
  </si>
  <si>
    <t>Evans</t>
  </si>
  <si>
    <t>John</t>
  </si>
  <si>
    <t>Farthing</t>
  </si>
  <si>
    <t>Flegenheim</t>
  </si>
  <si>
    <t>Fleming</t>
  </si>
  <si>
    <t>John Irwin</t>
  </si>
  <si>
    <t>Flynn</t>
  </si>
  <si>
    <t>Benjamin Laventall</t>
  </si>
  <si>
    <t>Foreman</t>
  </si>
  <si>
    <t>Alice Elizabeth</t>
  </si>
  <si>
    <t>Fortune</t>
  </si>
  <si>
    <t>Ethel Flora</t>
  </si>
  <si>
    <t>Mabel Helen</t>
  </si>
  <si>
    <t>Charles Alexander</t>
  </si>
  <si>
    <t>Mark</t>
  </si>
  <si>
    <t>Mary</t>
  </si>
  <si>
    <t>Laura Mabel</t>
  </si>
  <si>
    <t>Francatelli</t>
  </si>
  <si>
    <t>Thomas Parham</t>
  </si>
  <si>
    <t>Franklin</t>
  </si>
  <si>
    <t>Henry William</t>
  </si>
  <si>
    <t>Frauenthal</t>
  </si>
  <si>
    <t>Isaac Gerald</t>
  </si>
  <si>
    <t>Clara</t>
  </si>
  <si>
    <t>Hedwig Margaritha</t>
  </si>
  <si>
    <t>Frolicher</t>
  </si>
  <si>
    <t>Maxmillian</t>
  </si>
  <si>
    <t>Frolicher-Stehli</t>
  </si>
  <si>
    <t>Margaretha Emerentia</t>
  </si>
  <si>
    <t>Richard</t>
  </si>
  <si>
    <t>Fry</t>
  </si>
  <si>
    <t>Jacques Heath</t>
  </si>
  <si>
    <t>Futrelle</t>
  </si>
  <si>
    <t>Lily May</t>
  </si>
  <si>
    <t>Arthur H</t>
  </si>
  <si>
    <t>Gee</t>
  </si>
  <si>
    <t>Amalie</t>
  </si>
  <si>
    <t>Geiger</t>
  </si>
  <si>
    <t>Dorothy Winifred</t>
  </si>
  <si>
    <t>Gibson</t>
  </si>
  <si>
    <t>Pauline C</t>
  </si>
  <si>
    <t>Victor</t>
  </si>
  <si>
    <t>Giglio</t>
  </si>
  <si>
    <t>Samuel L</t>
  </si>
  <si>
    <t>Goldenberg</t>
  </si>
  <si>
    <t>Edwiga</t>
  </si>
  <si>
    <t>George B</t>
  </si>
  <si>
    <t>Goldschmidt</t>
  </si>
  <si>
    <t>Gracie</t>
  </si>
  <si>
    <t>Margaret Edith</t>
  </si>
  <si>
    <t>Graham</t>
  </si>
  <si>
    <t>George Edward</t>
  </si>
  <si>
    <t>Edith</t>
  </si>
  <si>
    <t>William Bertram</t>
  </si>
  <si>
    <t>Greenfield</t>
  </si>
  <si>
    <t>Blanche</t>
  </si>
  <si>
    <t>Benjamin</t>
  </si>
  <si>
    <t>Guggenheim</t>
  </si>
  <si>
    <t>George Achilles</t>
  </si>
  <si>
    <t>Harder</t>
  </si>
  <si>
    <t>Dorothy</t>
  </si>
  <si>
    <t>Henry Sleeper</t>
  </si>
  <si>
    <t>Harper</t>
  </si>
  <si>
    <t>Myna</t>
  </si>
  <si>
    <t>Charles H</t>
  </si>
  <si>
    <t>Harrington</t>
  </si>
  <si>
    <t>Henry Birkhardt</t>
  </si>
  <si>
    <t>Harris</t>
  </si>
  <si>
    <t>Irene</t>
  </si>
  <si>
    <t>William</t>
  </si>
  <si>
    <t>Harrison</t>
  </si>
  <si>
    <t>Hammad</t>
  </si>
  <si>
    <t>Hassab</t>
  </si>
  <si>
    <t>Walter James</t>
  </si>
  <si>
    <t>Hawksford</t>
  </si>
  <si>
    <t>Margaret Bechstein</t>
  </si>
  <si>
    <t>Hays</t>
  </si>
  <si>
    <t>Charles Melville</t>
  </si>
  <si>
    <t>Clara Jennings</t>
  </si>
  <si>
    <t>Christopher</t>
  </si>
  <si>
    <t>Head</t>
  </si>
  <si>
    <t>Herbert Henry</t>
  </si>
  <si>
    <t>Hilliard</t>
  </si>
  <si>
    <t>William Edward</t>
  </si>
  <si>
    <t>Hipkins</t>
  </si>
  <si>
    <t>Jean Gertrude</t>
  </si>
  <si>
    <t>Hippach</t>
  </si>
  <si>
    <t>Ida Sophia</t>
  </si>
  <si>
    <t>Anna</t>
  </si>
  <si>
    <t>Hogeboom</t>
  </si>
  <si>
    <t>Alexander Oskar</t>
  </si>
  <si>
    <t>Holverson</t>
  </si>
  <si>
    <t>Mary Aline</t>
  </si>
  <si>
    <t>Homer</t>
  </si>
  <si>
    <t>Frederick Maxfield</t>
  </si>
  <si>
    <t>Hoyt</t>
  </si>
  <si>
    <t>William Fisher</t>
  </si>
  <si>
    <t>Jane Anne</t>
  </si>
  <si>
    <t>Amelie</t>
  </si>
  <si>
    <t>Icard</t>
  </si>
  <si>
    <t>Ann Elizabeth</t>
  </si>
  <si>
    <t>Isham</t>
  </si>
  <si>
    <t>Joseph Bruce</t>
  </si>
  <si>
    <t>Ismay</t>
  </si>
  <si>
    <t>Charles Cresson</t>
  </si>
  <si>
    <t>Jones</t>
  </si>
  <si>
    <t>Henry Forbes</t>
  </si>
  <si>
    <t>Julian</t>
  </si>
  <si>
    <t>Edwin</t>
  </si>
  <si>
    <t>Keeping</t>
  </si>
  <si>
    <t>Edward Austin</t>
  </si>
  <si>
    <t>Kent</t>
  </si>
  <si>
    <t>Frederick R</t>
  </si>
  <si>
    <t>Kenyon</t>
  </si>
  <si>
    <t>Kimball</t>
  </si>
  <si>
    <t>Gertrude</t>
  </si>
  <si>
    <t>Herman</t>
  </si>
  <si>
    <t>Klaber</t>
  </si>
  <si>
    <t>Emilie</t>
  </si>
  <si>
    <t>Kreuchen</t>
  </si>
  <si>
    <t>Leader</t>
  </si>
  <si>
    <t>LeRoy</t>
  </si>
  <si>
    <t>Gustave J</t>
  </si>
  <si>
    <t>Lesurer</t>
  </si>
  <si>
    <t>Ervin G</t>
  </si>
  <si>
    <t>Lewy</t>
  </si>
  <si>
    <t>Erik Gustaf</t>
  </si>
  <si>
    <t>Lindeberg-Lind</t>
  </si>
  <si>
    <t>Sigrid</t>
  </si>
  <si>
    <t>Lindstrom</t>
  </si>
  <si>
    <t>Mary Conover</t>
  </si>
  <si>
    <t>Lines</t>
  </si>
  <si>
    <t>Elizabeth Lindsey</t>
  </si>
  <si>
    <t>Milton Clyde</t>
  </si>
  <si>
    <t>Long</t>
  </si>
  <si>
    <t>Gretchen Fiske</t>
  </si>
  <si>
    <t>Longley</t>
  </si>
  <si>
    <t>Joseph Holland</t>
  </si>
  <si>
    <t>Loring</t>
  </si>
  <si>
    <t>Elise</t>
  </si>
  <si>
    <t>Lurette</t>
  </si>
  <si>
    <t>Georgette Alexandra</t>
  </si>
  <si>
    <t>Madill</t>
  </si>
  <si>
    <t>John Edward</t>
  </si>
  <si>
    <t>Maguire</t>
  </si>
  <si>
    <t>Roberta</t>
  </si>
  <si>
    <t>Maioni</t>
  </si>
  <si>
    <t>Pierre</t>
  </si>
  <si>
    <t>Marechal</t>
  </si>
  <si>
    <t>Daniel Warner</t>
  </si>
  <si>
    <t>Marvin</t>
  </si>
  <si>
    <t>Mary Graham Carmichael</t>
  </si>
  <si>
    <t>Mayne</t>
  </si>
  <si>
    <t>Thomas Francis</t>
  </si>
  <si>
    <t>McCaffry</t>
  </si>
  <si>
    <t>Timothy J</t>
  </si>
  <si>
    <t>McCarthy</t>
  </si>
  <si>
    <t>James Robert</t>
  </si>
  <si>
    <t>McGough</t>
  </si>
  <si>
    <t>Edgar Joseph</t>
  </si>
  <si>
    <t>Meyer</t>
  </si>
  <si>
    <t>Leila</t>
  </si>
  <si>
    <t>Francis Davis</t>
  </si>
  <si>
    <t>Millet</t>
  </si>
  <si>
    <t>Minahan</t>
  </si>
  <si>
    <t>Daisy E</t>
  </si>
  <si>
    <t>Lillian E</t>
  </si>
  <si>
    <t>Philipp Edmund</t>
  </si>
  <si>
    <t>Mock</t>
  </si>
  <si>
    <t>Harry Markland</t>
  </si>
  <si>
    <t>Molson</t>
  </si>
  <si>
    <t>Clarence Bloomfield</t>
  </si>
  <si>
    <t>Moore</t>
  </si>
  <si>
    <t>Natsch</t>
  </si>
  <si>
    <t>Madeleine</t>
  </si>
  <si>
    <t>Newell</t>
  </si>
  <si>
    <t>Marjorie</t>
  </si>
  <si>
    <t>Arthur Webster</t>
  </si>
  <si>
    <t>Helen Monypeny</t>
  </si>
  <si>
    <t>Newsom</t>
  </si>
  <si>
    <t>Arthur Ernest</t>
  </si>
  <si>
    <t>Nicholson</t>
  </si>
  <si>
    <t>Fermina</t>
  </si>
  <si>
    <t>Oliva y Ocana</t>
  </si>
  <si>
    <t>Alfred Fernand</t>
  </si>
  <si>
    <t>Omont</t>
  </si>
  <si>
    <t>Helene Ragnhild</t>
  </si>
  <si>
    <t>Ostby</t>
  </si>
  <si>
    <t>Engelhart Cornelius</t>
  </si>
  <si>
    <t>Servando</t>
  </si>
  <si>
    <t>Ovies y Rodriguez</t>
  </si>
  <si>
    <t>William Henry Marsh</t>
  </si>
  <si>
    <t>Parr</t>
  </si>
  <si>
    <t>Austen</t>
  </si>
  <si>
    <t>Partner</t>
  </si>
  <si>
    <t>Vivian Ponsonby</t>
  </si>
  <si>
    <t>Payne</t>
  </si>
  <si>
    <t>Thomas Clinton</t>
  </si>
  <si>
    <t>Pears</t>
  </si>
  <si>
    <t>Victor de Satode</t>
  </si>
  <si>
    <t>Penasco y Castellana</t>
  </si>
  <si>
    <t>Anne</t>
  </si>
  <si>
    <t>Perreault</t>
  </si>
  <si>
    <t>Arthur Godfrey</t>
  </si>
  <si>
    <t>Peuchen</t>
  </si>
  <si>
    <t>Walter Chamberlain</t>
  </si>
  <si>
    <t>Porter</t>
  </si>
  <si>
    <t>Lily Alexenia</t>
  </si>
  <si>
    <t>Potter</t>
  </si>
  <si>
    <t>John George</t>
  </si>
  <si>
    <t>Reuchlin</t>
  </si>
  <si>
    <t>George Alexander Lucien</t>
  </si>
  <si>
    <t>Rheims</t>
  </si>
  <si>
    <t>Sante</t>
  </si>
  <si>
    <t>Ringhini</t>
  </si>
  <si>
    <t>Robbins</t>
  </si>
  <si>
    <t>Robert</t>
  </si>
  <si>
    <t>Roebling</t>
  </si>
  <si>
    <t>Charles Hallace</t>
  </si>
  <si>
    <t>Romaine</t>
  </si>
  <si>
    <t>Hugh Roscoe</t>
  </si>
  <si>
    <t>Rood</t>
  </si>
  <si>
    <t>Edith Louise</t>
  </si>
  <si>
    <t>Rosenbaum</t>
  </si>
  <si>
    <t>Rosenshine</t>
  </si>
  <si>
    <t>John Hugo</t>
  </si>
  <si>
    <t>Ross</t>
  </si>
  <si>
    <t>Lucy Noel Martha</t>
  </si>
  <si>
    <t>Martin</t>
  </si>
  <si>
    <t>Rothschild</t>
  </si>
  <si>
    <t>Elizabeth L.</t>
  </si>
  <si>
    <t>Alfred G</t>
  </si>
  <si>
    <t>Rowe</t>
  </si>
  <si>
    <t>John Borie</t>
  </si>
  <si>
    <t>Ryerson</t>
  </si>
  <si>
    <t>Emily Borie</t>
  </si>
  <si>
    <t>Arthur Larned</t>
  </si>
  <si>
    <t>Emily Maria</t>
  </si>
  <si>
    <t>Adolphe</t>
  </si>
  <si>
    <t>Saalfeld</t>
  </si>
  <si>
    <t>Emma</t>
  </si>
  <si>
    <t>Sagesser</t>
  </si>
  <si>
    <t>Abraham L</t>
  </si>
  <si>
    <t>Salomon</t>
  </si>
  <si>
    <t>Schabert</t>
  </si>
  <si>
    <t>Augusta</t>
  </si>
  <si>
    <t>Serepeca</t>
  </si>
  <si>
    <t>Frederic Kimber</t>
  </si>
  <si>
    <t>Seward</t>
  </si>
  <si>
    <t>Elizabeth W</t>
  </si>
  <si>
    <t>Shutes</t>
  </si>
  <si>
    <t>Spencer Victor</t>
  </si>
  <si>
    <t>Silverthorne</t>
  </si>
  <si>
    <t>William Baird</t>
  </si>
  <si>
    <t>Silvey</t>
  </si>
  <si>
    <t>Oberst Alfons</t>
  </si>
  <si>
    <t>Simonius-Blumer</t>
  </si>
  <si>
    <t>William Thompson</t>
  </si>
  <si>
    <t>Sloper</t>
  </si>
  <si>
    <t>John Montgomery</t>
  </si>
  <si>
    <t>Smart</t>
  </si>
  <si>
    <t>James Clinch</t>
  </si>
  <si>
    <t>Smith</t>
  </si>
  <si>
    <t>Lucien Philip</t>
  </si>
  <si>
    <t>Richard William</t>
  </si>
  <si>
    <t>Mary Eloise</t>
  </si>
  <si>
    <t>John Pillsbury</t>
  </si>
  <si>
    <t>Snyder</t>
  </si>
  <si>
    <t>Nelle</t>
  </si>
  <si>
    <t>Robert Douglas</t>
  </si>
  <si>
    <t>Spedden</t>
  </si>
  <si>
    <t>Frederic Oakley</t>
  </si>
  <si>
    <t>Margaretta Corning</t>
  </si>
  <si>
    <t>William Augustus</t>
  </si>
  <si>
    <t>Spencer</t>
  </si>
  <si>
    <t>Marie</t>
  </si>
  <si>
    <t>Max</t>
  </si>
  <si>
    <t>Stahelin-Maeglin</t>
  </si>
  <si>
    <t>William Thomas</t>
  </si>
  <si>
    <t>Stead</t>
  </si>
  <si>
    <t>Charles Emil Henry</t>
  </si>
  <si>
    <t>Stengel</t>
  </si>
  <si>
    <t>Annie May</t>
  </si>
  <si>
    <t>Martha</t>
  </si>
  <si>
    <t>Stephenson</t>
  </si>
  <si>
    <t>Albert A</t>
  </si>
  <si>
    <t>Stewart</t>
  </si>
  <si>
    <t>Stone</t>
  </si>
  <si>
    <t>Isidor</t>
  </si>
  <si>
    <t>Straus</t>
  </si>
  <si>
    <t>Rosalie Ida</t>
  </si>
  <si>
    <t>Frederick</t>
  </si>
  <si>
    <t>Sutton</t>
  </si>
  <si>
    <t>Margaret Welles</t>
  </si>
  <si>
    <t>Swift</t>
  </si>
  <si>
    <t>Taussig</t>
  </si>
  <si>
    <t>Tillie</t>
  </si>
  <si>
    <t>Elmer Zebley</t>
  </si>
  <si>
    <t>Taylor</t>
  </si>
  <si>
    <t>Juliet Cummins</t>
  </si>
  <si>
    <t>John Borland</t>
  </si>
  <si>
    <t>Thayer</t>
  </si>
  <si>
    <t>Marian Longstreth</t>
  </si>
  <si>
    <t>Gertrude Maybelle</t>
  </si>
  <si>
    <t>Thorne</t>
  </si>
  <si>
    <t>Tucker</t>
  </si>
  <si>
    <t>Manuel E</t>
  </si>
  <si>
    <t>Uruchurtu</t>
  </si>
  <si>
    <t>Wyckoff</t>
  </si>
  <si>
    <t>Van der hoef</t>
  </si>
  <si>
    <t>William Anderson</t>
  </si>
  <si>
    <t>Walker</t>
  </si>
  <si>
    <t>Ward</t>
  </si>
  <si>
    <t>Frank Manley</t>
  </si>
  <si>
    <t>Warren</t>
  </si>
  <si>
    <t>Anna Sophia</t>
  </si>
  <si>
    <t>Weir</t>
  </si>
  <si>
    <t>Percival Wayland</t>
  </si>
  <si>
    <t>White</t>
  </si>
  <si>
    <t>Richard Frasar</t>
  </si>
  <si>
    <t>Ella</t>
  </si>
  <si>
    <t>Mary Natalie</t>
  </si>
  <si>
    <t>Wick</t>
  </si>
  <si>
    <t>George Dennick</t>
  </si>
  <si>
    <t>George Dunton</t>
  </si>
  <si>
    <t>Widener</t>
  </si>
  <si>
    <t>Harry Elkins</t>
  </si>
  <si>
    <t>Eleanor</t>
  </si>
  <si>
    <t>Constance</t>
  </si>
  <si>
    <t>Willard</t>
  </si>
  <si>
    <t>Charles Duane</t>
  </si>
  <si>
    <t>Williams</t>
  </si>
  <si>
    <t>Richard Norris II</t>
  </si>
  <si>
    <t>Fletcher Fellows</t>
  </si>
  <si>
    <t>Williams-Lambert</t>
  </si>
  <si>
    <t>Helen Alice</t>
  </si>
  <si>
    <t>Wilson</t>
  </si>
  <si>
    <t>Hugh</t>
  </si>
  <si>
    <t>Woolner</t>
  </si>
  <si>
    <t>Wright</t>
  </si>
  <si>
    <t>Marie Grice</t>
  </si>
  <si>
    <t>Young</t>
  </si>
  <si>
    <t>Samuel</t>
  </si>
  <si>
    <t>Abelson</t>
  </si>
  <si>
    <t>Hannah</t>
  </si>
  <si>
    <t>Charles Augustus</t>
  </si>
  <si>
    <t>Aldworth</t>
  </si>
  <si>
    <t>Edgardo Samuel</t>
  </si>
  <si>
    <t>Andrew</t>
  </si>
  <si>
    <t>Frank Thomas</t>
  </si>
  <si>
    <t>William A</t>
  </si>
  <si>
    <t>Angle</t>
  </si>
  <si>
    <t>Ashby</t>
  </si>
  <si>
    <t>Percy Andrew</t>
  </si>
  <si>
    <t>Bailey</t>
  </si>
  <si>
    <t>Charles Robert</t>
  </si>
  <si>
    <t>Baimbrigge</t>
  </si>
  <si>
    <t>Ada E</t>
  </si>
  <si>
    <t>Ball</t>
  </si>
  <si>
    <t>Frederick James</t>
  </si>
  <si>
    <t>Banfield</t>
  </si>
  <si>
    <t>Robert James</t>
  </si>
  <si>
    <t>Bateman</t>
  </si>
  <si>
    <t>Edward</t>
  </si>
  <si>
    <t>Beane</t>
  </si>
  <si>
    <t>Ethel</t>
  </si>
  <si>
    <t>Henry James</t>
  </si>
  <si>
    <t>Beauchamp</t>
  </si>
  <si>
    <t>Richard F</t>
  </si>
  <si>
    <t>Becker</t>
  </si>
  <si>
    <t>Marion Louise</t>
  </si>
  <si>
    <t>Ruth Elizabeth</t>
  </si>
  <si>
    <t>Nellie E</t>
  </si>
  <si>
    <t>Lawrence</t>
  </si>
  <si>
    <t>Beesley</t>
  </si>
  <si>
    <t>Lilian W</t>
  </si>
  <si>
    <t>Bentham</t>
  </si>
  <si>
    <t>William John</t>
  </si>
  <si>
    <t>Berriman</t>
  </si>
  <si>
    <t>William Hull</t>
  </si>
  <si>
    <t>Botsford</t>
  </si>
  <si>
    <t>Solomon</t>
  </si>
  <si>
    <t>Bowenur</t>
  </si>
  <si>
    <t>James H</t>
  </si>
  <si>
    <t>Bracken</t>
  </si>
  <si>
    <t>Edith Eileen</t>
  </si>
  <si>
    <t>Thomas William Solomon</t>
  </si>
  <si>
    <t>Elizabeth Catherine</t>
  </si>
  <si>
    <t>Dagmar Jenny Ingeborg</t>
  </si>
  <si>
    <t>Bryhl</t>
  </si>
  <si>
    <t>Kurt Arnold Gottfrid</t>
  </si>
  <si>
    <t>Kate</t>
  </si>
  <si>
    <t>Buss</t>
  </si>
  <si>
    <t>Reginald Fenton</t>
  </si>
  <si>
    <t>Butler</t>
  </si>
  <si>
    <t>Thomas Roussel Davids</t>
  </si>
  <si>
    <t>Byles</t>
  </si>
  <si>
    <t>Bystrom</t>
  </si>
  <si>
    <t>Alden Gates</t>
  </si>
  <si>
    <t>Caldwell</t>
  </si>
  <si>
    <t>Albert Francis</t>
  </si>
  <si>
    <t>Sylvia Mae</t>
  </si>
  <si>
    <t>Clear Annie</t>
  </si>
  <si>
    <t>Cameron</t>
  </si>
  <si>
    <t>Campbell</t>
  </si>
  <si>
    <t>Carbines</t>
  </si>
  <si>
    <t>Lilian</t>
  </si>
  <si>
    <t>Ernest Courtenay</t>
  </si>
  <si>
    <t>Charles Henry</t>
  </si>
  <si>
    <t>Chapman</t>
  </si>
  <si>
    <t>John Henry</t>
  </si>
  <si>
    <t>Sara Elizabeth</t>
  </si>
  <si>
    <t>Julie Rachel</t>
  </si>
  <si>
    <t>Christy</t>
  </si>
  <si>
    <t>Charles Valentine</t>
  </si>
  <si>
    <t>Clarke</t>
  </si>
  <si>
    <t>Ada Maria</t>
  </si>
  <si>
    <t>Reginald Charles</t>
  </si>
  <si>
    <t>Coleridge</t>
  </si>
  <si>
    <t>Collander</t>
  </si>
  <si>
    <t>Sidney C Stuart</t>
  </si>
  <si>
    <t>Collett</t>
  </si>
  <si>
    <t>Collyer</t>
  </si>
  <si>
    <t>Harvey</t>
  </si>
  <si>
    <t>Charlotte Annie</t>
  </si>
  <si>
    <t>Selena</t>
  </si>
  <si>
    <t>Cook</t>
  </si>
  <si>
    <t>Corbett</t>
  </si>
  <si>
    <t>Mary Phyllis Elizabeth</t>
  </si>
  <si>
    <t>Corey</t>
  </si>
  <si>
    <t>Cotterill</t>
  </si>
  <si>
    <t>Alfred Fleming</t>
  </si>
  <si>
    <t>Cunningham</t>
  </si>
  <si>
    <t>Davies</t>
  </si>
  <si>
    <t>Elizabeth Agnes Mary</t>
  </si>
  <si>
    <t>Davis</t>
  </si>
  <si>
    <t>Jose Joaquim</t>
  </si>
  <si>
    <t>de Brito</t>
  </si>
  <si>
    <t>Percy William</t>
  </si>
  <si>
    <t>Deacon</t>
  </si>
  <si>
    <t>Sebastiano</t>
  </si>
  <si>
    <t>del Carlo</t>
  </si>
  <si>
    <t>Argenia</t>
  </si>
  <si>
    <t>Herbert</t>
  </si>
  <si>
    <t>Denbury</t>
  </si>
  <si>
    <t>Dibden</t>
  </si>
  <si>
    <t>Elsie</t>
  </si>
  <si>
    <t>Doling</t>
  </si>
  <si>
    <t>Ada Julia</t>
  </si>
  <si>
    <t>William James</t>
  </si>
  <si>
    <t>Downton</t>
  </si>
  <si>
    <t>Marshall Brines</t>
  </si>
  <si>
    <t>Drew</t>
  </si>
  <si>
    <t>James Vivian</t>
  </si>
  <si>
    <t>Lulu Thorne</t>
  </si>
  <si>
    <t>Asuncion</t>
  </si>
  <si>
    <t>Duran y More</t>
  </si>
  <si>
    <t>Florentina</t>
  </si>
  <si>
    <t>George Floyd</t>
  </si>
  <si>
    <t>Eitemiller</t>
  </si>
  <si>
    <t>Ingvar</t>
  </si>
  <si>
    <t>Enander</t>
  </si>
  <si>
    <t>Arne Jonas</t>
  </si>
  <si>
    <t>Fahlstrom</t>
  </si>
  <si>
    <t>Faunthorpe</t>
  </si>
  <si>
    <t>Elizabeth Anne</t>
  </si>
  <si>
    <t>Joseph Charles</t>
  </si>
  <si>
    <t>Fillbrook</t>
  </si>
  <si>
    <t>Stanley Hubert</t>
  </si>
  <si>
    <t>Fox</t>
  </si>
  <si>
    <t>Frost</t>
  </si>
  <si>
    <t>Annie Clemmer</t>
  </si>
  <si>
    <t>Funk</t>
  </si>
  <si>
    <t>Joseph J</t>
  </si>
  <si>
    <t>Fynney</t>
  </si>
  <si>
    <t>Gale</t>
  </si>
  <si>
    <t>Shadrach</t>
  </si>
  <si>
    <t>Garside</t>
  </si>
  <si>
    <t>Alfred</t>
  </si>
  <si>
    <t>Gaskell</t>
  </si>
  <si>
    <t>Gavey</t>
  </si>
  <si>
    <t>Gilbert</t>
  </si>
  <si>
    <t>Edgar</t>
  </si>
  <si>
    <t>Giles</t>
  </si>
  <si>
    <t>Frederick Edward</t>
  </si>
  <si>
    <t>Ralph</t>
  </si>
  <si>
    <t>John William</t>
  </si>
  <si>
    <t>Gill</t>
  </si>
  <si>
    <t>William Henry</t>
  </si>
  <si>
    <t>Gillespie</t>
  </si>
  <si>
    <t>Hans Kristensen</t>
  </si>
  <si>
    <t>Givard</t>
  </si>
  <si>
    <t>Greenberg</t>
  </si>
  <si>
    <t>Reginald</t>
  </si>
  <si>
    <t>Hale</t>
  </si>
  <si>
    <t>Viljo</t>
  </si>
  <si>
    <t>Hamalainen</t>
  </si>
  <si>
    <t>William H</t>
  </si>
  <si>
    <t>Harbeck</t>
  </si>
  <si>
    <t>Walter</t>
  </si>
  <si>
    <t>Eva Miriam</t>
  </si>
  <si>
    <t>Hart</t>
  </si>
  <si>
    <t>Esther Ada</t>
  </si>
  <si>
    <t>Jane</t>
  </si>
  <si>
    <t>Mary D</t>
  </si>
  <si>
    <t>Hewlett</t>
  </si>
  <si>
    <t>Leonard Mark</t>
  </si>
  <si>
    <t>Hickman</t>
  </si>
  <si>
    <t>Lewis</t>
  </si>
  <si>
    <t>Stanley George</t>
  </si>
  <si>
    <t>Marta</t>
  </si>
  <si>
    <t>Hiltunen</t>
  </si>
  <si>
    <t>Hocking</t>
  </si>
  <si>
    <t>Richard George</t>
  </si>
  <si>
    <t>Samuel James Metcalfe</t>
  </si>
  <si>
    <t>Eliza</t>
  </si>
  <si>
    <t>Henry Price</t>
  </si>
  <si>
    <t>Hodges</t>
  </si>
  <si>
    <t>Stephen</t>
  </si>
  <si>
    <t>Hold</t>
  </si>
  <si>
    <t>Annie Margaret</t>
  </si>
  <si>
    <t>Hood</t>
  </si>
  <si>
    <t>Masabumi</t>
  </si>
  <si>
    <t>Hosono</t>
  </si>
  <si>
    <t>Howard</t>
  </si>
  <si>
    <t>Ellen Truelove</t>
  </si>
  <si>
    <t>George Henry</t>
  </si>
  <si>
    <t>Hunt</t>
  </si>
  <si>
    <t>Ilett</t>
  </si>
  <si>
    <t>Sidney Samuel</t>
  </si>
  <si>
    <t>Jacobsohn</t>
  </si>
  <si>
    <t>Amy Frances</t>
  </si>
  <si>
    <t>John Denzil</t>
  </si>
  <si>
    <t>Jarvis</t>
  </si>
  <si>
    <t>Clifford Thomas</t>
  </si>
  <si>
    <t>Jefferys</t>
  </si>
  <si>
    <t>Ernest Wilfred</t>
  </si>
  <si>
    <t>Stephen Curnow</t>
  </si>
  <si>
    <t>Jenkin</t>
  </si>
  <si>
    <t>Marie Marthe</t>
  </si>
  <si>
    <t>Jerwan</t>
  </si>
  <si>
    <t>Sinai</t>
  </si>
  <si>
    <t>Kantor</t>
  </si>
  <si>
    <t>Miriam</t>
  </si>
  <si>
    <t>Claire</t>
  </si>
  <si>
    <t>Karnes</t>
  </si>
  <si>
    <t>Nora A</t>
  </si>
  <si>
    <t>Keane</t>
  </si>
  <si>
    <t>Kelly</t>
  </si>
  <si>
    <t>Charles Leonard</t>
  </si>
  <si>
    <t>Kirkland</t>
  </si>
  <si>
    <t>Robert J</t>
  </si>
  <si>
    <t>Knight</t>
  </si>
  <si>
    <t>Johan Henrik Johannesson</t>
  </si>
  <si>
    <t>Kvillner</t>
  </si>
  <si>
    <t>Lahtinen</t>
  </si>
  <si>
    <t>John Joseph</t>
  </si>
  <si>
    <t>Lamb</t>
  </si>
  <si>
    <t>Louise</t>
  </si>
  <si>
    <t>Laroche</t>
  </si>
  <si>
    <t>Simonne Marie Anne Andree</t>
  </si>
  <si>
    <t>Joseph Philippe Lemercier</t>
  </si>
  <si>
    <t>Juliette Marie Louise</t>
  </si>
  <si>
    <t>Lehmann</t>
  </si>
  <si>
    <t>Jessie Wills</t>
  </si>
  <si>
    <t>Leitch</t>
  </si>
  <si>
    <t>Lemore</t>
  </si>
  <si>
    <t>Rene Jacques</t>
  </si>
  <si>
    <t>Levy</t>
  </si>
  <si>
    <t>Robert William Norman</t>
  </si>
  <si>
    <t>Leyson</t>
  </si>
  <si>
    <t>Lingane</t>
  </si>
  <si>
    <t>Louch</t>
  </si>
  <si>
    <t>Alice Adelaide</t>
  </si>
  <si>
    <t>Mack</t>
  </si>
  <si>
    <t>Noel</t>
  </si>
  <si>
    <t>Malachard</t>
  </si>
  <si>
    <t>Andre</t>
  </si>
  <si>
    <t>Mallet</t>
  </si>
  <si>
    <t>Albert</t>
  </si>
  <si>
    <t>Antoinette</t>
  </si>
  <si>
    <t>Serafino Emilio</t>
  </si>
  <si>
    <t>Mangiavacchi</t>
  </si>
  <si>
    <t>Matthews</t>
  </si>
  <si>
    <t>Frank Hubert</t>
  </si>
  <si>
    <t>Maybery</t>
  </si>
  <si>
    <t>Arthur Gordon</t>
  </si>
  <si>
    <t>McCrae</t>
  </si>
  <si>
    <t>James Matthew</t>
  </si>
  <si>
    <t>McCrie</t>
  </si>
  <si>
    <t>Peter David</t>
  </si>
  <si>
    <t>McKane</t>
  </si>
  <si>
    <t>Madeleine Violet</t>
  </si>
  <si>
    <t>Mellinger</t>
  </si>
  <si>
    <t>Mellors</t>
  </si>
  <si>
    <t>August</t>
  </si>
  <si>
    <t>Jacob Christian</t>
  </si>
  <si>
    <t>Milling</t>
  </si>
  <si>
    <t>Henry Michael</t>
  </si>
  <si>
    <t>Mitchell</t>
  </si>
  <si>
    <t>Juozas</t>
  </si>
  <si>
    <t>Montvila</t>
  </si>
  <si>
    <t>Ernest</t>
  </si>
  <si>
    <t>Moraweck</t>
  </si>
  <si>
    <t>Henry Samuel</t>
  </si>
  <si>
    <t>Morley</t>
  </si>
  <si>
    <t>Thomas Charles</t>
  </si>
  <si>
    <t>Mudd</t>
  </si>
  <si>
    <t>Myles</t>
  </si>
  <si>
    <t>Nicholas</t>
  </si>
  <si>
    <t>Nasser</t>
  </si>
  <si>
    <t>Adele</t>
  </si>
  <si>
    <t>Edmond Roger</t>
  </si>
  <si>
    <t>Navratil</t>
  </si>
  <si>
    <t>Michel M</t>
  </si>
  <si>
    <t>Michel</t>
  </si>
  <si>
    <t>Israel</t>
  </si>
  <si>
    <t>Nesson</t>
  </si>
  <si>
    <t>Nicholls</t>
  </si>
  <si>
    <t>Norman</t>
  </si>
  <si>
    <t>Nourney</t>
  </si>
  <si>
    <t>Nye</t>
  </si>
  <si>
    <t>Otter</t>
  </si>
  <si>
    <t>Percy Thomas</t>
  </si>
  <si>
    <t>Oxenham</t>
  </si>
  <si>
    <t>Padro y Manent</t>
  </si>
  <si>
    <t>Pain</t>
  </si>
  <si>
    <t>Emilio</t>
  </si>
  <si>
    <t>Pallas y Castello</t>
  </si>
  <si>
    <t>Clifford Richard</t>
  </si>
  <si>
    <t>Parker</t>
  </si>
  <si>
    <t>Parkes</t>
  </si>
  <si>
    <t>Lutie</t>
  </si>
  <si>
    <t>Parrish</t>
  </si>
  <si>
    <t>Frederick William</t>
  </si>
  <si>
    <t>Pengelly</t>
  </si>
  <si>
    <t>Rene</t>
  </si>
  <si>
    <t>Pernot</t>
  </si>
  <si>
    <t>Joseph Maria</t>
  </si>
  <si>
    <t>Peruschitz</t>
  </si>
  <si>
    <t>Alice Frances Louisa</t>
  </si>
  <si>
    <t>Phillips</t>
  </si>
  <si>
    <t>Escott Robert</t>
  </si>
  <si>
    <t>Pinsky</t>
  </si>
  <si>
    <t>Ponesell</t>
  </si>
  <si>
    <t>Emilio Ilario Giuseppe</t>
  </si>
  <si>
    <t>Portaluppi</t>
  </si>
  <si>
    <t>Franz</t>
  </si>
  <si>
    <t>Pulbaum</t>
  </si>
  <si>
    <t>Phyllis May</t>
  </si>
  <si>
    <t>Quick</t>
  </si>
  <si>
    <t>Winifred Vera</t>
  </si>
  <si>
    <t>David</t>
  </si>
  <si>
    <t>Reeves</t>
  </si>
  <si>
    <t>Peter Henry</t>
  </si>
  <si>
    <t>Renouf</t>
  </si>
  <si>
    <t>Lillian</t>
  </si>
  <si>
    <t>Encarnacion</t>
  </si>
  <si>
    <t>Reynaldo</t>
  </si>
  <si>
    <t>Emile</t>
  </si>
  <si>
    <t>George Sibley</t>
  </si>
  <si>
    <t>Richards</t>
  </si>
  <si>
    <t>William Rowe</t>
  </si>
  <si>
    <t>Emily</t>
  </si>
  <si>
    <t>Lucy</t>
  </si>
  <si>
    <t>Ridsdale</t>
  </si>
  <si>
    <t>Reginald Harry</t>
  </si>
  <si>
    <t>Rogers</t>
  </si>
  <si>
    <t>Rugg</t>
  </si>
  <si>
    <t>Schmidt</t>
  </si>
  <si>
    <t>Charles Frederick Waddington</t>
  </si>
  <si>
    <t>Sedgwick</t>
  </si>
  <si>
    <t>Percival James R</t>
  </si>
  <si>
    <t>Sharp</t>
  </si>
  <si>
    <t>Imanita Parrish</t>
  </si>
  <si>
    <t>Shelley</t>
  </si>
  <si>
    <t>Lyyli Karoliina</t>
  </si>
  <si>
    <t>Silven</t>
  </si>
  <si>
    <t>Maude</t>
  </si>
  <si>
    <t>Sincock</t>
  </si>
  <si>
    <t>Sinkkonen</t>
  </si>
  <si>
    <t>Ernst Adolf</t>
  </si>
  <si>
    <t>Sjostedt</t>
  </si>
  <si>
    <t>Hilda Mary</t>
  </si>
  <si>
    <t>Slayter</t>
  </si>
  <si>
    <t>Richard James</t>
  </si>
  <si>
    <t>Slemen</t>
  </si>
  <si>
    <t>Marion Elsie</t>
  </si>
  <si>
    <t>Samuel James Hayden</t>
  </si>
  <si>
    <t>Sobey</t>
  </si>
  <si>
    <t>Samuel Ward</t>
  </si>
  <si>
    <t>Stanton</t>
  </si>
  <si>
    <t>Philip Joseph</t>
  </si>
  <si>
    <t>Stokes</t>
  </si>
  <si>
    <t>Swane</t>
  </si>
  <si>
    <t>George Frederick</t>
  </si>
  <si>
    <t>Sweet</t>
  </si>
  <si>
    <t>Toomey</t>
  </si>
  <si>
    <t>Moses Aaron</t>
  </si>
  <si>
    <t>Troupiansky</t>
  </si>
  <si>
    <t>Trout</t>
  </si>
  <si>
    <t>Troutt</t>
  </si>
  <si>
    <t>William John Robert</t>
  </si>
  <si>
    <t>Turpin</t>
  </si>
  <si>
    <t>Dorothy Ann</t>
  </si>
  <si>
    <t>James</t>
  </si>
  <si>
    <t>Veal</t>
  </si>
  <si>
    <t>Nellie</t>
  </si>
  <si>
    <t>Walcroft</t>
  </si>
  <si>
    <t>Ware</t>
  </si>
  <si>
    <t>William Jeffery</t>
  </si>
  <si>
    <t>Florence Louise</t>
  </si>
  <si>
    <t>Ennis Hastings</t>
  </si>
  <si>
    <t>Watson</t>
  </si>
  <si>
    <t>Bertha J</t>
  </si>
  <si>
    <t>Watt</t>
  </si>
  <si>
    <t>Susan</t>
  </si>
  <si>
    <t>Webber</t>
  </si>
  <si>
    <t>Leopold</t>
  </si>
  <si>
    <t>Weisz</t>
  </si>
  <si>
    <t>Mathilde Francoise</t>
  </si>
  <si>
    <t>Ralph Lester</t>
  </si>
  <si>
    <t>Wells</t>
  </si>
  <si>
    <t>Joan</t>
  </si>
  <si>
    <t>Barbara J</t>
  </si>
  <si>
    <t>West</t>
  </si>
  <si>
    <t>Constance Mirium</t>
  </si>
  <si>
    <t>Edwy Arthur</t>
  </si>
  <si>
    <t>Ada Mary</t>
  </si>
  <si>
    <t>Edward H</t>
  </si>
  <si>
    <t>Wheadon</t>
  </si>
  <si>
    <t>Wheeler</t>
  </si>
  <si>
    <t>Charles</t>
  </si>
  <si>
    <t>Wilhelms</t>
  </si>
  <si>
    <t>Charles Eugene</t>
  </si>
  <si>
    <t>Marion</t>
  </si>
  <si>
    <t>Yrois</t>
  </si>
  <si>
    <t>Anthony</t>
  </si>
  <si>
    <t>Abbing</t>
  </si>
  <si>
    <t>Eugene Joseph</t>
  </si>
  <si>
    <t>Abbott</t>
  </si>
  <si>
    <t>Rossmore Edward</t>
  </si>
  <si>
    <t>Rosa</t>
  </si>
  <si>
    <t>Karen Marie</t>
  </si>
  <si>
    <t>Abelseth</t>
  </si>
  <si>
    <t>Olaus Jorgensen</t>
  </si>
  <si>
    <t>Abraham August Johannes</t>
  </si>
  <si>
    <t>Abrahamsson</t>
  </si>
  <si>
    <t>Sophie Halaut</t>
  </si>
  <si>
    <t>Abrahim</t>
  </si>
  <si>
    <t>Mauritz Nils Martin</t>
  </si>
  <si>
    <t>Adahl</t>
  </si>
  <si>
    <t>Adams</t>
  </si>
  <si>
    <t>Johanna Persdotter</t>
  </si>
  <si>
    <t>Ahlin</t>
  </si>
  <si>
    <t>Philip Frank</t>
  </si>
  <si>
    <t>Aks</t>
  </si>
  <si>
    <t>Leah</t>
  </si>
  <si>
    <t>Nassef Cassem</t>
  </si>
  <si>
    <t>Albimona</t>
  </si>
  <si>
    <t>Ilmari Rudolf</t>
  </si>
  <si>
    <t>Alhomaki</t>
  </si>
  <si>
    <t>Ahmed</t>
  </si>
  <si>
    <t>Ali</t>
  </si>
  <si>
    <t>Owen George</t>
  </si>
  <si>
    <t>Allum</t>
  </si>
  <si>
    <t>Albert Karvin</t>
  </si>
  <si>
    <t>Andersen</t>
  </si>
  <si>
    <t>Carla Christine Nielsine</t>
  </si>
  <si>
    <t>Andersen-Jensen</t>
  </si>
  <si>
    <t>Sigvard Harald Elias</t>
  </si>
  <si>
    <t>Andersson</t>
  </si>
  <si>
    <t>Ebba Iris Alfrida</t>
  </si>
  <si>
    <t>Ellis Anna Maria</t>
  </si>
  <si>
    <t>Erna Alexandra</t>
  </si>
  <si>
    <t>Ida Augusta Margareta</t>
  </si>
  <si>
    <t>Ingeborg Constanzia</t>
  </si>
  <si>
    <t>Sigrid Elisabeth</t>
  </si>
  <si>
    <t>Anders Johan</t>
  </si>
  <si>
    <t>August Edvard</t>
  </si>
  <si>
    <t>Johan Samuel</t>
  </si>
  <si>
    <t>Alfrida Konstantia</t>
  </si>
  <si>
    <t>Paul Edvin</t>
  </si>
  <si>
    <t>Andreasson</t>
  </si>
  <si>
    <t>Minko</t>
  </si>
  <si>
    <t>Angheloff</t>
  </si>
  <si>
    <t>Josef</t>
  </si>
  <si>
    <t>Arnold-Franchi</t>
  </si>
  <si>
    <t>Josefine</t>
  </si>
  <si>
    <t>Ernst Axel Algot</t>
  </si>
  <si>
    <t>Aronsson</t>
  </si>
  <si>
    <t>Adola</t>
  </si>
  <si>
    <t>Asim</t>
  </si>
  <si>
    <t>Carl Edgar</t>
  </si>
  <si>
    <t>Asplund</t>
  </si>
  <si>
    <t>Clarence Gustaf Hugo</t>
  </si>
  <si>
    <t>Edvin Rojj Felix</t>
  </si>
  <si>
    <t>Filip Oscar</t>
  </si>
  <si>
    <t>Lillian Gertrud</t>
  </si>
  <si>
    <t>Carl Oscar Vilhelm Gustafsson</t>
  </si>
  <si>
    <t>Johan Charles</t>
  </si>
  <si>
    <t>Selma Augusta Emilia</t>
  </si>
  <si>
    <t>Assaf Khalil</t>
  </si>
  <si>
    <t>Gerios</t>
  </si>
  <si>
    <t>Assaf</t>
  </si>
  <si>
    <t>Assam</t>
  </si>
  <si>
    <t>Malake</t>
  </si>
  <si>
    <t>Attalah</t>
  </si>
  <si>
    <t>Sleiman</t>
  </si>
  <si>
    <t>Augustsson</t>
  </si>
  <si>
    <t>Banoura</t>
  </si>
  <si>
    <t>Ayoub</t>
  </si>
  <si>
    <t>Raffull</t>
  </si>
  <si>
    <t>Baccos</t>
  </si>
  <si>
    <t>Karl Alfred</t>
  </si>
  <si>
    <t>Backstrom</t>
  </si>
  <si>
    <t>Maria Mathilda</t>
  </si>
  <si>
    <t>Eugenie</t>
  </si>
  <si>
    <t>Baclini</t>
  </si>
  <si>
    <t>Helene Barbara</t>
  </si>
  <si>
    <t>Marie Catherine</t>
  </si>
  <si>
    <t>Latifa</t>
  </si>
  <si>
    <t>Emily Louisa</t>
  </si>
  <si>
    <t>Badman</t>
  </si>
  <si>
    <t>Mohamed</t>
  </si>
  <si>
    <t>Badt</t>
  </si>
  <si>
    <t>Cerin</t>
  </si>
  <si>
    <t>Balkic</t>
  </si>
  <si>
    <t>Hanna Assi</t>
  </si>
  <si>
    <t>Barah</t>
  </si>
  <si>
    <t>Saiide</t>
  </si>
  <si>
    <t>Barbara</t>
  </si>
  <si>
    <t>Catherine</t>
  </si>
  <si>
    <t>Julia</t>
  </si>
  <si>
    <t>Barry</t>
  </si>
  <si>
    <t>David John</t>
  </si>
  <si>
    <t>Barton</t>
  </si>
  <si>
    <t>Beavan</t>
  </si>
  <si>
    <t>John Viktor</t>
  </si>
  <si>
    <t>Bengtsson</t>
  </si>
  <si>
    <t>Karl Ivar Sven</t>
  </si>
  <si>
    <t>Berglund</t>
  </si>
  <si>
    <t>Seman</t>
  </si>
  <si>
    <t>Betros</t>
  </si>
  <si>
    <t>Tannous</t>
  </si>
  <si>
    <t>Lee</t>
  </si>
  <si>
    <t>Bing</t>
  </si>
  <si>
    <t>Hans Martin Monsen</t>
  </si>
  <si>
    <t>Birkeland</t>
  </si>
  <si>
    <t>Ernst Herbert</t>
  </si>
  <si>
    <t>Bjorklund</t>
  </si>
  <si>
    <t>Guentcho</t>
  </si>
  <si>
    <t>Bostandyeff</t>
  </si>
  <si>
    <t>Akar</t>
  </si>
  <si>
    <t>Boulos</t>
  </si>
  <si>
    <t>Nourelain</t>
  </si>
  <si>
    <t>Hanna</t>
  </si>
  <si>
    <t>Bourke</t>
  </si>
  <si>
    <t>Bridget Delia</t>
  </si>
  <si>
    <t>Elin Ester Maria</t>
  </si>
  <si>
    <t>Braf</t>
  </si>
  <si>
    <t>Lewis Richard</t>
  </si>
  <si>
    <t>Braund</t>
  </si>
  <si>
    <t>Owen Harris</t>
  </si>
  <si>
    <t>Karl Rudolf</t>
  </si>
  <si>
    <t>Brobeck</t>
  </si>
  <si>
    <t>William Alfred</t>
  </si>
  <si>
    <t>Brocklebank</t>
  </si>
  <si>
    <t>Katherine</t>
  </si>
  <si>
    <t>Buckley</t>
  </si>
  <si>
    <t>Jeremiah</t>
  </si>
  <si>
    <t>Burke</t>
  </si>
  <si>
    <t>Mary Delia</t>
  </si>
  <si>
    <t>Manda</t>
  </si>
  <si>
    <t>Cacic</t>
  </si>
  <si>
    <t>Marija</t>
  </si>
  <si>
    <t>Jego Grga</t>
  </si>
  <si>
    <t>Luka</t>
  </si>
  <si>
    <t>Jovo</t>
  </si>
  <si>
    <t>Calic</t>
  </si>
  <si>
    <t>Petar</t>
  </si>
  <si>
    <t>Canavan</t>
  </si>
  <si>
    <t>Patrick</t>
  </si>
  <si>
    <t>Ernest Charles</t>
  </si>
  <si>
    <t>Cann</t>
  </si>
  <si>
    <t>Joseph</t>
  </si>
  <si>
    <t>Caram</t>
  </si>
  <si>
    <t>Maria</t>
  </si>
  <si>
    <t>August Sigfrid</t>
  </si>
  <si>
    <t>Carl Robert</t>
  </si>
  <si>
    <t>Carr</t>
  </si>
  <si>
    <t>Jeannie</t>
  </si>
  <si>
    <t>Alfred John</t>
  </si>
  <si>
    <t>Carver</t>
  </si>
  <si>
    <t>Francesco</t>
  </si>
  <si>
    <t>Celotti</t>
  </si>
  <si>
    <t>Charters</t>
  </si>
  <si>
    <t>Chang</t>
  </si>
  <si>
    <t>Chip</t>
  </si>
  <si>
    <t>Christmann</t>
  </si>
  <si>
    <t>Apostolos</t>
  </si>
  <si>
    <t>Chronopoulos</t>
  </si>
  <si>
    <t>Demetrios</t>
  </si>
  <si>
    <t>Domingos Fernandeo</t>
  </si>
  <si>
    <t>Coelho</t>
  </si>
  <si>
    <t>Cohen</t>
  </si>
  <si>
    <t>Colbert</t>
  </si>
  <si>
    <t>Peju</t>
  </si>
  <si>
    <t>Coleff</t>
  </si>
  <si>
    <t>Satio</t>
  </si>
  <si>
    <t>Thomas Henry</t>
  </si>
  <si>
    <t>Conlon</t>
  </si>
  <si>
    <t>Michael</t>
  </si>
  <si>
    <t>Connaghton</t>
  </si>
  <si>
    <t>Connolly</t>
  </si>
  <si>
    <t>Connors</t>
  </si>
  <si>
    <t>Jacob</t>
  </si>
  <si>
    <t>Bartol</t>
  </si>
  <si>
    <t>Cor</t>
  </si>
  <si>
    <t>Ivan</t>
  </si>
  <si>
    <t>Liudevit</t>
  </si>
  <si>
    <t>Corn</t>
  </si>
  <si>
    <t>Coutts</t>
  </si>
  <si>
    <t>Coxon</t>
  </si>
  <si>
    <t>Ernest James</t>
  </si>
  <si>
    <t>Crease</t>
  </si>
  <si>
    <t>Laura Alice</t>
  </si>
  <si>
    <t>Cribb</t>
  </si>
  <si>
    <t>John Hatfield</t>
  </si>
  <si>
    <t>Jeso</t>
  </si>
  <si>
    <t>Culumovic</t>
  </si>
  <si>
    <t>Shedid</t>
  </si>
  <si>
    <t>Daher</t>
  </si>
  <si>
    <t>Karl Edwart</t>
  </si>
  <si>
    <t>Dahl</t>
  </si>
  <si>
    <t>Gerda Ulrika</t>
  </si>
  <si>
    <t>Dahlberg</t>
  </si>
  <si>
    <t>Branko</t>
  </si>
  <si>
    <t>Dakic</t>
  </si>
  <si>
    <t>Eugene Patrick</t>
  </si>
  <si>
    <t>Gilbert Sigvard Emanuel</t>
  </si>
  <si>
    <t>Danbom</t>
  </si>
  <si>
    <t>Ernst Gilbert</t>
  </si>
  <si>
    <t>Anna Sigrid Maria</t>
  </si>
  <si>
    <t>Yoto</t>
  </si>
  <si>
    <t>Danoff</t>
  </si>
  <si>
    <t>Ristiu</t>
  </si>
  <si>
    <t>Dantcheff</t>
  </si>
  <si>
    <t>Alfred J</t>
  </si>
  <si>
    <t>Evan</t>
  </si>
  <si>
    <t>John Samuel</t>
  </si>
  <si>
    <t>Davison</t>
  </si>
  <si>
    <t>Mary E</t>
  </si>
  <si>
    <t>Guillaume Joseph</t>
  </si>
  <si>
    <t>de Messemaeker</t>
  </si>
  <si>
    <t>Theodore</t>
  </si>
  <si>
    <t>de Mulder</t>
  </si>
  <si>
    <t>Alfons</t>
  </si>
  <si>
    <t>de Pelsmaeker</t>
  </si>
  <si>
    <t>Bertram Vere</t>
  </si>
  <si>
    <t>Dean</t>
  </si>
  <si>
    <t>Bertram Frank</t>
  </si>
  <si>
    <t>Eva Georgetta</t>
  </si>
  <si>
    <t>Redjo</t>
  </si>
  <si>
    <t>Delalic</t>
  </si>
  <si>
    <t>Marinko</t>
  </si>
  <si>
    <t>Demetri</t>
  </si>
  <si>
    <t>Mitto</t>
  </si>
  <si>
    <t>Denkoff</t>
  </si>
  <si>
    <t>Dennis</t>
  </si>
  <si>
    <t>Margaret Delia</t>
  </si>
  <si>
    <t>Devaney</t>
  </si>
  <si>
    <t>Mirko</t>
  </si>
  <si>
    <t>Dika</t>
  </si>
  <si>
    <t>Jovan</t>
  </si>
  <si>
    <t>Dimic</t>
  </si>
  <si>
    <t>Valtcho</t>
  </si>
  <si>
    <t>Dintcheff</t>
  </si>
  <si>
    <t>Doharr</t>
  </si>
  <si>
    <t>Dooley</t>
  </si>
  <si>
    <t>Edward Arthur</t>
  </si>
  <si>
    <t>Dorking</t>
  </si>
  <si>
    <t>Dowdell</t>
  </si>
  <si>
    <t>Doyle</t>
  </si>
  <si>
    <t>Jennie</t>
  </si>
  <si>
    <t>Drapkin</t>
  </si>
  <si>
    <t>Jozef</t>
  </si>
  <si>
    <t>Drazenoic</t>
  </si>
  <si>
    <t>Frank</t>
  </si>
  <si>
    <t>Duane</t>
  </si>
  <si>
    <t>Duquemin</t>
  </si>
  <si>
    <t>Adolf Fredrik</t>
  </si>
  <si>
    <t>Dyker</t>
  </si>
  <si>
    <t>Anna Elisabeth Judith</t>
  </si>
  <si>
    <t>Gustaf Hjalmar</t>
  </si>
  <si>
    <t>Edvardsson</t>
  </si>
  <si>
    <t>Hans Linus</t>
  </si>
  <si>
    <t>Eklund</t>
  </si>
  <si>
    <t>Johan</t>
  </si>
  <si>
    <t>Ekstrom</t>
  </si>
  <si>
    <t>Dibo</t>
  </si>
  <si>
    <t>Elias</t>
  </si>
  <si>
    <t>Elsbury</t>
  </si>
  <si>
    <t>Virginia Ethel</t>
  </si>
  <si>
    <t>Emanuel</t>
  </si>
  <si>
    <t>Farred Chehab</t>
  </si>
  <si>
    <t>Emir</t>
  </si>
  <si>
    <t>Thomas James</t>
  </si>
  <si>
    <t>Everett</t>
  </si>
  <si>
    <t>Farrell</t>
  </si>
  <si>
    <t>Luigi</t>
  </si>
  <si>
    <t>Finoli</t>
  </si>
  <si>
    <t>Eberhard Thelander</t>
  </si>
  <si>
    <t>Fischer</t>
  </si>
  <si>
    <t>Honora</t>
  </si>
  <si>
    <t>Foley</t>
  </si>
  <si>
    <t>Choong</t>
  </si>
  <si>
    <t>Foo</t>
  </si>
  <si>
    <t>Ford</t>
  </si>
  <si>
    <t>Arthur</t>
  </si>
  <si>
    <t>Edward Watson</t>
  </si>
  <si>
    <t>William Neal</t>
  </si>
  <si>
    <t>Margaret Ann</t>
  </si>
  <si>
    <t>Gallagher</t>
  </si>
  <si>
    <t>Garfirth</t>
  </si>
  <si>
    <t>Stanio</t>
  </si>
  <si>
    <t>Gheorgheff</t>
  </si>
  <si>
    <t>Eliezer</t>
  </si>
  <si>
    <t>Gilinski</t>
  </si>
  <si>
    <t>Gilnagh</t>
  </si>
  <si>
    <t>Mary Agatha</t>
  </si>
  <si>
    <t>Glynn</t>
  </si>
  <si>
    <t>Goldsmith</t>
  </si>
  <si>
    <t>Frank John</t>
  </si>
  <si>
    <t>Nathan</t>
  </si>
  <si>
    <t>Emily Alice</t>
  </si>
  <si>
    <t>Manuel Estanslas</t>
  </si>
  <si>
    <t>Goncalves</t>
  </si>
  <si>
    <t>Harold Victor</t>
  </si>
  <si>
    <t>Goodwin</t>
  </si>
  <si>
    <t>Sidney Leonard</t>
  </si>
  <si>
    <t>William Frederick</t>
  </si>
  <si>
    <t>Jessie Allis</t>
  </si>
  <si>
    <t>Lillian Amy</t>
  </si>
  <si>
    <t>Charles Edward</t>
  </si>
  <si>
    <t>Charles Frederick</t>
  </si>
  <si>
    <t>Green</t>
  </si>
  <si>
    <t>Daniel Danielsen</t>
  </si>
  <si>
    <t>Gronnestad</t>
  </si>
  <si>
    <t>Guest</t>
  </si>
  <si>
    <t>Alfred Ossian</t>
  </si>
  <si>
    <t>Gustafsson</t>
  </si>
  <si>
    <t>Anders Vilhelm</t>
  </si>
  <si>
    <t>Johan Birger</t>
  </si>
  <si>
    <t>Karl Gideon</t>
  </si>
  <si>
    <t>Aloisia</t>
  </si>
  <si>
    <t>Haas</t>
  </si>
  <si>
    <t>Hagardon</t>
  </si>
  <si>
    <t>Ingvald Olai Olsen</t>
  </si>
  <si>
    <t>Hagland</t>
  </si>
  <si>
    <t>Konrad Mathias Reiersen</t>
  </si>
  <si>
    <t>Pekka Pietari</t>
  </si>
  <si>
    <t>Hakkarainen</t>
  </si>
  <si>
    <t>Elin Matilda</t>
  </si>
  <si>
    <t>Leon</t>
  </si>
  <si>
    <t>Hampe</t>
  </si>
  <si>
    <t>Mansour</t>
  </si>
  <si>
    <t>Claus Peter</t>
  </si>
  <si>
    <t>Hansen</t>
  </si>
  <si>
    <t>Henrik Juul</t>
  </si>
  <si>
    <t>Henry Damsgaard</t>
  </si>
  <si>
    <t>Jennie L</t>
  </si>
  <si>
    <t>Alice Phoebe</t>
  </si>
  <si>
    <t>Harknett</t>
  </si>
  <si>
    <t>Abraham</t>
  </si>
  <si>
    <t>Harmer</t>
  </si>
  <si>
    <t>Houssein G N</t>
  </si>
  <si>
    <t>Hassan</t>
  </si>
  <si>
    <t>Healy</t>
  </si>
  <si>
    <t>Oskar Arvid</t>
  </si>
  <si>
    <t>Hedman</t>
  </si>
  <si>
    <t>Ling</t>
  </si>
  <si>
    <t>Hee</t>
  </si>
  <si>
    <t>Hegarty</t>
  </si>
  <si>
    <t>Laina</t>
  </si>
  <si>
    <t>Heikkinen</t>
  </si>
  <si>
    <t>Wendla Maria</t>
  </si>
  <si>
    <t>Heininen</t>
  </si>
  <si>
    <t>Hilda Maria</t>
  </si>
  <si>
    <t>Hellstrom</t>
  </si>
  <si>
    <t>Ignjac</t>
  </si>
  <si>
    <t>Hendekovic</t>
  </si>
  <si>
    <t>Jenny Lovisa</t>
  </si>
  <si>
    <t>Henriksson</t>
  </si>
  <si>
    <t>Delia</t>
  </si>
  <si>
    <t>Hildur E</t>
  </si>
  <si>
    <t>Hirvonen</t>
  </si>
  <si>
    <t>Helga E</t>
  </si>
  <si>
    <t>John Fredrik Alexander</t>
  </si>
  <si>
    <t>Holm</t>
  </si>
  <si>
    <t>Johan Martin</t>
  </si>
  <si>
    <t>Holthen</t>
  </si>
  <si>
    <t>Eliina</t>
  </si>
  <si>
    <t>Honkanen</t>
  </si>
  <si>
    <t>Horgan</t>
  </si>
  <si>
    <t>May Elizabeth</t>
  </si>
  <si>
    <t>Adolf Mathias Nicolai Olsen</t>
  </si>
  <si>
    <t>Humblen</t>
  </si>
  <si>
    <t>Hyman</t>
  </si>
  <si>
    <t>Yousseff</t>
  </si>
  <si>
    <t>Ibrahim Shawah</t>
  </si>
  <si>
    <t>Ylio</t>
  </si>
  <si>
    <t>Ilieff</t>
  </si>
  <si>
    <t>Ida Livija</t>
  </si>
  <si>
    <t>Ilmakangas</t>
  </si>
  <si>
    <t>Pieta Sofia</t>
  </si>
  <si>
    <t>Kanio</t>
  </si>
  <si>
    <t>Ivanoff</t>
  </si>
  <si>
    <t>Jalsevac</t>
  </si>
  <si>
    <t>Carl Olof</t>
  </si>
  <si>
    <t>Jansson</t>
  </si>
  <si>
    <t>Jose Neto</t>
  </si>
  <si>
    <t>Jardin</t>
  </si>
  <si>
    <t>Hans Peder</t>
  </si>
  <si>
    <t>Jensen</t>
  </si>
  <si>
    <t>Niels Peder</t>
  </si>
  <si>
    <t>Svend Lauritz</t>
  </si>
  <si>
    <t>Annie</t>
  </si>
  <si>
    <t>Jermyn</t>
  </si>
  <si>
    <t>Bernt</t>
  </si>
  <si>
    <t>Johannesen-Bratthammer</t>
  </si>
  <si>
    <t>Jakob Alfred</t>
  </si>
  <si>
    <t>Johanson</t>
  </si>
  <si>
    <t>Oskar Leander</t>
  </si>
  <si>
    <t>Johansson Palmquist</t>
  </si>
  <si>
    <t>Erik</t>
  </si>
  <si>
    <t>Johansson</t>
  </si>
  <si>
    <t>Gustaf Joel</t>
  </si>
  <si>
    <t>Karl Johan</t>
  </si>
  <si>
    <t>Nils</t>
  </si>
  <si>
    <t>Harold Theodor</t>
  </si>
  <si>
    <t>Johnson</t>
  </si>
  <si>
    <t>Eleanor Ileen</t>
  </si>
  <si>
    <t>Malkolm Joackim</t>
  </si>
  <si>
    <t>Elisabeth Vilhelmina</t>
  </si>
  <si>
    <t>Johnston</t>
  </si>
  <si>
    <t>Andrew G</t>
  </si>
  <si>
    <t>Lalio</t>
  </si>
  <si>
    <t>Jonkoff</t>
  </si>
  <si>
    <t>Carl</t>
  </si>
  <si>
    <t>Jonsson</t>
  </si>
  <si>
    <t>Nils Hilding</t>
  </si>
  <si>
    <t>Katriina</t>
  </si>
  <si>
    <t>Jussila</t>
  </si>
  <si>
    <t>Mari Aina</t>
  </si>
  <si>
    <t>Eiriik</t>
  </si>
  <si>
    <t>Nikolai Erland</t>
  </si>
  <si>
    <t>Kallio</t>
  </si>
  <si>
    <t>Johannes Halvorsen</t>
  </si>
  <si>
    <t>Kalvik</t>
  </si>
  <si>
    <t>Milan</t>
  </si>
  <si>
    <t>Karaic</t>
  </si>
  <si>
    <t>Einar Gervasius</t>
  </si>
  <si>
    <t>Karlsson</t>
  </si>
  <si>
    <t>Julius Konrad Eugen</t>
  </si>
  <si>
    <t>Nils August</t>
  </si>
  <si>
    <t>Manca</t>
  </si>
  <si>
    <t>Karun</t>
  </si>
  <si>
    <t>Fared</t>
  </si>
  <si>
    <t>Kassem</t>
  </si>
  <si>
    <t>Vassilios</t>
  </si>
  <si>
    <t>Katavelas</t>
  </si>
  <si>
    <t>Keefe</t>
  </si>
  <si>
    <t>Kennedy</t>
  </si>
  <si>
    <t>Khalil</t>
  </si>
  <si>
    <t>Kiernan</t>
  </si>
  <si>
    <t>Philip</t>
  </si>
  <si>
    <t>Thomas J</t>
  </si>
  <si>
    <t>Kilgannon</t>
  </si>
  <si>
    <t>Kink</t>
  </si>
  <si>
    <t>Vincenz</t>
  </si>
  <si>
    <t>Luise Gretchen</t>
  </si>
  <si>
    <t>Kink-Heilmann</t>
  </si>
  <si>
    <t>Anton</t>
  </si>
  <si>
    <t>Luise</t>
  </si>
  <si>
    <t>Gertrud Emilia</t>
  </si>
  <si>
    <t>Klasen</t>
  </si>
  <si>
    <t>Klas Albin</t>
  </si>
  <si>
    <t>Hulda Kristina Eugenia</t>
  </si>
  <si>
    <t>Theodor</t>
  </si>
  <si>
    <t>Kraeff</t>
  </si>
  <si>
    <t>Neshan</t>
  </si>
  <si>
    <t>Krekorian</t>
  </si>
  <si>
    <t>Sarkis</t>
  </si>
  <si>
    <t>Lahoud</t>
  </si>
  <si>
    <t>Kristina Sofia</t>
  </si>
  <si>
    <t>Laitinen</t>
  </si>
  <si>
    <t>Kristo</t>
  </si>
  <si>
    <t>Laleff</t>
  </si>
  <si>
    <t>Lam</t>
  </si>
  <si>
    <t>Len</t>
  </si>
  <si>
    <t>Aurora Adelia</t>
  </si>
  <si>
    <t>Landergren</t>
  </si>
  <si>
    <t>Lane</t>
  </si>
  <si>
    <t>Fang</t>
  </si>
  <si>
    <t>Lang</t>
  </si>
  <si>
    <t>August Viktor</t>
  </si>
  <si>
    <t>Larsson</t>
  </si>
  <si>
    <t>Bengt Edvin</t>
  </si>
  <si>
    <t>Edvard A</t>
  </si>
  <si>
    <t>Larsson-Rondberg</t>
  </si>
  <si>
    <t>Fahim</t>
  </si>
  <si>
    <t>Leeni</t>
  </si>
  <si>
    <t>Lefebre</t>
  </si>
  <si>
    <t>Ida</t>
  </si>
  <si>
    <t>Mathilde</t>
  </si>
  <si>
    <t>Antti Gustaf</t>
  </si>
  <si>
    <t>Leinonen</t>
  </si>
  <si>
    <t>Peter L</t>
  </si>
  <si>
    <t>Lemberopolous</t>
  </si>
  <si>
    <t>Lennon</t>
  </si>
  <si>
    <t>Denis</t>
  </si>
  <si>
    <t>Lionel</t>
  </si>
  <si>
    <t>Leonard</t>
  </si>
  <si>
    <t>Lester</t>
  </si>
  <si>
    <t>Rene Aime</t>
  </si>
  <si>
    <t>Lievens</t>
  </si>
  <si>
    <t>Agda Thorilda Viktoria</t>
  </si>
  <si>
    <t>Lindahl</t>
  </si>
  <si>
    <t>Augusta Charlotta</t>
  </si>
  <si>
    <t>Lindblom</t>
  </si>
  <si>
    <t>Edvard Bengtsson</t>
  </si>
  <si>
    <t>Lindell</t>
  </si>
  <si>
    <t>Elin Gerda</t>
  </si>
  <si>
    <t>Eino William</t>
  </si>
  <si>
    <t>Lindqvist</t>
  </si>
  <si>
    <t>Linehan</t>
  </si>
  <si>
    <t>Simon</t>
  </si>
  <si>
    <t>Lithman</t>
  </si>
  <si>
    <t>William Arthur</t>
  </si>
  <si>
    <t>Lobb</t>
  </si>
  <si>
    <t>Cordelia K</t>
  </si>
  <si>
    <t>Lockyer</t>
  </si>
  <si>
    <t>John Hall</t>
  </si>
  <si>
    <t>Lovell</t>
  </si>
  <si>
    <t>Nikola</t>
  </si>
  <si>
    <t>Lulic</t>
  </si>
  <si>
    <t>Johan Svensson</t>
  </si>
  <si>
    <t>Lundahl</t>
  </si>
  <si>
    <t>Olga Elida</t>
  </si>
  <si>
    <t>Lundin</t>
  </si>
  <si>
    <t>Thure Edvin</t>
  </si>
  <si>
    <t>Lundstrom</t>
  </si>
  <si>
    <t>Stanko</t>
  </si>
  <si>
    <t>Lyntakoff</t>
  </si>
  <si>
    <t>George William</t>
  </si>
  <si>
    <t>MacKay</t>
  </si>
  <si>
    <t>Madigan</t>
  </si>
  <si>
    <t>Fridtjof Arne</t>
  </si>
  <si>
    <t>Madsen</t>
  </si>
  <si>
    <t>Matti Alexanteri</t>
  </si>
  <si>
    <t>Maenpaa</t>
  </si>
  <si>
    <t>Mahon</t>
  </si>
  <si>
    <t>Maisner</t>
  </si>
  <si>
    <t>Kalle Edvard</t>
  </si>
  <si>
    <t>Makinen</t>
  </si>
  <si>
    <t>Mamee</t>
  </si>
  <si>
    <t>Mangan</t>
  </si>
  <si>
    <t>Margareth</t>
  </si>
  <si>
    <t>Mannion</t>
  </si>
  <si>
    <t>Mardirosian</t>
  </si>
  <si>
    <t>Marin</t>
  </si>
  <si>
    <t>Markoff</t>
  </si>
  <si>
    <t>Johann</t>
  </si>
  <si>
    <t>Markun</t>
  </si>
  <si>
    <t>Fatima</t>
  </si>
  <si>
    <t>Masselmani</t>
  </si>
  <si>
    <t>Nicola</t>
  </si>
  <si>
    <t>Matinoff</t>
  </si>
  <si>
    <t>Thomas Joseph</t>
  </si>
  <si>
    <t>McCormack</t>
  </si>
  <si>
    <t>Agnes</t>
  </si>
  <si>
    <t>McCoy</t>
  </si>
  <si>
    <t>Alicia</t>
  </si>
  <si>
    <t>Bernard</t>
  </si>
  <si>
    <t>Brigdet Delia</t>
  </si>
  <si>
    <t>McDermott</t>
  </si>
  <si>
    <t>McEvoy</t>
  </si>
  <si>
    <t>McGovern</t>
  </si>
  <si>
    <t>McGowan</t>
  </si>
  <si>
    <t>McMahon</t>
  </si>
  <si>
    <t>Neal</t>
  </si>
  <si>
    <t>McNamee</t>
  </si>
  <si>
    <t>Eileen</t>
  </si>
  <si>
    <t>Bridget</t>
  </si>
  <si>
    <t>McNeill</t>
  </si>
  <si>
    <t>Meanwell</t>
  </si>
  <si>
    <t>Annie Louise</t>
  </si>
  <si>
    <t>Meek</t>
  </si>
  <si>
    <t>Alfonzo</t>
  </si>
  <si>
    <t>Meo</t>
  </si>
  <si>
    <t>Mernagh</t>
  </si>
  <si>
    <t>Karl Albert</t>
  </si>
  <si>
    <t>Midtsjo</t>
  </si>
  <si>
    <t>Miles</t>
  </si>
  <si>
    <t>Mineff</t>
  </si>
  <si>
    <t>Lazar</t>
  </si>
  <si>
    <t>Minkoff</t>
  </si>
  <si>
    <t>Stoytcho</t>
  </si>
  <si>
    <t>Mionoff</t>
  </si>
  <si>
    <t>Mito</t>
  </si>
  <si>
    <t>Mitkoff</t>
  </si>
  <si>
    <t>Mockler</t>
  </si>
  <si>
    <t>Sigurd Hansen</t>
  </si>
  <si>
    <t>Moen</t>
  </si>
  <si>
    <t>Meier</t>
  </si>
  <si>
    <t>Moor</t>
  </si>
  <si>
    <t>Leonard Charles</t>
  </si>
  <si>
    <t>Moran</t>
  </si>
  <si>
    <t>Daniel J</t>
  </si>
  <si>
    <t>Thomas Rowan</t>
  </si>
  <si>
    <t>Morrow</t>
  </si>
  <si>
    <t>Albert Johan</t>
  </si>
  <si>
    <t>Moss</t>
  </si>
  <si>
    <t>Moubarek</t>
  </si>
  <si>
    <t>Halim Gonios</t>
  </si>
  <si>
    <t>Mantoura</t>
  </si>
  <si>
    <t>Moussa</t>
  </si>
  <si>
    <t>Rahamin Haim</t>
  </si>
  <si>
    <t>Moutal</t>
  </si>
  <si>
    <t>Mullens</t>
  </si>
  <si>
    <t>Bertha E</t>
  </si>
  <si>
    <t>Mulvihill</t>
  </si>
  <si>
    <t>Murdlin</t>
  </si>
  <si>
    <t>Murphy</t>
  </si>
  <si>
    <t>Margaret Jane</t>
  </si>
  <si>
    <t>Nora</t>
  </si>
  <si>
    <t>Pehr Fabian Oliver Malkolm</t>
  </si>
  <si>
    <t>Myhrman</t>
  </si>
  <si>
    <t>Penko</t>
  </si>
  <si>
    <t>Naidenoff</t>
  </si>
  <si>
    <t>Najib</t>
  </si>
  <si>
    <t>Nakid</t>
  </si>
  <si>
    <t>Sahid</t>
  </si>
  <si>
    <t>Nancarrow</t>
  </si>
  <si>
    <t>Nankoff</t>
  </si>
  <si>
    <t>Mustafa</t>
  </si>
  <si>
    <t>Nasr</t>
  </si>
  <si>
    <t>Naughton</t>
  </si>
  <si>
    <t>Christo</t>
  </si>
  <si>
    <t>Nenkoff</t>
  </si>
  <si>
    <t>Nicola-Yarred</t>
  </si>
  <si>
    <t>Jamila</t>
  </si>
  <si>
    <t>Manta Josefina</t>
  </si>
  <si>
    <t>Nieminen</t>
  </si>
  <si>
    <t>Niklasson</t>
  </si>
  <si>
    <t>Berta Olivia</t>
  </si>
  <si>
    <t>Nilsson</t>
  </si>
  <si>
    <t>Helmina Josefina</t>
  </si>
  <si>
    <t>August Ferdinand</t>
  </si>
  <si>
    <t>Iisakki Antino Aijo</t>
  </si>
  <si>
    <t>Nirva</t>
  </si>
  <si>
    <t>Juha</t>
  </si>
  <si>
    <t>Niskanen</t>
  </si>
  <si>
    <t>Richard Cater</t>
  </si>
  <si>
    <t>Nosworthy</t>
  </si>
  <si>
    <t>Mansouer</t>
  </si>
  <si>
    <t>Novel</t>
  </si>
  <si>
    <t>Anna Sofia</t>
  </si>
  <si>
    <t>Nysten</t>
  </si>
  <si>
    <t>Johan Hansen</t>
  </si>
  <si>
    <t>Nysveen</t>
  </si>
  <si>
    <t>Thomas</t>
  </si>
  <si>
    <t>O'Brien</t>
  </si>
  <si>
    <t>Timothy</t>
  </si>
  <si>
    <t>Patrick D</t>
  </si>
  <si>
    <t>O'Connell</t>
  </si>
  <si>
    <t>Maurice</t>
  </si>
  <si>
    <t>O'Connor</t>
  </si>
  <si>
    <t>Nils Martin</t>
  </si>
  <si>
    <t>Odahl</t>
  </si>
  <si>
    <t>O'Donoghue</t>
  </si>
  <si>
    <t>O'Driscoll</t>
  </si>
  <si>
    <t>O'Dwyer</t>
  </si>
  <si>
    <t>Velin</t>
  </si>
  <si>
    <t>Ohman</t>
  </si>
  <si>
    <t>O'Keefe</t>
  </si>
  <si>
    <t>O'Leary</t>
  </si>
  <si>
    <t>Artur Karl</t>
  </si>
  <si>
    <t>Olsen</t>
  </si>
  <si>
    <t>Henry Margido</t>
  </si>
  <si>
    <t>Karl Siegwart Andreas</t>
  </si>
  <si>
    <t>Ole Martin</t>
  </si>
  <si>
    <t>Elina</t>
  </si>
  <si>
    <t>Olsson</t>
  </si>
  <si>
    <t>Nils Johan Goransson</t>
  </si>
  <si>
    <t>Oscar Wilhelm</t>
  </si>
  <si>
    <t>Thor Anderson</t>
  </si>
  <si>
    <t>Olsvigen</t>
  </si>
  <si>
    <t>Jelka</t>
  </si>
  <si>
    <t>Oreskovic</t>
  </si>
  <si>
    <t>Olaf Elon</t>
  </si>
  <si>
    <t>Osen</t>
  </si>
  <si>
    <t>Mara</t>
  </si>
  <si>
    <t>Osman</t>
  </si>
  <si>
    <t>Bridget Mary</t>
  </si>
  <si>
    <t>O'Sullivan</t>
  </si>
  <si>
    <t>Gosta Leonard</t>
  </si>
  <si>
    <t>Palsson</t>
  </si>
  <si>
    <t>Paul Folke</t>
  </si>
  <si>
    <t>Stina Viola</t>
  </si>
  <si>
    <t>Torborg Danira</t>
  </si>
  <si>
    <t>Alma Cornelia</t>
  </si>
  <si>
    <t>Eino Viljami</t>
  </si>
  <si>
    <t>Panula</t>
  </si>
  <si>
    <t>Juha Niilo</t>
  </si>
  <si>
    <t>Urho Abraham</t>
  </si>
  <si>
    <t>Ernesti Arvid</t>
  </si>
  <si>
    <t>Jaako Arnold</t>
  </si>
  <si>
    <t>Maria Emilia</t>
  </si>
  <si>
    <t>Pasic</t>
  </si>
  <si>
    <t>Patchett</t>
  </si>
  <si>
    <t>Uscher</t>
  </si>
  <si>
    <t>Paulner</t>
  </si>
  <si>
    <t>Stefo</t>
  </si>
  <si>
    <t>Pavlovic</t>
  </si>
  <si>
    <t>Alfred Edward</t>
  </si>
  <si>
    <t>Peacock</t>
  </si>
  <si>
    <t>Treasteall</t>
  </si>
  <si>
    <t>Pearce</t>
  </si>
  <si>
    <t>Olaf</t>
  </si>
  <si>
    <t>Pedersen</t>
  </si>
  <si>
    <t>Peduzzi</t>
  </si>
  <si>
    <t>Edvard</t>
  </si>
  <si>
    <t>Pekoniemi</t>
  </si>
  <si>
    <t>Nikolai Johannes</t>
  </si>
  <si>
    <t>Peltomaki</t>
  </si>
  <si>
    <t>Perkin</t>
  </si>
  <si>
    <t>Ernst Ulrik</t>
  </si>
  <si>
    <t>Persson</t>
  </si>
  <si>
    <t>Michael J</t>
  </si>
  <si>
    <t>Peter</t>
  </si>
  <si>
    <t>Katie</t>
  </si>
  <si>
    <t>Peters</t>
  </si>
  <si>
    <t>Marius</t>
  </si>
  <si>
    <t>Petersen</t>
  </si>
  <si>
    <t>Matilda</t>
  </si>
  <si>
    <t>Petranec</t>
  </si>
  <si>
    <t>Nedelio</t>
  </si>
  <si>
    <t>Petroff</t>
  </si>
  <si>
    <t>Pastcho</t>
  </si>
  <si>
    <t>Johan Emil</t>
  </si>
  <si>
    <t>Petterson</t>
  </si>
  <si>
    <t>Ellen Natalia</t>
  </si>
  <si>
    <t>Pettersson</t>
  </si>
  <si>
    <t>Berk</t>
  </si>
  <si>
    <t>Pickard</t>
  </si>
  <si>
    <t>Vasil</t>
  </si>
  <si>
    <t>Plotcharsky</t>
  </si>
  <si>
    <t>Mate</t>
  </si>
  <si>
    <t>Pokrnic</t>
  </si>
  <si>
    <t>Tome</t>
  </si>
  <si>
    <t>Radeff</t>
  </si>
  <si>
    <t>Lena Jacobsen</t>
  </si>
  <si>
    <t>Rasmussen</t>
  </si>
  <si>
    <t>Raihed</t>
  </si>
  <si>
    <t>Razi</t>
  </si>
  <si>
    <t>James George</t>
  </si>
  <si>
    <t>Reed</t>
  </si>
  <si>
    <t>Tido</t>
  </si>
  <si>
    <t>Rekic</t>
  </si>
  <si>
    <t>Harold J</t>
  </si>
  <si>
    <t>Reynolds</t>
  </si>
  <si>
    <t>Rice</t>
  </si>
  <si>
    <t>Eric</t>
  </si>
  <si>
    <t>Eugene</t>
  </si>
  <si>
    <t>George Hugh</t>
  </si>
  <si>
    <t>Riihivouri</t>
  </si>
  <si>
    <t>Matti</t>
  </si>
  <si>
    <t>Rintamaki</t>
  </si>
  <si>
    <t>Riordan</t>
  </si>
  <si>
    <t>Samuel Beard</t>
  </si>
  <si>
    <t>Risien</t>
  </si>
  <si>
    <t>Alexander A</t>
  </si>
  <si>
    <t>Robins</t>
  </si>
  <si>
    <t>Grace Charity</t>
  </si>
  <si>
    <t>Knud Paust</t>
  </si>
  <si>
    <t>Rommetvedt</t>
  </si>
  <si>
    <t>Salli Helena</t>
  </si>
  <si>
    <t>Rosblom</t>
  </si>
  <si>
    <t>Viktor Richard</t>
  </si>
  <si>
    <t>Helena</t>
  </si>
  <si>
    <t>Sarah A</t>
  </si>
  <si>
    <t>Roth</t>
  </si>
  <si>
    <t>Richard Henry</t>
  </si>
  <si>
    <t>Rouse</t>
  </si>
  <si>
    <t>Alfred George John</t>
  </si>
  <si>
    <t>Rush</t>
  </si>
  <si>
    <t>Ryan</t>
  </si>
  <si>
    <t>Amin</t>
  </si>
  <si>
    <t>Saad</t>
  </si>
  <si>
    <t>Jean Nassr</t>
  </si>
  <si>
    <t>Saade</t>
  </si>
  <si>
    <t>Matthew</t>
  </si>
  <si>
    <t>Sadlier</t>
  </si>
  <si>
    <t>Sadowitz</t>
  </si>
  <si>
    <t>Simon Sivertsen</t>
  </si>
  <si>
    <t>Saether</t>
  </si>
  <si>
    <t>Sage</t>
  </si>
  <si>
    <t>Ada</t>
  </si>
  <si>
    <t>Constance Gladys</t>
  </si>
  <si>
    <t>Stella Anna</t>
  </si>
  <si>
    <t>Douglas Bullen</t>
  </si>
  <si>
    <t>Salander</t>
  </si>
  <si>
    <t>Anna Kristine</t>
  </si>
  <si>
    <t>Salkjelsvik</t>
  </si>
  <si>
    <t>Johan Werner</t>
  </si>
  <si>
    <t>Salonen</t>
  </si>
  <si>
    <t>Samaan</t>
  </si>
  <si>
    <t>Youssef</t>
  </si>
  <si>
    <t>Beatrice Irene</t>
  </si>
  <si>
    <t>Sandstrom</t>
  </si>
  <si>
    <t>Agnes Charlotta</t>
  </si>
  <si>
    <t>Marguerite Rut</t>
  </si>
  <si>
    <t>Julius</t>
  </si>
  <si>
    <t>Sap</t>
  </si>
  <si>
    <t>Saundercock</t>
  </si>
  <si>
    <t>Frederick Charles</t>
  </si>
  <si>
    <t>Sawyer</t>
  </si>
  <si>
    <t>Scanlan</t>
  </si>
  <si>
    <t>Todor</t>
  </si>
  <si>
    <t>Sdycoff</t>
  </si>
  <si>
    <t>Shaughnessy</t>
  </si>
  <si>
    <t>Jan Baptist</t>
  </si>
  <si>
    <t>Sheerlinck</t>
  </si>
  <si>
    <t>Shellard</t>
  </si>
  <si>
    <t>Shine</t>
  </si>
  <si>
    <t>Charles Joseph</t>
  </si>
  <si>
    <t>Shorney</t>
  </si>
  <si>
    <t>Simmons</t>
  </si>
  <si>
    <t>Orsen</t>
  </si>
  <si>
    <t>Sirayanian</t>
  </si>
  <si>
    <t>Sirota</t>
  </si>
  <si>
    <t>Husein</t>
  </si>
  <si>
    <t>Sivic</t>
  </si>
  <si>
    <t>Antti Wilhelm</t>
  </si>
  <si>
    <t>Sivola</t>
  </si>
  <si>
    <t>Sjoblom</t>
  </si>
  <si>
    <t>Harald</t>
  </si>
  <si>
    <t>Skoog</t>
  </si>
  <si>
    <t>Karl Thorsten</t>
  </si>
  <si>
    <t>Mabel</t>
  </si>
  <si>
    <t>Margit Elizabeth</t>
  </si>
  <si>
    <t>Wilhelm</t>
  </si>
  <si>
    <t>Anna Bernhardina</t>
  </si>
  <si>
    <t>Petco</t>
  </si>
  <si>
    <t>Slabenoff</t>
  </si>
  <si>
    <t>Selman Francis</t>
  </si>
  <si>
    <t>Slocovski</t>
  </si>
  <si>
    <t>Mile</t>
  </si>
  <si>
    <t>Smiljanic</t>
  </si>
  <si>
    <t>Smyth</t>
  </si>
  <si>
    <t>Peter Andreas Lauritz Andersen</t>
  </si>
  <si>
    <t>Soholt</t>
  </si>
  <si>
    <t>Francis William</t>
  </si>
  <si>
    <t>Somerton</t>
  </si>
  <si>
    <t>Woolf</t>
  </si>
  <si>
    <t>Spector</t>
  </si>
  <si>
    <t>Henry John</t>
  </si>
  <si>
    <t>Spinner</t>
  </si>
  <si>
    <t>Staneff</t>
  </si>
  <si>
    <t>Stankovic</t>
  </si>
  <si>
    <t>Amy Zillah Elsie</t>
  </si>
  <si>
    <t>Stanley</t>
  </si>
  <si>
    <t>Edward Roland</t>
  </si>
  <si>
    <t>Storey</t>
  </si>
  <si>
    <t>Ilia</t>
  </si>
  <si>
    <t>Stoytcheff</t>
  </si>
  <si>
    <t>Ida Sofia</t>
  </si>
  <si>
    <t>Strandberg</t>
  </si>
  <si>
    <t>Juho</t>
  </si>
  <si>
    <t>Stranden</t>
  </si>
  <si>
    <t>Strilic</t>
  </si>
  <si>
    <t>Telma Matilda</t>
  </si>
  <si>
    <t>Strom</t>
  </si>
  <si>
    <t>Elna Matilda</t>
  </si>
  <si>
    <t>Victor Francis</t>
  </si>
  <si>
    <t>Sunderland</t>
  </si>
  <si>
    <t>Johan Julian</t>
  </si>
  <si>
    <t>Sundman</t>
  </si>
  <si>
    <t>Sutehall</t>
  </si>
  <si>
    <t>Svensson</t>
  </si>
  <si>
    <t>Johan Cervin</t>
  </si>
  <si>
    <t>Olof</t>
  </si>
  <si>
    <t>Gunnar Isidor</t>
  </si>
  <si>
    <t>Tenglin</t>
  </si>
  <si>
    <t>Thomas Leonard</t>
  </si>
  <si>
    <t>Theobald</t>
  </si>
  <si>
    <t>Assad Alexander</t>
  </si>
  <si>
    <t>Charles P</t>
  </si>
  <si>
    <t>Thamine</t>
  </si>
  <si>
    <t>Alexander Morrison</t>
  </si>
  <si>
    <t>Percival</t>
  </si>
  <si>
    <t>Thorneycroft</t>
  </si>
  <si>
    <t>Florence Kate</t>
  </si>
  <si>
    <t>Tikkanen</t>
  </si>
  <si>
    <t>Roger</t>
  </si>
  <si>
    <t>Tobin</t>
  </si>
  <si>
    <t>Todoroff</t>
  </si>
  <si>
    <t>Ernest Portage</t>
  </si>
  <si>
    <t>Tomlin</t>
  </si>
  <si>
    <t>Ernst William</t>
  </si>
  <si>
    <t>Torber</t>
  </si>
  <si>
    <t>Assad</t>
  </si>
  <si>
    <t>Torfa</t>
  </si>
  <si>
    <t>Tornquist</t>
  </si>
  <si>
    <t>Nakli</t>
  </si>
  <si>
    <t>Toufik</t>
  </si>
  <si>
    <t>Georges Youssef</t>
  </si>
  <si>
    <t>Touma</t>
  </si>
  <si>
    <t>Maria Youssef</t>
  </si>
  <si>
    <t>Hanne Youssef</t>
  </si>
  <si>
    <t>Stjepan</t>
  </si>
  <si>
    <t>Turcin</t>
  </si>
  <si>
    <t>Turja</t>
  </si>
  <si>
    <t>Turkula</t>
  </si>
  <si>
    <t>James William</t>
  </si>
  <si>
    <t>van Billiard</t>
  </si>
  <si>
    <t>Walter John</t>
  </si>
  <si>
    <t>Austin Blyler</t>
  </si>
  <si>
    <t>Catharina</t>
  </si>
  <si>
    <t>Van Impe</t>
  </si>
  <si>
    <t>Jean Baptiste</t>
  </si>
  <si>
    <t>Rosalie Paula</t>
  </si>
  <si>
    <t>Philemon</t>
  </si>
  <si>
    <t>van Melkebeke</t>
  </si>
  <si>
    <t>Johannes Joseph</t>
  </si>
  <si>
    <t>Vande Velde</t>
  </si>
  <si>
    <t>Nestor Cyriel</t>
  </si>
  <si>
    <t>Vande Walle</t>
  </si>
  <si>
    <t>Leo Peter</t>
  </si>
  <si>
    <t>Vanden Steen</t>
  </si>
  <si>
    <t>Vander Cruyssen</t>
  </si>
  <si>
    <t>Augusta Maria</t>
  </si>
  <si>
    <t>Vander Planke</t>
  </si>
  <si>
    <t>Leo Edmondus</t>
  </si>
  <si>
    <t>Emelia Maria</t>
  </si>
  <si>
    <t>Vartanian</t>
  </si>
  <si>
    <t>Olof Edvin</t>
  </si>
  <si>
    <t>Vendel</t>
  </si>
  <si>
    <t>Hulda Amanda Adolfina</t>
  </si>
  <si>
    <t>Vestrom</t>
  </si>
  <si>
    <t>Janko</t>
  </si>
  <si>
    <t>Vovk</t>
  </si>
  <si>
    <t>Achille</t>
  </si>
  <si>
    <t>Waelens</t>
  </si>
  <si>
    <t>Charles William</t>
  </si>
  <si>
    <t>Linhart</t>
  </si>
  <si>
    <t>Wenzel</t>
  </si>
  <si>
    <t>Shawneene</t>
  </si>
  <si>
    <t>Whabee</t>
  </si>
  <si>
    <t>Carl/Charles Peter</t>
  </si>
  <si>
    <t>Widegren</t>
  </si>
  <si>
    <t>Wiklund</t>
  </si>
  <si>
    <t>Wilkes</t>
  </si>
  <si>
    <t>Aaron</t>
  </si>
  <si>
    <t>Willer</t>
  </si>
  <si>
    <t>Willey</t>
  </si>
  <si>
    <t>Leslie</t>
  </si>
  <si>
    <t>Einar</t>
  </si>
  <si>
    <t>Windelov</t>
  </si>
  <si>
    <t>Wirz</t>
  </si>
  <si>
    <t>Phillippe</t>
  </si>
  <si>
    <t>Wiseman</t>
  </si>
  <si>
    <t>Camille</t>
  </si>
  <si>
    <t>Wittevrongel</t>
  </si>
  <si>
    <t>Antoni</t>
  </si>
  <si>
    <t>Yasbeck</t>
  </si>
  <si>
    <t>Selini</t>
  </si>
  <si>
    <t>Gerious</t>
  </si>
  <si>
    <t>Youseff</t>
  </si>
  <si>
    <t>Wazli</t>
  </si>
  <si>
    <t>Yousif</t>
  </si>
  <si>
    <t>Hileni</t>
  </si>
  <si>
    <t>Zabour</t>
  </si>
  <si>
    <t>Mapriededer</t>
  </si>
  <si>
    <t>Zakarian</t>
  </si>
  <si>
    <t>Ortin</t>
  </si>
  <si>
    <t>Leo</t>
  </si>
  <si>
    <t>Zimmerman</t>
  </si>
  <si>
    <t>answerTblName</t>
  </si>
  <si>
    <t>Gold is achievable only if the learner spots the bug in P_FinalSpacePos and fixes it. They will get 99.59% otherwise.</t>
  </si>
  <si>
    <t>Some edge cases will remain:</t>
  </si>
  <si>
    <t>Manually validated</t>
  </si>
  <si>
    <t>Berthe Antonine</t>
  </si>
  <si>
    <t>Maria Josefa Perez de Soto</t>
  </si>
  <si>
    <t>Countess of Rothes.</t>
  </si>
  <si>
    <t>Florence Agnes</t>
  </si>
  <si>
    <t>Karolina</t>
  </si>
  <si>
    <t>Some of the names are impossible to parse without manual handling--e.g. inferring whether a name is probably male or probably female</t>
  </si>
  <si>
    <t>Kate Florence</t>
  </si>
  <si>
    <t>Jessie L</t>
  </si>
  <si>
    <t>Elizabeth Inglis</t>
  </si>
  <si>
    <t>Addie Dart</t>
  </si>
  <si>
    <t>Henriette</t>
  </si>
  <si>
    <t>Sultana</t>
  </si>
  <si>
    <t>Winnie</t>
  </si>
  <si>
    <t>Zahie</t>
  </si>
  <si>
    <t>Frances</t>
  </si>
  <si>
    <t>Beila</t>
  </si>
  <si>
    <t>Omine</t>
  </si>
  <si>
    <t>Waika</t>
  </si>
  <si>
    <t>Johanna</t>
  </si>
  <si>
    <t>Hedwig</t>
  </si>
  <si>
    <t>Susan Parker</t>
  </si>
  <si>
    <t>Annie Jessie</t>
  </si>
  <si>
    <t>Florence</t>
  </si>
  <si>
    <t>Edwina Celia</t>
  </si>
  <si>
    <t>Margaret Marcella</t>
  </si>
  <si>
    <t>Elizabeth Gladys</t>
  </si>
  <si>
    <t>Doolina Margaret</t>
  </si>
  <si>
    <t>Robina Maggie</t>
  </si>
  <si>
    <t>Hanora</t>
  </si>
  <si>
    <t>Catherine Helen</t>
  </si>
  <si>
    <t>Anna Katherine</t>
  </si>
  <si>
    <t>Helen Mary</t>
  </si>
  <si>
    <t>Adele Kiamie</t>
  </si>
  <si>
    <t>Susanna Juhantytar</t>
  </si>
  <si>
    <t>Dorothy Edith</t>
  </si>
  <si>
    <t>Anthony Wood</t>
  </si>
  <si>
    <t>Francis</t>
  </si>
  <si>
    <t>Gurshon</t>
  </si>
  <si>
    <t>Eden Leslie</t>
  </si>
  <si>
    <t>William Loch</t>
  </si>
  <si>
    <t>Frank John William</t>
  </si>
  <si>
    <t>Howard Hugh</t>
  </si>
  <si>
    <t>William Thornton</t>
  </si>
  <si>
    <t>Archibald</t>
  </si>
  <si>
    <t>Alexander Taylor</t>
  </si>
  <si>
    <t>Edwin Nelson</t>
  </si>
  <si>
    <t>Washington Augustus</t>
  </si>
  <si>
    <t>Gilbert Milligan</t>
  </si>
  <si>
    <t>John Morgan</t>
  </si>
  <si>
    <t>Ambrose</t>
  </si>
  <si>
    <t>William Cahoone</t>
  </si>
  <si>
    <t>George John</t>
  </si>
  <si>
    <t>Debugging</t>
  </si>
  <si>
    <t>Allowed to contain hard-coded values</t>
  </si>
  <si>
    <t>Override</t>
  </si>
  <si>
    <t>InParenthesesCleaned</t>
  </si>
  <si>
    <t>=AND(logical1, [logical2], ...)</t>
  </si>
  <si>
    <t>=OR(logical1, [logical2], ...)</t>
  </si>
  <si>
    <t>P_NSpaces</t>
  </si>
  <si>
    <t>=ISERROR(value)</t>
  </si>
  <si>
    <t>=NOT(logical)</t>
  </si>
  <si>
    <t>Getting quick help on formula functions</t>
  </si>
  <si>
    <t>Use the arrow keys or mouse to select the function you want from the suggestions list and press Tab. Excel will show you the list of parameters expected by that function. Optional parameters are shown in square brackets.</t>
  </si>
  <si>
    <t>To get help on any formula function, start typing a formula in any cell. Excel will offer autocomplete suggestions.</t>
  </si>
  <si>
    <t>Maybe check if the user's solution contains leading or trailing whitespace</t>
  </si>
  <si>
    <t>Lady.</t>
  </si>
  <si>
    <t>Mlle.</t>
  </si>
  <si>
    <t>Ms.</t>
  </si>
  <si>
    <t>Sir.</t>
  </si>
  <si>
    <t>Dona.</t>
  </si>
  <si>
    <t>Dr.</t>
  </si>
  <si>
    <t>Mme.</t>
  </si>
  <si>
    <t>Capt.</t>
  </si>
  <si>
    <t>Col.</t>
  </si>
  <si>
    <t>Don.</t>
  </si>
  <si>
    <t>Jonkheer.</t>
  </si>
  <si>
    <t>Major.</t>
  </si>
  <si>
    <t>Rev.</t>
  </si>
  <si>
    <t>dataTblShtProtected</t>
  </si>
  <si>
    <t>Data Cleaning Challenge Part 1</t>
  </si>
  <si>
    <t>Conditional formatting prototype ranges</t>
  </si>
  <si>
    <t>Formatted prototype</t>
  </si>
  <si>
    <t>&gt; 0 (legacy compatibility)</t>
  </si>
  <si>
    <t>I have surely made some mistakes when deciding on the "correct" parsing of some names. See https://www.encyclopedia-titanica.org/</t>
  </si>
  <si>
    <t>Difficult</t>
  </si>
  <si>
    <t>! Beware: table header references that look like "[[#Headers],[Colname]]" are NOT column-locked when you drag the formula. Try to avoid.</t>
  </si>
  <si>
    <t>REDUNDANT FORMULA DELETED</t>
  </si>
  <si>
    <t>_100PcntAccPossible</t>
  </si>
  <si>
    <t>MAKE SURE THE TABLE AUTOFILTER IS AVAILABLE, PLUS INSERT COLS</t>
  </si>
  <si>
    <t>BEFORE EVERY RELEASE:</t>
  </si>
  <si>
    <t>Make sure that the ranges specified in tblCFPrototypes are up to date.</t>
  </si>
  <si>
    <t>AppliesToRange</t>
  </si>
  <si>
    <t>Sheet</t>
  </si>
  <si>
    <t>Activity</t>
  </si>
  <si>
    <t>Other formula functions</t>
  </si>
  <si>
    <t>Excel 365/2021+ formula functions</t>
  </si>
  <si>
    <t>Operators</t>
  </si>
  <si>
    <t>="String1" &amp; "String2"</t>
  </si>
  <si>
    <t>=1 + 2 - 3 * 4 / 5</t>
  </si>
  <si>
    <t>Paste unscoped addresses here --&gt;</t>
  </si>
  <si>
    <t>SUM($B$359,$B$110,$B$129,$B$135,$B$151,$B$163:$B$164,$B$203,$B$212,$B$229,$B$237,$B$248,$B$286,$B$304,$B$314,$B$322)</t>
  </si>
  <si>
    <t>Worksheet name (i.e. scope for ranges)</t>
  </si>
  <si>
    <t>Output: scoped addresses</t>
  </si>
  <si>
    <t>Convert list of unscoped range addresses to worksheet scope. E.g. "$A$1" --&gt; "Activity!$A$1".</t>
  </si>
  <si>
    <r>
      <t xml:space="preserve">While in formula editing mode, as shown above, press </t>
    </r>
    <r>
      <rPr>
        <b/>
        <sz val="11"/>
        <color theme="1"/>
        <rFont val="Montserrat"/>
      </rPr>
      <t>F1</t>
    </r>
    <r>
      <rPr>
        <sz val="11"/>
        <color theme="1"/>
        <rFont val="Montserrat"/>
      </rPr>
      <t xml:space="preserve"> to call up in-depth contextual help. In modern version of Excel, a help panel will appear on the right-hand side of the screen.</t>
    </r>
  </si>
  <si>
    <r>
      <rPr>
        <b/>
        <sz val="11"/>
        <color theme="1"/>
        <rFont val="Montserrat"/>
      </rPr>
      <t>IF()</t>
    </r>
    <r>
      <rPr>
        <sz val="11"/>
        <color theme="1"/>
        <rFont val="Montserrat"/>
      </rPr>
      <t xml:space="preserve"> returns one value if a condition is TRUE, and a different value if the condition is FALSE. Note: </t>
    </r>
    <r>
      <rPr>
        <b/>
        <sz val="11"/>
        <color theme="1"/>
        <rFont val="Montserrat"/>
      </rPr>
      <t>IF()</t>
    </r>
    <r>
      <rPr>
        <sz val="11"/>
        <color theme="1"/>
        <rFont val="Montserrat"/>
      </rPr>
      <t xml:space="preserve"> statements can be nested.</t>
    </r>
  </si>
  <si>
    <r>
      <rPr>
        <b/>
        <sz val="11"/>
        <color theme="1"/>
        <rFont val="Montserrat"/>
      </rPr>
      <t>AND()</t>
    </r>
    <r>
      <rPr>
        <sz val="11"/>
        <color theme="1"/>
        <rFont val="Montserrat"/>
      </rPr>
      <t xml:space="preserve"> performs the logical AND operation. It returns TRUE if </t>
    </r>
    <r>
      <rPr>
        <b/>
        <sz val="11"/>
        <color theme="1"/>
        <rFont val="Montserrat"/>
      </rPr>
      <t>all</t>
    </r>
    <r>
      <rPr>
        <sz val="11"/>
        <color theme="1"/>
        <rFont val="Montserrat"/>
      </rPr>
      <t xml:space="preserve"> of its input arguments are TRUE, and FALSE otherwise.</t>
    </r>
  </si>
  <si>
    <r>
      <rPr>
        <b/>
        <sz val="11"/>
        <color theme="1"/>
        <rFont val="Montserrat"/>
      </rPr>
      <t>OR()</t>
    </r>
    <r>
      <rPr>
        <sz val="11"/>
        <color theme="1"/>
        <rFont val="Montserrat"/>
      </rPr>
      <t xml:space="preserve"> performs the logical OR operation. It returns TRUE if </t>
    </r>
    <r>
      <rPr>
        <b/>
        <sz val="11"/>
        <color theme="1"/>
        <rFont val="Montserrat"/>
      </rPr>
      <t>any</t>
    </r>
    <r>
      <rPr>
        <sz val="11"/>
        <color theme="1"/>
        <rFont val="Montserrat"/>
      </rPr>
      <t xml:space="preserve"> of its input arguments is TRUE, and FALSE otherwise.</t>
    </r>
  </si>
  <si>
    <r>
      <rPr>
        <b/>
        <sz val="11"/>
        <color theme="1"/>
        <rFont val="Montserrat"/>
      </rPr>
      <t>NOT()</t>
    </r>
    <r>
      <rPr>
        <sz val="11"/>
        <color theme="1"/>
        <rFont val="Montserrat"/>
      </rPr>
      <t xml:space="preserve"> performs the logical NOT operation. It returns TRUE if its argument is FALSE, and FALSE if its argument is TRUE.</t>
    </r>
  </si>
  <si>
    <r>
      <t xml:space="preserve">The </t>
    </r>
    <r>
      <rPr>
        <b/>
        <sz val="11"/>
        <color theme="1"/>
        <rFont val="Montserrat"/>
      </rPr>
      <t>LEFT()</t>
    </r>
    <r>
      <rPr>
        <sz val="11"/>
        <color theme="1"/>
        <rFont val="Montserrat"/>
      </rPr>
      <t xml:space="preserve"> and </t>
    </r>
    <r>
      <rPr>
        <b/>
        <sz val="11"/>
        <color theme="1"/>
        <rFont val="Montserrat"/>
      </rPr>
      <t>RIGHT()</t>
    </r>
    <r>
      <rPr>
        <sz val="11"/>
        <color theme="1"/>
        <rFont val="Montserrat"/>
      </rPr>
      <t xml:space="preserve"> functions return a specified number of characters from the start or end of a string, respectively.</t>
    </r>
  </si>
  <si>
    <r>
      <rPr>
        <b/>
        <sz val="11"/>
        <color theme="1"/>
        <rFont val="Montserrat"/>
      </rPr>
      <t>MID()</t>
    </r>
    <r>
      <rPr>
        <sz val="11"/>
        <color theme="1"/>
        <rFont val="Montserrat"/>
      </rPr>
      <t xml:space="preserve"> returns a specified number of characters from any specified start position within a string.</t>
    </r>
  </si>
  <si>
    <r>
      <rPr>
        <b/>
        <sz val="11"/>
        <color theme="1"/>
        <rFont val="Montserrat"/>
      </rPr>
      <t>LEN()</t>
    </r>
    <r>
      <rPr>
        <sz val="11"/>
        <color theme="1"/>
        <rFont val="Montserrat"/>
      </rPr>
      <t xml:space="preserve"> returns the number of characters in a string.</t>
    </r>
  </si>
  <si>
    <r>
      <rPr>
        <b/>
        <sz val="11"/>
        <color theme="1"/>
        <rFont val="Montserrat"/>
      </rPr>
      <t>TRIM()</t>
    </r>
    <r>
      <rPr>
        <sz val="11"/>
        <color theme="1"/>
        <rFont val="Montserrat"/>
      </rPr>
      <t xml:space="preserve"> removes any number of space characters from both the start and end of a string simultaneously.</t>
    </r>
  </si>
  <si>
    <r>
      <rPr>
        <b/>
        <sz val="11"/>
        <color theme="1"/>
        <rFont val="Montserrat"/>
      </rPr>
      <t>SUBSTITUTE()</t>
    </r>
    <r>
      <rPr>
        <sz val="11"/>
        <color theme="1"/>
        <rFont val="Montserrat"/>
      </rPr>
      <t xml:space="preserve"> replaces a substring inside a string.</t>
    </r>
  </si>
  <si>
    <r>
      <rPr>
        <b/>
        <sz val="11"/>
        <color theme="1"/>
        <rFont val="Montserrat"/>
      </rPr>
      <t>FIND()</t>
    </r>
    <r>
      <rPr>
        <sz val="11"/>
        <color theme="1"/>
        <rFont val="Montserrat"/>
      </rPr>
      <t xml:space="preserve"> returns the start position of a substring inside another string, or #VALUE! if the substring is not present.</t>
    </r>
  </si>
  <si>
    <r>
      <rPr>
        <b/>
        <sz val="11"/>
        <color theme="1"/>
        <rFont val="Montserrat"/>
      </rPr>
      <t>IFERROR()</t>
    </r>
    <r>
      <rPr>
        <sz val="11"/>
        <color theme="1"/>
        <rFont val="Montserrat"/>
      </rPr>
      <t xml:space="preserve"> returns the value inside the brackets, unless the value is an error (#VALUE!, #N/A, etc.), in which case it returns a specified default value.</t>
    </r>
  </si>
  <si>
    <r>
      <rPr>
        <b/>
        <sz val="11"/>
        <color theme="1"/>
        <rFont val="Montserrat"/>
      </rPr>
      <t>ISERROR()</t>
    </r>
    <r>
      <rPr>
        <sz val="11"/>
        <color theme="1"/>
        <rFont val="Montserrat"/>
      </rPr>
      <t xml:space="preserve"> returns TRUE if its argument is an error value, and FALSE otherwise.</t>
    </r>
  </si>
  <si>
    <r>
      <t xml:space="preserve">Operators are special characters such as </t>
    </r>
    <r>
      <rPr>
        <b/>
        <sz val="11"/>
        <color theme="1"/>
        <rFont val="Montserrat"/>
      </rPr>
      <t>+</t>
    </r>
    <r>
      <rPr>
        <sz val="11"/>
        <color theme="1"/>
        <rFont val="Montserrat"/>
      </rPr>
      <t xml:space="preserve">, </t>
    </r>
    <r>
      <rPr>
        <b/>
        <sz val="11"/>
        <color theme="1"/>
        <rFont val="Montserrat"/>
      </rPr>
      <t>-</t>
    </r>
    <r>
      <rPr>
        <sz val="11"/>
        <color theme="1"/>
        <rFont val="Montserrat"/>
      </rPr>
      <t xml:space="preserve">, </t>
    </r>
    <r>
      <rPr>
        <b/>
        <sz val="11"/>
        <color theme="1"/>
        <rFont val="Montserrat"/>
      </rPr>
      <t>*</t>
    </r>
    <r>
      <rPr>
        <sz val="11"/>
        <color theme="1"/>
        <rFont val="Montserrat"/>
      </rPr>
      <t xml:space="preserve"> and </t>
    </r>
    <r>
      <rPr>
        <b/>
        <sz val="11"/>
        <color theme="1"/>
        <rFont val="Montserrat"/>
      </rPr>
      <t>/</t>
    </r>
    <r>
      <rPr>
        <sz val="11"/>
        <color theme="1"/>
        <rFont val="Montserrat"/>
      </rPr>
      <t xml:space="preserve"> that trigger certain calculations within a formula. For example, the </t>
    </r>
    <r>
      <rPr>
        <b/>
        <sz val="11"/>
        <color theme="1"/>
        <rFont val="Montserrat"/>
      </rPr>
      <t>+</t>
    </r>
    <r>
      <rPr>
        <sz val="11"/>
        <color theme="1"/>
        <rFont val="Montserrat"/>
      </rPr>
      <t xml:space="preserve"> operator performs addition between two numbers.</t>
    </r>
  </si>
  <si>
    <r>
      <t xml:space="preserve">The </t>
    </r>
    <r>
      <rPr>
        <b/>
        <sz val="11"/>
        <color theme="1"/>
        <rFont val="Montserrat"/>
      </rPr>
      <t>+</t>
    </r>
    <r>
      <rPr>
        <sz val="11"/>
        <color theme="1"/>
        <rFont val="Montserrat"/>
      </rPr>
      <t xml:space="preserve">, </t>
    </r>
    <r>
      <rPr>
        <b/>
        <sz val="11"/>
        <color theme="1"/>
        <rFont val="Montserrat"/>
      </rPr>
      <t>-</t>
    </r>
    <r>
      <rPr>
        <sz val="11"/>
        <color theme="1"/>
        <rFont val="Montserrat"/>
      </rPr>
      <t xml:space="preserve">, </t>
    </r>
    <r>
      <rPr>
        <b/>
        <sz val="11"/>
        <color theme="1"/>
        <rFont val="Montserrat"/>
      </rPr>
      <t>*</t>
    </r>
    <r>
      <rPr>
        <sz val="11"/>
        <color theme="1"/>
        <rFont val="Montserrat"/>
      </rPr>
      <t xml:space="preserve"> and </t>
    </r>
    <r>
      <rPr>
        <b/>
        <sz val="11"/>
        <color theme="1"/>
        <rFont val="Montserrat"/>
      </rPr>
      <t>/</t>
    </r>
    <r>
      <rPr>
        <sz val="11"/>
        <color theme="1"/>
        <rFont val="Montserrat"/>
      </rPr>
      <t xml:space="preserve"> operators perform basic arithmetic operations on numbers.</t>
    </r>
  </si>
  <si>
    <r>
      <t xml:space="preserve">Note: many formula functions return a number, such as </t>
    </r>
    <r>
      <rPr>
        <b/>
        <sz val="11"/>
        <color theme="1"/>
        <rFont val="Montserrat"/>
      </rPr>
      <t>LEN()</t>
    </r>
    <r>
      <rPr>
        <sz val="11"/>
        <color theme="1"/>
        <rFont val="Montserrat"/>
      </rPr>
      <t xml:space="preserve">, </t>
    </r>
    <r>
      <rPr>
        <b/>
        <sz val="11"/>
        <color theme="1"/>
        <rFont val="Montserrat"/>
      </rPr>
      <t>FIND()</t>
    </r>
    <r>
      <rPr>
        <sz val="11"/>
        <color theme="1"/>
        <rFont val="Montserrat"/>
      </rPr>
      <t xml:space="preserve"> and </t>
    </r>
    <r>
      <rPr>
        <b/>
        <sz val="11"/>
        <color theme="1"/>
        <rFont val="Montserrat"/>
      </rPr>
      <t>SQRT()</t>
    </r>
    <r>
      <rPr>
        <sz val="11"/>
        <color theme="1"/>
        <rFont val="Montserrat"/>
      </rPr>
      <t>.</t>
    </r>
  </si>
  <si>
    <r>
      <t xml:space="preserve">The </t>
    </r>
    <r>
      <rPr>
        <b/>
        <sz val="11"/>
        <color theme="1"/>
        <rFont val="Montserrat"/>
      </rPr>
      <t>&amp;</t>
    </r>
    <r>
      <rPr>
        <sz val="11"/>
        <color theme="1"/>
        <rFont val="Montserrat"/>
      </rPr>
      <t xml:space="preserve"> operator concatenates two strings. If either argument is not a string, it is coerced (converted) to string if possible.</t>
    </r>
  </si>
  <si>
    <r>
      <rPr>
        <b/>
        <sz val="11"/>
        <color theme="1"/>
        <rFont val="Montserrat"/>
      </rPr>
      <t>TEXTJOIN()</t>
    </r>
    <r>
      <rPr>
        <sz val="11"/>
        <color theme="1"/>
        <rFont val="Montserrat"/>
      </rPr>
      <t xml:space="preserve"> concatenates the contents of a range of cells into a single string with a specified delimiter.</t>
    </r>
  </si>
  <si>
    <r>
      <rPr>
        <b/>
        <sz val="11"/>
        <color theme="1"/>
        <rFont val="Montserrat"/>
      </rPr>
      <t>SEQUENCE()</t>
    </r>
    <r>
      <rPr>
        <sz val="11"/>
        <color theme="1"/>
        <rFont val="Montserrat"/>
      </rPr>
      <t xml:space="preserve"> is a dynamic array formula that returns an ordered sequence of integers, given a sequence length and optional starting number and step. The return array can be a row, a column, or a 2D array.</t>
    </r>
  </si>
  <si>
    <r>
      <rPr>
        <b/>
        <sz val="11"/>
        <color theme="1"/>
        <rFont val="Montserrat"/>
      </rPr>
      <t>LET()</t>
    </r>
    <r>
      <rPr>
        <sz val="11"/>
        <color theme="1"/>
        <rFont val="Montserrat"/>
      </rPr>
      <t xml:space="preserve"> allows you to define and reuse variables within its scope.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</si>
</sst>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quot;correct&quot;"/>
  </numFmts>
  <fonts count="25" x14ac:knownFonts="1">
    <font>
      <sz val="11"/>
      <color theme="1"/>
      <name val="Calibri"/>
      <family val="2"/>
      <scheme val="minor"/>
    </font>
    <font>
      <sz val="9"/>
      <color indexed="81"/>
      <name val="Tahoma"/>
      <family val="2"/>
    </font>
    <font>
      <b/>
      <sz val="11"/>
      <color theme="1"/>
      <name val="Calibri"/>
      <family val="2"/>
      <scheme val="minor"/>
    </font>
    <font>
      <sz val="8"/>
      <name val="Calibri"/>
      <family val="2"/>
      <scheme val="minor"/>
    </font>
    <font>
      <sz val="11"/>
      <color theme="1"/>
      <name val="Calibri"/>
      <family val="2"/>
      <scheme val="minor"/>
    </font>
    <font>
      <sz val="36"/>
      <color rgb="FF960000"/>
      <name val="Lucida Calligraphy"/>
      <family val="4"/>
    </font>
    <font>
      <sz val="12"/>
      <color theme="1"/>
      <name val="Calibri"/>
      <family val="2"/>
      <scheme val="minor"/>
    </font>
    <font>
      <b/>
      <sz val="14"/>
      <color theme="1"/>
      <name val="Calibri"/>
      <family val="2"/>
      <scheme val="minor"/>
    </font>
    <font>
      <b/>
      <sz val="18"/>
      <color rgb="FFFF0000"/>
      <name val="Calibri"/>
      <family val="2"/>
      <scheme val="minor"/>
    </font>
    <font>
      <b/>
      <sz val="12"/>
      <name val="Calibri"/>
      <family val="2"/>
      <scheme val="minor"/>
    </font>
    <font>
      <sz val="12"/>
      <color theme="1"/>
      <name val="Lucida Bright"/>
      <family val="1"/>
    </font>
    <font>
      <sz val="16"/>
      <color theme="1"/>
      <name val="Lucida Bright"/>
      <family val="1"/>
    </font>
    <font>
      <sz val="24"/>
      <color rgb="FF960000"/>
      <name val="Lucida Calligraphy"/>
      <family val="4"/>
    </font>
    <font>
      <sz val="18"/>
      <color rgb="FF960000"/>
      <name val="Lucida Calligraphy"/>
      <family val="4"/>
    </font>
    <font>
      <b/>
      <sz val="22"/>
      <color theme="1"/>
      <name val="Lucida Bright"/>
      <family val="1"/>
    </font>
    <font>
      <b/>
      <sz val="22"/>
      <color rgb="FF412107"/>
      <name val="Lucida Bright"/>
      <family val="1"/>
    </font>
    <font>
      <b/>
      <sz val="22"/>
      <color theme="1" tint="0.14999847407452621"/>
      <name val="Lucida Bright"/>
      <family val="1"/>
    </font>
    <font>
      <b/>
      <sz val="22"/>
      <color rgb="FF3E260E"/>
      <name val="Lucida Bright"/>
      <family val="1"/>
    </font>
    <font>
      <b/>
      <sz val="9"/>
      <color indexed="81"/>
      <name val="Tahoma"/>
      <family val="2"/>
    </font>
    <font>
      <b/>
      <sz val="20"/>
      <color theme="1"/>
      <name val="Lucida Bright"/>
      <family val="1"/>
    </font>
    <font>
      <b/>
      <sz val="16"/>
      <color theme="0"/>
      <name val="Montserrat"/>
    </font>
    <font>
      <sz val="11"/>
      <color theme="1"/>
      <name val="Montserrat"/>
    </font>
    <font>
      <b/>
      <sz val="16"/>
      <color rgb="FF004050"/>
      <name val="Montserrat"/>
    </font>
    <font>
      <b/>
      <sz val="11"/>
      <color theme="1"/>
      <name val="Montserrat"/>
    </font>
    <font>
      <b/>
      <sz val="11"/>
      <color theme="0"/>
      <name val="Montserrat"/>
    </font>
  </fonts>
  <fills count="12">
    <fill>
      <patternFill patternType="none"/>
    </fill>
    <fill>
      <patternFill patternType="gray125"/>
    </fill>
    <fill>
      <patternFill patternType="solid">
        <fgColor theme="4" tint="0.79998168889431442"/>
        <bgColor indexed="64"/>
      </patternFill>
    </fill>
    <fill>
      <patternFill patternType="solid">
        <fgColor rgb="FF004050"/>
        <bgColor indexed="64"/>
      </patternFill>
    </fill>
    <fill>
      <patternFill patternType="solid">
        <fgColor rgb="FF217EA7"/>
        <bgColor indexed="64"/>
      </patternFill>
    </fill>
    <fill>
      <patternFill patternType="solid">
        <fgColor rgb="FF305496"/>
        <bgColor indexed="64"/>
      </patternFill>
    </fill>
    <fill>
      <gradientFill degree="135">
        <stop position="0">
          <color theme="0" tint="-5.0965910824915313E-2"/>
        </stop>
        <stop position="1">
          <color theme="0" tint="-0.34900967436750391"/>
        </stop>
      </gradientFill>
    </fill>
    <fill>
      <gradientFill degree="135">
        <stop position="0">
          <color rgb="FFFFF9D6"/>
        </stop>
        <stop position="1">
          <color rgb="FFE5BF51"/>
        </stop>
      </gradientFill>
    </fill>
    <fill>
      <gradientFill degree="135">
        <stop position="0">
          <color rgb="FFF7E2D5"/>
        </stop>
        <stop position="1">
          <color rgb="FFEEC7A6"/>
        </stop>
      </gradientFill>
    </fill>
    <fill>
      <patternFill patternType="solid">
        <fgColor rgb="FFC45400"/>
        <bgColor indexed="64"/>
      </patternFill>
    </fill>
    <fill>
      <patternFill patternType="solid">
        <fgColor rgb="FFFFFF00"/>
        <bgColor indexed="64"/>
      </patternFill>
    </fill>
    <fill>
      <patternFill patternType="solid">
        <fgColor theme="7"/>
        <bgColor indexed="64"/>
      </patternFill>
    </fill>
  </fills>
  <borders count="24">
    <border>
      <left/>
      <right/>
      <top/>
      <bottom/>
      <diagonal/>
    </border>
    <border>
      <left style="thin">
        <color rgb="FF305496"/>
      </left>
      <right/>
      <top style="thin">
        <color rgb="FF305496"/>
      </top>
      <bottom/>
      <diagonal/>
    </border>
    <border>
      <left/>
      <right/>
      <top style="thin">
        <color rgb="FF305496"/>
      </top>
      <bottom/>
      <diagonal/>
    </border>
    <border>
      <left style="thin">
        <color rgb="FF305496"/>
      </left>
      <right/>
      <top/>
      <bottom/>
      <diagonal/>
    </border>
    <border>
      <left/>
      <right style="thin">
        <color rgb="FF305496"/>
      </right>
      <top/>
      <bottom/>
      <diagonal/>
    </border>
    <border>
      <left style="thin">
        <color rgb="FF305496"/>
      </left>
      <right/>
      <top/>
      <bottom style="thin">
        <color rgb="FF305496"/>
      </bottom>
      <diagonal/>
    </border>
    <border>
      <left/>
      <right/>
      <top/>
      <bottom style="thin">
        <color rgb="FF305496"/>
      </bottom>
      <diagonal/>
    </border>
    <border>
      <left/>
      <right style="thin">
        <color rgb="FF305496"/>
      </right>
      <top/>
      <bottom style="thin">
        <color rgb="FF305496"/>
      </bottom>
      <diagonal/>
    </border>
    <border>
      <left style="thin">
        <color rgb="FF305496"/>
      </left>
      <right/>
      <top style="thin">
        <color rgb="FF305496"/>
      </top>
      <bottom style="thin">
        <color rgb="FF305496"/>
      </bottom>
      <diagonal/>
    </border>
    <border>
      <left/>
      <right/>
      <top style="thin">
        <color rgb="FF305496"/>
      </top>
      <bottom style="thin">
        <color rgb="FF305496"/>
      </bottom>
      <diagonal/>
    </border>
    <border>
      <left/>
      <right style="thin">
        <color rgb="FF305496"/>
      </right>
      <top style="thin">
        <color rgb="FF305496"/>
      </top>
      <bottom style="thin">
        <color rgb="FF305496"/>
      </bottom>
      <diagonal/>
    </border>
    <border>
      <left style="thick">
        <color rgb="FFAF6833"/>
      </left>
      <right style="thick">
        <color rgb="FFAF6833"/>
      </right>
      <top style="thick">
        <color rgb="FFAF6833"/>
      </top>
      <bottom style="thick">
        <color rgb="FFAF6833"/>
      </bottom>
      <diagonal/>
    </border>
    <border>
      <left style="thick">
        <color theme="1" tint="0.34998626667073579"/>
      </left>
      <right style="thick">
        <color theme="1" tint="0.34998626667073579"/>
      </right>
      <top style="thick">
        <color theme="1" tint="0.34998626667073579"/>
      </top>
      <bottom style="thick">
        <color theme="1" tint="0.34998626667073579"/>
      </bottom>
      <diagonal/>
    </border>
    <border>
      <left style="thick">
        <color rgb="FFB6691C"/>
      </left>
      <right style="thick">
        <color rgb="FFB6691C"/>
      </right>
      <top style="thick">
        <color rgb="FFB6691C"/>
      </top>
      <bottom style="thick">
        <color rgb="FFB6691C"/>
      </bottom>
      <diagonal/>
    </border>
    <border>
      <left/>
      <right style="thick">
        <color rgb="FFAF6833"/>
      </right>
      <top/>
      <bottom/>
      <diagonal/>
    </border>
    <border>
      <left/>
      <right style="thick">
        <color theme="1" tint="0.34998626667073579"/>
      </right>
      <top/>
      <bottom/>
      <diagonal/>
    </border>
    <border>
      <left/>
      <right style="thick">
        <color rgb="FFB6691C"/>
      </right>
      <top/>
      <bottom/>
      <diagonal/>
    </border>
    <border>
      <left style="medium">
        <color rgb="FF217346"/>
      </left>
      <right/>
      <top style="medium">
        <color rgb="FF217346"/>
      </top>
      <bottom style="medium">
        <color rgb="FF217346"/>
      </bottom>
      <diagonal/>
    </border>
    <border>
      <left/>
      <right/>
      <top style="medium">
        <color rgb="FF217346"/>
      </top>
      <bottom style="medium">
        <color rgb="FF217346"/>
      </bottom>
      <diagonal/>
    </border>
    <border>
      <left/>
      <right style="medium">
        <color rgb="FF217346"/>
      </right>
      <top style="medium">
        <color rgb="FF217346"/>
      </top>
      <bottom style="medium">
        <color rgb="FF217346"/>
      </bottom>
      <diagonal/>
    </border>
    <border>
      <left style="thin">
        <color rgb="FFC45400"/>
      </left>
      <right style="thin">
        <color rgb="FFC45400"/>
      </right>
      <top style="thin">
        <color rgb="FFC45400"/>
      </top>
      <bottom style="thin">
        <color rgb="FFC45400"/>
      </bottom>
      <diagonal/>
    </border>
    <border>
      <left style="thin">
        <color rgb="FFC45400"/>
      </left>
      <right/>
      <top style="thin">
        <color rgb="FFC45400"/>
      </top>
      <bottom/>
      <diagonal/>
    </border>
    <border>
      <left/>
      <right/>
      <top style="thin">
        <color rgb="FFC45400"/>
      </top>
      <bottom/>
      <diagonal/>
    </border>
    <border>
      <left/>
      <right style="thin">
        <color rgb="FFC45400"/>
      </right>
      <top style="thin">
        <color rgb="FFC45400"/>
      </top>
      <bottom/>
      <diagonal/>
    </border>
  </borders>
  <cellStyleXfs count="2">
    <xf numFmtId="0" fontId="0" fillId="0" borderId="0"/>
    <xf numFmtId="9" fontId="4" fillId="0" borderId="0" applyFont="0" applyFill="0" applyBorder="0" applyAlignment="0" applyProtection="0"/>
  </cellStyleXfs>
  <cellXfs count="63">
    <xf numFmtId="0" fontId="0" fillId="0" borderId="0" xfId="0"/>
    <xf numFmtId="0" fontId="2" fillId="0" borderId="0" xfId="0" applyFont="1"/>
    <xf numFmtId="0" fontId="0" fillId="0" borderId="0" xfId="0" applyAlignment="1">
      <alignment horizontal="center"/>
    </xf>
    <xf numFmtId="0" fontId="5" fillId="0" borderId="0" xfId="0" applyFont="1" applyAlignment="1">
      <alignment horizontal="center" vertical="center" shrinkToFit="1"/>
    </xf>
    <xf numFmtId="0" fontId="6" fillId="0" borderId="0" xfId="0" applyFont="1" applyAlignment="1">
      <alignment horizontal="left" indent="2" shrinkToFit="1"/>
    </xf>
    <xf numFmtId="0" fontId="8" fillId="0" borderId="0" xfId="0" applyFont="1" applyAlignment="1">
      <alignment horizontal="center" vertical="top"/>
    </xf>
    <xf numFmtId="0" fontId="11" fillId="0" borderId="0" xfId="0" applyFont="1" applyAlignment="1">
      <alignment horizontal="left" indent="2"/>
    </xf>
    <xf numFmtId="0" fontId="0" fillId="0" borderId="0" xfId="0" applyAlignment="1">
      <alignment horizontal="left" vertical="top" wrapText="1"/>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5" fillId="8" borderId="11" xfId="0" applyFont="1" applyFill="1" applyBorder="1" applyAlignment="1">
      <alignment horizontal="center" vertical="center"/>
    </xf>
    <xf numFmtId="0" fontId="16" fillId="6" borderId="12" xfId="0" applyFont="1" applyFill="1" applyBorder="1" applyAlignment="1">
      <alignment horizontal="center" vertical="center"/>
    </xf>
    <xf numFmtId="0" fontId="17" fillId="7" borderId="13" xfId="0" applyFont="1" applyFill="1" applyBorder="1" applyAlignment="1">
      <alignment horizontal="center" vertical="center"/>
    </xf>
    <xf numFmtId="0" fontId="11" fillId="0" borderId="0" xfId="0" applyFont="1" applyAlignment="1">
      <alignment horizontal="left" vertical="top" indent="2" shrinkToFit="1"/>
    </xf>
    <xf numFmtId="0" fontId="0" fillId="10" borderId="0" xfId="0" applyFill="1"/>
    <xf numFmtId="0" fontId="7" fillId="0" borderId="0" xfId="0" applyFont="1" applyProtection="1">
      <protection hidden="1"/>
    </xf>
    <xf numFmtId="0" fontId="0" fillId="0" borderId="0" xfId="0" applyProtection="1">
      <protection hidden="1"/>
    </xf>
    <xf numFmtId="0" fontId="0" fillId="0" borderId="0" xfId="0" quotePrefix="1"/>
    <xf numFmtId="0" fontId="2" fillId="11" borderId="0" xfId="0" applyFont="1" applyFill="1"/>
    <xf numFmtId="0" fontId="0" fillId="11" borderId="0" xfId="0" applyFill="1"/>
    <xf numFmtId="0" fontId="19" fillId="0" borderId="0" xfId="0" applyFont="1" applyAlignment="1">
      <alignment horizontal="left" vertical="center" wrapText="1" indent="2"/>
    </xf>
    <xf numFmtId="0" fontId="0" fillId="0" borderId="0" xfId="0" quotePrefix="1" applyProtection="1">
      <protection hidden="1"/>
    </xf>
    <xf numFmtId="0" fontId="9" fillId="0" borderId="0" xfId="0" applyFont="1" applyAlignment="1">
      <alignment horizontal="left" vertical="center" wrapText="1"/>
    </xf>
    <xf numFmtId="0" fontId="10" fillId="0" borderId="0" xfId="0" applyFont="1" applyAlignment="1">
      <alignment horizontal="left" vertical="top" wrapText="1"/>
    </xf>
    <xf numFmtId="164" fontId="14" fillId="0" borderId="0" xfId="1" applyNumberFormat="1" applyFont="1" applyAlignment="1">
      <alignment horizontal="left" vertical="center" indent="2"/>
    </xf>
    <xf numFmtId="164" fontId="14" fillId="0" borderId="14" xfId="1" applyNumberFormat="1" applyFont="1" applyBorder="1" applyAlignment="1">
      <alignment horizontal="left" vertical="center" indent="2"/>
    </xf>
    <xf numFmtId="164" fontId="14" fillId="0" borderId="15" xfId="1" applyNumberFormat="1" applyFont="1" applyBorder="1" applyAlignment="1">
      <alignment horizontal="left" vertical="center" indent="2"/>
    </xf>
    <xf numFmtId="164" fontId="14" fillId="0" borderId="16" xfId="1" applyNumberFormat="1" applyFont="1" applyBorder="1" applyAlignment="1">
      <alignment horizontal="left" vertical="center" indent="2"/>
    </xf>
    <xf numFmtId="0" fontId="0" fillId="0" borderId="0" xfId="0" applyAlignment="1">
      <alignment horizontal="left" vertical="top" wrapText="1"/>
    </xf>
    <xf numFmtId="0" fontId="20" fillId="3" borderId="0" xfId="0" applyFont="1" applyFill="1" applyAlignment="1" applyProtection="1">
      <alignment horizontal="left"/>
      <protection hidden="1"/>
    </xf>
    <xf numFmtId="0" fontId="21" fillId="0" borderId="0" xfId="0" applyFont="1" applyProtection="1">
      <protection hidden="1"/>
    </xf>
    <xf numFmtId="0" fontId="21" fillId="0" borderId="0" xfId="0" applyFont="1"/>
    <xf numFmtId="0" fontId="22" fillId="4" borderId="0" xfId="0" applyFont="1" applyFill="1" applyAlignment="1">
      <alignment horizontal="left"/>
    </xf>
    <xf numFmtId="0" fontId="23" fillId="0" borderId="17" xfId="0" quotePrefix="1" applyFont="1" applyBorder="1" applyAlignment="1" applyProtection="1">
      <alignment horizontal="left" indent="1"/>
      <protection hidden="1"/>
    </xf>
    <xf numFmtId="0" fontId="23" fillId="0" borderId="18" xfId="0" quotePrefix="1" applyFont="1" applyBorder="1" applyAlignment="1" applyProtection="1">
      <alignment horizontal="left" indent="1"/>
      <protection hidden="1"/>
    </xf>
    <xf numFmtId="0" fontId="23" fillId="0" borderId="19" xfId="0" quotePrefix="1" applyFont="1" applyBorder="1" applyAlignment="1" applyProtection="1">
      <alignment horizontal="left" indent="1"/>
      <protection hidden="1"/>
    </xf>
    <xf numFmtId="0" fontId="24" fillId="5" borderId="8" xfId="0" quotePrefix="1" applyFont="1" applyFill="1" applyBorder="1" applyAlignment="1" applyProtection="1">
      <alignment horizontal="left"/>
      <protection hidden="1"/>
    </xf>
    <xf numFmtId="0" fontId="24" fillId="5" borderId="9" xfId="0" quotePrefix="1" applyFont="1" applyFill="1" applyBorder="1" applyAlignment="1" applyProtection="1">
      <alignment horizontal="left"/>
      <protection hidden="1"/>
    </xf>
    <xf numFmtId="0" fontId="24" fillId="5" borderId="10" xfId="0" applyFont="1" applyFill="1" applyBorder="1" applyProtection="1">
      <protection hidden="1"/>
    </xf>
    <xf numFmtId="0" fontId="21" fillId="0" borderId="1" xfId="0" quotePrefix="1" applyFont="1" applyBorder="1" applyAlignment="1" applyProtection="1">
      <alignment horizontal="left" indent="1"/>
      <protection hidden="1"/>
    </xf>
    <xf numFmtId="0" fontId="21" fillId="0" borderId="2" xfId="0" quotePrefix="1" applyFont="1" applyBorder="1" applyAlignment="1" applyProtection="1">
      <alignment horizontal="left" indent="1"/>
      <protection hidden="1"/>
    </xf>
    <xf numFmtId="0" fontId="21" fillId="2" borderId="4" xfId="0" applyFont="1" applyFill="1" applyBorder="1"/>
    <xf numFmtId="0" fontId="21" fillId="0" borderId="3" xfId="0" quotePrefix="1" applyFont="1" applyBorder="1" applyAlignment="1" applyProtection="1">
      <alignment horizontal="left" indent="1"/>
      <protection hidden="1"/>
    </xf>
    <xf numFmtId="0" fontId="21" fillId="0" borderId="0" xfId="0" quotePrefix="1" applyFont="1" applyAlignment="1" applyProtection="1">
      <alignment horizontal="left" indent="1"/>
      <protection hidden="1"/>
    </xf>
    <xf numFmtId="0" fontId="21" fillId="0" borderId="5" xfId="0" quotePrefix="1" applyFont="1" applyBorder="1" applyAlignment="1" applyProtection="1">
      <alignment horizontal="left" indent="1"/>
      <protection hidden="1"/>
    </xf>
    <xf numFmtId="0" fontId="21" fillId="0" borderId="6" xfId="0" quotePrefix="1" applyFont="1" applyBorder="1" applyAlignment="1" applyProtection="1">
      <alignment horizontal="left" indent="1"/>
      <protection hidden="1"/>
    </xf>
    <xf numFmtId="0" fontId="21" fillId="2" borderId="7" xfId="0" applyFont="1" applyFill="1" applyBorder="1"/>
    <xf numFmtId="0" fontId="23" fillId="0" borderId="0" xfId="0" applyFont="1" applyAlignment="1" applyProtection="1">
      <alignment horizontal="left" indent="1"/>
      <protection hidden="1"/>
    </xf>
    <xf numFmtId="0" fontId="21" fillId="0" borderId="3" xfId="0" quotePrefix="1" applyFont="1" applyBorder="1" applyAlignment="1" applyProtection="1">
      <alignment horizontal="left" indent="1"/>
      <protection hidden="1"/>
    </xf>
    <xf numFmtId="0" fontId="21" fillId="0" borderId="0" xfId="0" quotePrefix="1" applyFont="1" applyAlignment="1">
      <alignment horizontal="left" indent="1"/>
    </xf>
    <xf numFmtId="0" fontId="24" fillId="9" borderId="21" xfId="0" quotePrefix="1" applyFont="1" applyFill="1" applyBorder="1" applyAlignment="1" applyProtection="1">
      <alignment horizontal="left"/>
      <protection hidden="1"/>
    </xf>
    <xf numFmtId="0" fontId="24" fillId="9" borderId="22" xfId="0" quotePrefix="1" applyFont="1" applyFill="1" applyBorder="1" applyAlignment="1" applyProtection="1">
      <alignment horizontal="left"/>
      <protection hidden="1"/>
    </xf>
    <xf numFmtId="0" fontId="24" fillId="9" borderId="22" xfId="0" applyFont="1" applyFill="1" applyBorder="1"/>
    <xf numFmtId="0" fontId="24" fillId="9" borderId="22" xfId="0" quotePrefix="1" applyFont="1" applyFill="1" applyBorder="1" applyAlignment="1">
      <alignment horizontal="left"/>
    </xf>
    <xf numFmtId="0" fontId="24" fillId="9" borderId="23" xfId="0" quotePrefix="1" applyFont="1" applyFill="1" applyBorder="1" applyAlignment="1">
      <alignment horizontal="left"/>
    </xf>
    <xf numFmtId="0" fontId="21" fillId="0" borderId="20" xfId="0" applyFont="1" applyBorder="1" applyProtection="1">
      <protection hidden="1"/>
    </xf>
    <xf numFmtId="0" fontId="21" fillId="0" borderId="20" xfId="0" applyFont="1" applyBorder="1"/>
    <xf numFmtId="0" fontId="24" fillId="5" borderId="0" xfId="0" quotePrefix="1" applyFont="1" applyFill="1" applyAlignment="1" applyProtection="1">
      <alignment horizontal="left"/>
      <protection hidden="1"/>
    </xf>
    <xf numFmtId="0" fontId="24" fillId="5" borderId="0" xfId="0" applyFont="1" applyFill="1" applyProtection="1">
      <protection hidden="1"/>
    </xf>
    <xf numFmtId="0" fontId="21" fillId="2" borderId="0" xfId="0" applyFont="1" applyFill="1"/>
    <xf numFmtId="0" fontId="21" fillId="0" borderId="0" xfId="0" quotePrefix="1" applyFont="1" applyAlignment="1">
      <alignment horizontal="left" indent="1"/>
    </xf>
    <xf numFmtId="0" fontId="21" fillId="0" borderId="3" xfId="0" quotePrefix="1" applyFont="1" applyBorder="1" applyAlignment="1" applyProtection="1">
      <alignment horizontal="left" vertical="top" wrapText="1" indent="1"/>
      <protection hidden="1"/>
    </xf>
    <xf numFmtId="0" fontId="21" fillId="0" borderId="0" xfId="0" quotePrefix="1" applyFont="1" applyAlignment="1" applyProtection="1">
      <alignment horizontal="left" vertical="top" wrapText="1" indent="1"/>
      <protection hidden="1"/>
    </xf>
  </cellXfs>
  <cellStyles count="2">
    <cellStyle name="Normal" xfId="0" builtinId="0"/>
    <cellStyle name="Percent" xfId="1" builtinId="5"/>
  </cellStyles>
  <dxfs count="286">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0"/>
    </dxf>
    <dxf>
      <numFmt numFmtId="0" formatCode="General"/>
      <protection locked="1" hidden="1"/>
    </dxf>
    <dxf>
      <numFmt numFmtId="0" formatCode="General"/>
      <protection locked="1" hidden="1"/>
    </dxf>
    <dxf>
      <numFmt numFmtId="0" formatCode="General"/>
      <protection locked="1" hidden="1"/>
    </dxf>
    <dxf>
      <numFmt numFmtId="0" formatCode="General"/>
      <protection locked="1" hidden="1"/>
    </dxf>
    <dxf>
      <protection locked="1" hidden="1"/>
    </dxf>
    <dxf>
      <font>
        <color rgb="FF9C0006"/>
      </font>
      <fill>
        <patternFill>
          <bgColor rgb="FFFFC7CE"/>
        </patternFill>
      </fill>
    </dxf>
    <dxf>
      <font>
        <color rgb="FF006100"/>
      </font>
      <fill>
        <patternFill>
          <bgColor rgb="FFC6EFCE"/>
        </patternFill>
      </fill>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val="0"/>
        <i/>
        <color rgb="FFEA8E32"/>
      </font>
      <numFmt numFmtId="165" formatCode="@&quot;Please enter your name&quot;"/>
    </dxf>
    <dxf>
      <font>
        <b/>
        <i val="0"/>
        <color rgb="FF00AC2D"/>
      </font>
    </dxf>
    <dxf>
      <font>
        <b/>
        <i val="0"/>
        <color rgb="FFC00000"/>
      </font>
    </dxf>
    <dxf>
      <font>
        <b val="0"/>
        <i/>
        <color theme="0" tint="-0.34998626667073579"/>
      </font>
    </dxf>
    <dxf>
      <font>
        <b/>
        <i/>
        <color theme="0" tint="-0.34998626667073579"/>
      </font>
    </dxf>
    <dxf>
      <font>
        <b/>
        <i val="0"/>
        <color theme="5"/>
      </font>
      <numFmt numFmtId="166" formatCode="0.00%\ &quot;correct&quot;"/>
    </dxf>
    <dxf>
      <font>
        <b val="0"/>
        <i/>
        <color theme="0" tint="-0.34998626667073579"/>
      </font>
    </dxf>
    <dxf>
      <font>
        <b/>
        <i val="0"/>
        <color theme="5"/>
      </font>
      <numFmt numFmtId="166" formatCode="0.00%\ &quot;correct&quot;"/>
    </dxf>
    <dxf>
      <font>
        <color rgb="FFFF0000"/>
      </font>
    </dxf>
    <dxf>
      <font>
        <b/>
        <i val="0"/>
        <color rgb="FFC00000"/>
      </font>
    </dxf>
    <dxf>
      <font>
        <b/>
        <i val="0"/>
        <color rgb="FF00AC2D"/>
      </font>
    </dxf>
    <dxf>
      <font>
        <b/>
        <i val="0"/>
        <color rgb="FFC00000"/>
      </font>
    </dxf>
    <dxf>
      <font>
        <b/>
        <i val="0"/>
        <color rgb="FF00AC2D"/>
      </font>
    </dxf>
    <dxf>
      <font>
        <b/>
        <i val="0"/>
        <color rgb="FFC00000"/>
      </font>
    </dxf>
    <dxf>
      <font>
        <b/>
        <i val="0"/>
        <color rgb="FF00AC2D"/>
      </font>
    </dxf>
    <dxf>
      <font>
        <b/>
        <i val="0"/>
        <color rgb="FFC00000"/>
      </font>
    </dxf>
    <dxf>
      <font>
        <b/>
        <i val="0"/>
        <color rgb="FF00AC2D"/>
      </font>
    </dxf>
    <dxf>
      <font>
        <b/>
        <i val="0"/>
        <color rgb="FFC00000"/>
      </font>
    </dxf>
    <dxf>
      <font>
        <b/>
        <i val="0"/>
        <color rgb="FF00AC2D"/>
      </font>
    </dxf>
    <dxf>
      <font>
        <b/>
        <i val="0"/>
        <color rgb="FF00AC2D"/>
      </font>
    </dxf>
    <dxf>
      <font>
        <b/>
        <i val="0"/>
        <color rgb="FFC00000"/>
      </font>
    </dxf>
    <dxf>
      <font>
        <b/>
        <i val="0"/>
        <color rgb="FFC00000"/>
      </font>
    </dxf>
    <dxf>
      <font>
        <b/>
        <i val="0"/>
        <color rgb="FF00AC2D"/>
      </font>
    </dxf>
    <dxf>
      <font>
        <b/>
        <i val="0"/>
        <color rgb="FF00AC2D"/>
      </font>
    </dxf>
    <dxf>
      <font>
        <b/>
        <i val="0"/>
        <color rgb="FFC00000"/>
      </font>
    </dxf>
    <dxf>
      <font>
        <b/>
        <i val="0"/>
        <color rgb="FFC00000"/>
      </font>
    </dxf>
    <dxf>
      <font>
        <b/>
        <i val="0"/>
        <color rgb="FF00AC2D"/>
      </font>
    </dxf>
    <dxf>
      <font>
        <b/>
        <i val="0"/>
        <color rgb="FFC00000"/>
      </font>
    </dxf>
    <dxf>
      <font>
        <b/>
        <i val="0"/>
        <color rgb="FF00AC2D"/>
      </font>
    </dxf>
    <dxf>
      <font>
        <b/>
        <i val="0"/>
        <color rgb="FFC00000"/>
      </font>
    </dxf>
    <dxf>
      <font>
        <b/>
        <i val="0"/>
        <color rgb="FF00AC2D"/>
      </font>
    </dxf>
    <dxf>
      <font>
        <b/>
        <i val="0"/>
        <color rgb="FF00AC2D"/>
      </font>
    </dxf>
    <dxf>
      <font>
        <b/>
        <i val="0"/>
        <color rgb="FFC00000"/>
      </font>
    </dxf>
    <dxf>
      <font>
        <b/>
        <i val="0"/>
        <color rgb="FF00AC2D"/>
      </font>
    </dxf>
    <dxf>
      <font>
        <b/>
        <i val="0"/>
        <color rgb="FFC00000"/>
      </font>
    </dxf>
    <dxf>
      <font>
        <b/>
        <i val="0"/>
        <color rgb="FF00AC2D"/>
      </font>
    </dxf>
    <dxf>
      <font>
        <b/>
        <i val="0"/>
        <color rgb="FFC00000"/>
      </font>
    </dxf>
    <dxf>
      <font>
        <b/>
        <i val="0"/>
        <color rgb="FFC00000"/>
      </font>
    </dxf>
    <dxf>
      <font>
        <b/>
        <i val="0"/>
        <color rgb="FF00AC2D"/>
      </font>
    </dxf>
    <dxf>
      <font>
        <b/>
        <i val="0"/>
        <color rgb="FF00AC2D"/>
      </font>
    </dxf>
    <dxf>
      <font>
        <b/>
        <i val="0"/>
        <color rgb="FFC00000"/>
      </font>
    </dxf>
    <dxf>
      <font>
        <b/>
        <i val="0"/>
        <color rgb="FF00AC2D"/>
      </font>
    </dxf>
    <dxf>
      <font>
        <b/>
        <i val="0"/>
        <color rgb="FFC00000"/>
      </font>
    </dxf>
    <dxf>
      <font>
        <b/>
        <i val="0"/>
        <color rgb="FFC00000"/>
      </font>
    </dxf>
    <dxf>
      <font>
        <b/>
        <i val="0"/>
        <color rgb="FF00AC2D"/>
      </font>
    </dxf>
    <dxf>
      <font>
        <b val="0"/>
        <i val="0"/>
      </font>
      <fill>
        <patternFill patternType="none">
          <bgColor auto="1"/>
        </patternFill>
      </fill>
      <border>
        <left/>
        <right/>
        <top/>
        <bottom/>
      </border>
    </dxf>
    <dxf>
      <font>
        <b val="0"/>
        <i/>
        <color theme="0" tint="-0.24994659260841701"/>
      </font>
    </dxf>
    <dxf>
      <font>
        <b val="0"/>
        <i val="0"/>
      </font>
    </dxf>
    <dxf>
      <font>
        <b/>
        <i val="0"/>
        <color rgb="FF00AC2D"/>
      </font>
    </dxf>
    <dxf>
      <font>
        <b/>
        <i val="0"/>
        <color rgb="FFC00000"/>
      </font>
    </dxf>
    <dxf>
      <font>
        <b/>
        <i val="0"/>
        <color rgb="FF00AC2D"/>
      </font>
    </dxf>
    <dxf>
      <font>
        <b val="0"/>
        <i val="0"/>
      </font>
    </dxf>
    <dxf>
      <font>
        <b/>
        <i val="0"/>
        <color rgb="FFC00000"/>
      </font>
    </dxf>
    <dxf>
      <font>
        <b val="0"/>
        <i/>
        <color theme="0" tint="-0.24994659260841701"/>
      </font>
    </dxf>
    <dxf>
      <font>
        <b val="0"/>
        <i val="0"/>
      </font>
      <fill>
        <patternFill patternType="none">
          <bgColor auto="1"/>
        </patternFill>
      </fill>
      <border>
        <left/>
        <right/>
        <top/>
        <bottom/>
      </border>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dxf>
    <dxf>
      <font>
        <b/>
        <i val="0"/>
        <color rgb="FFC00000"/>
      </font>
    </dxf>
    <dxf>
      <font>
        <b/>
        <i val="0"/>
        <color rgb="FF00AC2D"/>
      </font>
    </dxf>
    <dxf>
      <font>
        <b val="0"/>
        <i val="0"/>
      </font>
    </dxf>
    <dxf>
      <font>
        <b val="0"/>
        <i/>
        <color theme="0" tint="-0.24994659260841701"/>
      </font>
    </dxf>
    <dxf>
      <font>
        <b val="0"/>
        <i val="0"/>
      </font>
      <fill>
        <patternFill patternType="none">
          <bgColor auto="1"/>
        </patternFill>
      </fill>
      <border>
        <left/>
        <right/>
        <top/>
        <bottom/>
      </border>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dxf>
    <dxf>
      <font>
        <b val="0"/>
        <i val="0"/>
      </font>
    </dxf>
    <dxf>
      <font>
        <b/>
        <i val="0"/>
        <color rgb="FF00AC2D"/>
      </font>
    </dxf>
    <dxf>
      <font>
        <b/>
        <i val="0"/>
        <color rgb="FFC00000"/>
      </font>
    </dxf>
    <dxf>
      <font>
        <b val="0"/>
        <i val="0"/>
      </font>
      <fill>
        <patternFill patternType="none">
          <bgColor auto="1"/>
        </patternFill>
      </fill>
      <border>
        <left/>
        <right/>
        <top/>
        <bottom/>
      </border>
    </dxf>
    <dxf>
      <font>
        <b val="0"/>
        <i/>
        <color theme="0" tint="-0.24994659260841701"/>
      </font>
    </dxf>
    <dxf>
      <font>
        <b/>
        <i val="0"/>
        <color rgb="FF00AC2D"/>
      </font>
    </dxf>
    <dxf>
      <font>
        <b val="0"/>
        <i val="0"/>
      </font>
    </dxf>
    <dxf>
      <font>
        <b val="0"/>
        <i/>
        <color theme="0" tint="-0.24994659260841701"/>
      </font>
    </dxf>
    <dxf>
      <font>
        <b/>
        <i val="0"/>
        <color rgb="FFC00000"/>
      </font>
    </dxf>
    <dxf>
      <font>
        <b val="0"/>
        <i val="0"/>
      </font>
      <fill>
        <patternFill patternType="none">
          <bgColor auto="1"/>
        </patternFill>
      </fill>
      <border>
        <left/>
        <right/>
        <top/>
        <bottom/>
      </border>
    </dxf>
    <dxf>
      <font>
        <b/>
        <i val="0"/>
        <color rgb="FF00AC2D"/>
      </font>
    </dxf>
    <dxf>
      <font>
        <b val="0"/>
        <i val="0"/>
      </font>
      <fill>
        <patternFill patternType="none">
          <bgColor auto="1"/>
        </patternFill>
      </fill>
      <border>
        <left/>
        <right/>
        <top/>
        <bottom/>
      </border>
    </dxf>
    <dxf>
      <font>
        <b val="0"/>
        <i/>
        <color theme="0" tint="-0.24994659260841701"/>
      </font>
    </dxf>
    <dxf>
      <font>
        <b/>
        <i val="0"/>
        <color rgb="FFC00000"/>
      </font>
    </dxf>
    <dxf>
      <font>
        <b val="0"/>
        <i val="0"/>
      </font>
    </dxf>
    <dxf>
      <font>
        <b val="0"/>
        <i val="0"/>
      </font>
      <fill>
        <patternFill patternType="none">
          <bgColor auto="1"/>
        </patternFill>
      </fill>
      <border>
        <left/>
        <right/>
        <top/>
        <bottom/>
      </border>
    </dxf>
    <dxf>
      <font>
        <b/>
        <i val="0"/>
        <color rgb="FFC00000"/>
      </font>
    </dxf>
    <dxf>
      <font>
        <b val="0"/>
        <i/>
        <color theme="0" tint="-0.24994659260841701"/>
      </font>
    </dxf>
    <dxf>
      <font>
        <b/>
        <i val="0"/>
        <color rgb="FF00AC2D"/>
      </font>
    </dxf>
    <dxf>
      <font>
        <b val="0"/>
        <i val="0"/>
      </font>
    </dxf>
    <dxf>
      <font>
        <b val="0"/>
        <i/>
        <color theme="0" tint="-0.24994659260841701"/>
      </font>
    </dxf>
    <dxf>
      <font>
        <b/>
        <i val="0"/>
        <color rgb="FFC00000"/>
      </font>
    </dxf>
    <dxf>
      <font>
        <b/>
        <i val="0"/>
        <color rgb="FF00AC2D"/>
      </font>
    </dxf>
    <dxf>
      <font>
        <b val="0"/>
        <i val="0"/>
      </font>
    </dxf>
    <dxf>
      <font>
        <b val="0"/>
        <i val="0"/>
      </font>
      <fill>
        <patternFill patternType="none">
          <bgColor auto="1"/>
        </patternFill>
      </fill>
      <border>
        <left/>
        <right/>
        <top/>
        <bottom/>
      </border>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val="0"/>
        <i val="0"/>
      </font>
    </dxf>
    <dxf>
      <font>
        <b/>
        <i val="0"/>
        <color rgb="FF00AC2D"/>
      </font>
    </dxf>
    <dxf>
      <font>
        <b/>
        <i val="0"/>
        <color rgb="FFC00000"/>
      </font>
    </dxf>
    <dxf>
      <font>
        <b val="0"/>
        <i val="0"/>
      </font>
      <fill>
        <patternFill patternType="none">
          <bgColor auto="1"/>
        </patternFill>
      </fill>
      <border>
        <left/>
        <right/>
        <top/>
        <bottom/>
      </border>
    </dxf>
    <dxf>
      <font>
        <b val="0"/>
        <i/>
        <color theme="0" tint="-0.24994659260841701"/>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val="0"/>
        <i val="0"/>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val="0"/>
        <i/>
        <color theme="0" tint="-0.24994659260841701"/>
      </font>
    </dxf>
    <dxf>
      <font>
        <b/>
        <i val="0"/>
        <color rgb="FFC00000"/>
      </font>
    </dxf>
    <dxf>
      <font>
        <b val="0"/>
        <i val="0"/>
      </font>
      <fill>
        <patternFill patternType="none">
          <bgColor auto="1"/>
        </patternFill>
      </fill>
      <border>
        <left/>
        <right/>
        <top/>
        <bottom/>
      </border>
    </dxf>
    <dxf>
      <font>
        <b val="0"/>
        <i val="0"/>
      </font>
    </dxf>
    <dxf>
      <font>
        <b/>
        <i val="0"/>
        <color rgb="FF00AC2D"/>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C00000"/>
      </font>
    </dxf>
    <dxf>
      <font>
        <b val="0"/>
        <i/>
        <color theme="0" tint="-0.24994659260841701"/>
      </font>
    </dxf>
    <dxf>
      <font>
        <b val="0"/>
        <i val="0"/>
      </font>
      <fill>
        <patternFill patternType="none">
          <bgColor auto="1"/>
        </patternFill>
      </fill>
      <border>
        <left/>
        <right/>
        <top/>
        <bottom/>
      </border>
    </dxf>
    <dxf>
      <font>
        <b val="0"/>
        <i val="0"/>
      </font>
    </dxf>
    <dxf>
      <font>
        <b/>
        <i val="0"/>
        <color rgb="FF00AC2D"/>
      </font>
    </dxf>
    <dxf>
      <font>
        <b val="0"/>
        <i val="0"/>
      </font>
    </dxf>
    <dxf>
      <font>
        <b/>
        <i val="0"/>
        <color rgb="FF00AC2D"/>
      </font>
    </dxf>
    <dxf>
      <font>
        <b/>
        <i val="0"/>
        <color rgb="FFC00000"/>
      </font>
    </dxf>
    <dxf>
      <font>
        <b val="0"/>
        <i val="0"/>
      </font>
      <fill>
        <patternFill patternType="none">
          <bgColor auto="1"/>
        </patternFill>
      </fill>
      <border>
        <left/>
        <right/>
        <top/>
        <bottom/>
      </border>
    </dxf>
    <dxf>
      <font>
        <b val="0"/>
        <i/>
        <color theme="0" tint="-0.24994659260841701"/>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C00000"/>
      </font>
    </dxf>
    <dxf>
      <font>
        <b/>
        <i val="0"/>
        <color rgb="FF00AC2D"/>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val="0"/>
        <i val="0"/>
      </font>
      <fill>
        <patternFill patternType="none">
          <bgColor auto="1"/>
        </patternFill>
      </fill>
      <border>
        <left/>
        <right/>
        <top/>
        <bottom/>
      </border>
    </dxf>
    <dxf>
      <font>
        <b val="0"/>
        <i val="0"/>
      </font>
    </dxf>
    <dxf>
      <font>
        <b/>
        <i val="0"/>
        <color rgb="FF00AC2D"/>
      </font>
    </dxf>
    <dxf>
      <font>
        <b val="0"/>
        <i/>
        <color theme="0" tint="-0.24994659260841701"/>
      </font>
    </dxf>
    <dxf>
      <font>
        <b val="0"/>
        <i val="0"/>
      </font>
      <fill>
        <patternFill patternType="none">
          <bgColor auto="1"/>
        </patternFill>
      </fill>
      <border>
        <left/>
        <right/>
        <top/>
        <bottom/>
      </border>
    </dxf>
    <dxf>
      <font>
        <b val="0"/>
        <i val="0"/>
      </font>
    </dxf>
    <dxf>
      <font>
        <b/>
        <i val="0"/>
        <color rgb="FF00AC2D"/>
      </font>
    </dxf>
    <dxf>
      <font>
        <b/>
        <i val="0"/>
        <color rgb="FFC00000"/>
      </font>
    </dxf>
    <dxf>
      <font>
        <b val="0"/>
        <i/>
        <color theme="0" tint="-0.24994659260841701"/>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i val="0"/>
        <color rgb="FF00AC2D"/>
      </font>
    </dxf>
    <dxf>
      <font>
        <b/>
        <i val="0"/>
        <color rgb="FF00AC2D"/>
      </font>
    </dxf>
    <dxf>
      <font>
        <b val="0"/>
        <i val="0"/>
      </font>
      <fill>
        <patternFill patternType="none">
          <bgColor auto="1"/>
        </patternFill>
      </fill>
      <border>
        <left/>
        <right/>
        <top/>
        <bottom/>
      </border>
    </dxf>
    <dxf>
      <font>
        <b/>
        <i val="0"/>
        <color rgb="FFC00000"/>
      </font>
    </dxf>
    <dxf>
      <font>
        <b val="0"/>
        <i val="0"/>
      </font>
    </dxf>
    <dxf>
      <font>
        <b val="0"/>
        <i/>
        <color theme="0" tint="-0.24994659260841701"/>
      </font>
    </dxf>
    <dxf>
      <font>
        <b/>
        <i val="0"/>
        <color rgb="FF00AC2D"/>
      </font>
    </dxf>
    <dxf>
      <font>
        <b val="0"/>
        <i val="0"/>
      </font>
    </dxf>
    <dxf>
      <font>
        <b val="0"/>
        <i val="0"/>
      </font>
      <fill>
        <patternFill patternType="none">
          <bgColor auto="1"/>
        </patternFill>
      </fill>
      <border>
        <left/>
        <right/>
        <top/>
        <bottom/>
      </border>
    </dxf>
    <dxf>
      <font>
        <b val="0"/>
        <i/>
        <color theme="0" tint="-0.24994659260841701"/>
      </font>
    </dxf>
    <dxf>
      <font>
        <b/>
        <i val="0"/>
        <color rgb="FFC00000"/>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C00000"/>
      </font>
    </dxf>
    <dxf>
      <font>
        <b val="0"/>
        <i val="0"/>
      </font>
      <fill>
        <patternFill patternType="none">
          <bgColor auto="1"/>
        </patternFill>
      </fill>
      <border>
        <left/>
        <right/>
        <top/>
        <bottom/>
      </border>
    </dxf>
    <dxf>
      <font>
        <b val="0"/>
        <i/>
        <color theme="0" tint="-0.24994659260841701"/>
      </font>
    </dxf>
    <dxf>
      <font>
        <b val="0"/>
        <i val="0"/>
      </font>
    </dxf>
    <dxf>
      <font>
        <b/>
        <i val="0"/>
        <color rgb="FF00AC2D"/>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00AC2D"/>
      </font>
    </dxf>
    <dxf>
      <font>
        <b val="0"/>
        <i val="0"/>
      </font>
    </dxf>
    <dxf>
      <font>
        <b/>
        <i val="0"/>
        <color rgb="FFC00000"/>
      </font>
    </dxf>
    <dxf>
      <font>
        <b val="0"/>
        <i/>
        <color theme="0" tint="-0.24994659260841701"/>
      </font>
    </dxf>
    <dxf>
      <font>
        <b val="0"/>
        <i val="0"/>
      </font>
      <fill>
        <patternFill patternType="none">
          <bgColor auto="1"/>
        </patternFill>
      </fill>
      <border>
        <left/>
        <right/>
        <top/>
        <bottom/>
      </border>
    </dxf>
    <dxf>
      <font>
        <b/>
        <i val="0"/>
        <color rgb="FFC00000"/>
      </font>
    </dxf>
    <dxf>
      <font>
        <b/>
        <i val="0"/>
        <color rgb="FF00AC2D"/>
      </font>
    </dxf>
    <dxf>
      <font>
        <b val="0"/>
        <i val="0"/>
      </font>
    </dxf>
    <dxf>
      <font>
        <b val="0"/>
        <i val="0"/>
      </font>
      <fill>
        <patternFill patternType="none">
          <bgColor auto="1"/>
        </patternFill>
      </fill>
      <border>
        <left/>
        <right/>
        <top/>
        <bottom/>
      </border>
    </dxf>
    <dxf>
      <font>
        <b val="0"/>
        <i/>
        <color theme="0" tint="-0.24994659260841701"/>
      </font>
    </dxf>
    <dxf>
      <font>
        <b/>
        <i val="0"/>
        <color rgb="FF00AC2D"/>
      </font>
    </dxf>
    <dxf>
      <font>
        <b/>
        <i val="0"/>
        <color rgb="FFC00000"/>
      </font>
    </dxf>
    <dxf>
      <font>
        <b val="0"/>
        <i val="0"/>
      </font>
      <fill>
        <patternFill patternType="none">
          <bgColor auto="1"/>
        </patternFill>
      </fill>
      <border>
        <left/>
        <right/>
        <top/>
        <bottom/>
      </border>
    </dxf>
    <dxf>
      <font>
        <b val="0"/>
        <i/>
        <color theme="0" tint="-0.24994659260841701"/>
      </font>
    </dxf>
    <dxf>
      <font>
        <b val="0"/>
        <i val="0"/>
      </font>
    </dxf>
    <dxf>
      <font>
        <b val="0"/>
        <i/>
        <color theme="0" tint="-0.24994659260841701"/>
      </font>
    </dxf>
    <dxf>
      <font>
        <b/>
        <i val="0"/>
        <color rgb="FF00AC2D"/>
      </font>
    </dxf>
    <dxf>
      <font>
        <b val="0"/>
        <i val="0"/>
      </font>
      <fill>
        <patternFill patternType="none">
          <bgColor auto="1"/>
        </patternFill>
      </fill>
      <border>
        <left/>
        <right/>
        <top/>
        <bottom/>
      </border>
    </dxf>
    <dxf>
      <font>
        <b/>
        <i val="0"/>
        <color rgb="FFC00000"/>
      </font>
    </dxf>
    <dxf>
      <font>
        <b val="0"/>
        <i val="0"/>
      </font>
    </dxf>
    <dxf>
      <font>
        <b/>
        <i val="0"/>
        <color rgb="FFC00000"/>
      </font>
    </dxf>
    <dxf>
      <font>
        <b val="0"/>
        <i val="0"/>
      </font>
      <fill>
        <patternFill patternType="none">
          <bgColor auto="1"/>
        </patternFill>
      </fill>
      <border>
        <left/>
        <right/>
        <top/>
        <bottom/>
      </border>
    </dxf>
    <dxf>
      <font>
        <b val="0"/>
        <i/>
        <color theme="0" tint="-0.24994659260841701"/>
      </font>
    </dxf>
    <dxf>
      <font>
        <b/>
        <i val="0"/>
        <color rgb="FF00AC2D"/>
      </font>
    </dxf>
    <dxf>
      <font>
        <b val="0"/>
        <i val="0"/>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00AC2D"/>
      </font>
    </dxf>
    <dxf>
      <font>
        <b val="0"/>
        <i val="0"/>
      </font>
    </dxf>
    <dxf>
      <font>
        <b val="0"/>
        <i/>
        <color theme="0" tint="-0.24994659260841701"/>
      </font>
    </dxf>
    <dxf>
      <font>
        <b val="0"/>
        <i val="0"/>
      </font>
      <fill>
        <patternFill patternType="none">
          <bgColor auto="1"/>
        </patternFill>
      </fill>
      <border>
        <left/>
        <right/>
        <top/>
        <bottom/>
      </border>
    </dxf>
    <dxf>
      <font>
        <b/>
        <i val="0"/>
        <color rgb="FFC00000"/>
      </font>
    </dxf>
    <dxf>
      <font>
        <b val="0"/>
        <i val="0"/>
      </font>
    </dxf>
    <dxf>
      <font>
        <b/>
        <i val="0"/>
        <color rgb="FF00AC2D"/>
      </font>
    </dxf>
    <dxf>
      <font>
        <b/>
        <i val="0"/>
        <color rgb="FFC00000"/>
      </font>
    </dxf>
    <dxf>
      <font>
        <b val="0"/>
        <i/>
        <color theme="0" tint="-0.24994659260841701"/>
      </font>
    </dxf>
    <dxf>
      <font>
        <b val="0"/>
        <i val="0"/>
      </font>
      <fill>
        <patternFill patternType="none">
          <bgColor auto="1"/>
        </patternFill>
      </fill>
      <border>
        <left/>
        <right/>
        <top/>
        <bottom/>
      </border>
    </dxf>
    <dxf>
      <font>
        <b/>
        <i val="0"/>
        <color rgb="FFC00000"/>
      </font>
    </dxf>
    <dxf>
      <font>
        <b val="0"/>
        <i/>
        <color theme="0" tint="-0.24994659260841701"/>
      </font>
    </dxf>
    <dxf>
      <font>
        <b val="0"/>
        <i val="0"/>
      </font>
    </dxf>
    <dxf>
      <font>
        <b val="0"/>
        <i val="0"/>
      </font>
      <fill>
        <patternFill patternType="none">
          <bgColor auto="1"/>
        </patternFill>
      </fill>
      <border>
        <left/>
        <right/>
        <top/>
        <bottom/>
      </border>
    </dxf>
    <dxf>
      <font>
        <b/>
        <i val="0"/>
        <color rgb="FF00AC2D"/>
      </font>
    </dxf>
    <dxf>
      <font>
        <color theme="0"/>
      </font>
      <fill>
        <patternFill>
          <bgColor rgb="FFED7D31"/>
        </patternFill>
      </fill>
    </dxf>
    <dxf>
      <protection locked="1" hidden="1"/>
    </dxf>
    <dxf>
      <protection locked="1" hidden="1"/>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7"/>
        </patternFill>
      </fill>
    </dxf>
  </dxfs>
  <tableStyles count="0" defaultTableStyle="TableStyleMedium2" defaultPivotStyle="PivotStyleLight16"/>
  <colors>
    <mruColors>
      <color rgb="FF305496"/>
      <color rgb="FF2B002E"/>
      <color rgb="FF430048"/>
      <color rgb="FFE4D6FE"/>
      <color rgb="FF0D2453"/>
      <color rgb="FF541A00"/>
      <color rgb="FF4D2307"/>
      <color rgb="FFFACA8A"/>
      <color rgb="FFED7D31"/>
      <color rgb="FFE5ED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png"/><Relationship Id="rId4" Type="http://schemas.openxmlformats.org/officeDocument/2006/relationships/image" Target="../media/image7.emf"/><Relationship Id="rId9" Type="http://schemas.openxmlformats.org/officeDocument/2006/relationships/image" Target="../media/image12.emf"/></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5" Type="http://schemas.openxmlformats.org/officeDocument/2006/relationships/image" Target="../media/image17.emf"/><Relationship Id="rId4" Type="http://schemas.openxmlformats.org/officeDocument/2006/relationships/image" Target="../media/image1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9.emf"/><Relationship Id="rId2" Type="http://schemas.openxmlformats.org/officeDocument/2006/relationships/image" Target="../media/image20.emf"/><Relationship Id="rId1"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586806</xdr:colOff>
      <xdr:row>3</xdr:row>
      <xdr:rowOff>180975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650" t="-13750" r="1"/>
        <a:stretch/>
      </xdr:blipFill>
      <xdr:spPr>
        <a:xfrm>
          <a:off x="0" y="0"/>
          <a:ext cx="1196406" cy="866775"/>
        </a:xfrm>
        <a:prstGeom prst="rect">
          <a:avLst/>
        </a:prstGeom>
      </xdr:spPr>
    </xdr:pic>
    <xdr:clientData/>
  </xdr:twoCellAnchor>
  <xdr:twoCellAnchor editAs="oneCell">
    <xdr:from>
      <xdr:col>1</xdr:col>
      <xdr:colOff>0</xdr:colOff>
      <xdr:row>12</xdr:row>
      <xdr:rowOff>0</xdr:rowOff>
    </xdr:from>
    <xdr:to>
      <xdr:col>9</xdr:col>
      <xdr:colOff>304800</xdr:colOff>
      <xdr:row>29</xdr:row>
      <xdr:rowOff>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6543675"/>
          <a:ext cx="6667500" cy="3886200"/>
        </a:xfrm>
        <a:prstGeom prst="rect">
          <a:avLst/>
        </a:prstGeom>
      </xdr:spPr>
    </xdr:pic>
    <xdr:clientData/>
  </xdr:twoCellAnchor>
  <xdr:twoCellAnchor editAs="oneCell">
    <xdr:from>
      <xdr:col>9</xdr:col>
      <xdr:colOff>0</xdr:colOff>
      <xdr:row>12</xdr:row>
      <xdr:rowOff>0</xdr:rowOff>
    </xdr:from>
    <xdr:to>
      <xdr:col>19</xdr:col>
      <xdr:colOff>571500</xdr:colOff>
      <xdr:row>29</xdr:row>
      <xdr:rowOff>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972300" y="6543675"/>
          <a:ext cx="6667500" cy="3886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xdr:colOff>
          <xdr:row>0</xdr:row>
          <xdr:rowOff>0</xdr:rowOff>
        </xdr:from>
        <xdr:to>
          <xdr:col>1</xdr:col>
          <xdr:colOff>6248401</xdr:colOff>
          <xdr:row>3</xdr:row>
          <xdr:rowOff>123825</xdr:rowOff>
        </xdr:to>
        <xdr:pic>
          <xdr:nvPicPr>
            <xdr:cNvPr id="10" name="Picture 9">
              <a:extLst>
                <a:ext uri="{FF2B5EF4-FFF2-40B4-BE49-F238E27FC236}">
                  <a16:creationId xmlns:a16="http://schemas.microsoft.com/office/drawing/2014/main" id="{00000000-0008-0000-0600-00000A000000}"/>
                </a:ext>
              </a:extLst>
            </xdr:cNvPr>
            <xdr:cNvPicPr>
              <a:picLocks noChangeArrowheads="1"/>
              <a:extLst>
                <a:ext uri="{84589F7E-364E-4C9E-8A38-B11213B215E9}">
                  <a14:cameraTool cellRange="'Award text'!$A$1:$E$18" spid="_x0000_s52780"/>
                </a:ext>
              </a:extLst>
            </xdr:cNvPicPr>
          </xdr:nvPicPr>
          <xdr:blipFill>
            <a:blip xmlns:r="http://schemas.openxmlformats.org/officeDocument/2006/relationships" r:embed="rId1"/>
            <a:srcRect/>
            <a:stretch>
              <a:fillRect/>
            </a:stretch>
          </xdr:blipFill>
          <xdr:spPr bwMode="auto">
            <a:xfrm>
              <a:off x="3409951" y="0"/>
              <a:ext cx="6248400" cy="4191000"/>
            </a:xfrm>
            <a:prstGeom prst="rect">
              <a:avLst/>
            </a:prstGeom>
            <a:noFill/>
            <a:ln w="9525">
              <a:noFill/>
              <a:miter lim="800000"/>
              <a:headEnd/>
              <a:tailEnd/>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2686050</xdr:colOff>
          <xdr:row>0</xdr:row>
          <xdr:rowOff>438150</xdr:rowOff>
        </xdr:from>
        <xdr:to>
          <xdr:col>2</xdr:col>
          <xdr:colOff>6115050</xdr:colOff>
          <xdr:row>0</xdr:row>
          <xdr:rowOff>3248025</xdr:rowOff>
        </xdr:to>
        <xdr:pic>
          <xdr:nvPicPr>
            <xdr:cNvPr id="30" name="Picture 29">
              <a:extLst>
                <a:ext uri="{FF2B5EF4-FFF2-40B4-BE49-F238E27FC236}">
                  <a16:creationId xmlns:a16="http://schemas.microsoft.com/office/drawing/2014/main" id="{00000000-0008-0000-0600-00001E000000}"/>
                </a:ext>
              </a:extLst>
            </xdr:cNvPr>
            <xdr:cNvPicPr>
              <a:picLocks noChangeAspect="1" noChangeArrowheads="1"/>
              <a:extLst>
                <a:ext uri="{84589F7E-364E-4C9E-8A38-B11213B215E9}">
                  <a14:cameraTool cellRange="$A$9:$A$14" spid="_x0000_s52781"/>
                </a:ext>
              </a:extLst>
            </xdr:cNvPicPr>
          </xdr:nvPicPr>
          <xdr:blipFill>
            <a:blip xmlns:r="http://schemas.openxmlformats.org/officeDocument/2006/relationships" r:embed="rId2"/>
            <a:srcRect/>
            <a:stretch>
              <a:fillRect/>
            </a:stretch>
          </xdr:blipFill>
          <xdr:spPr bwMode="auto">
            <a:xfrm>
              <a:off x="12382500" y="438150"/>
              <a:ext cx="3429000" cy="2809875"/>
            </a:xfrm>
            <a:prstGeom prst="rect">
              <a:avLst/>
            </a:prstGeom>
            <a:noFill/>
            <a:ln w="9525">
              <a:noFill/>
              <a:miter lim="800000"/>
              <a:headEnd/>
              <a:tailEnd/>
            </a:ln>
          </xdr:spPr>
        </xdr:pic>
        <xdr:clientData/>
      </xdr:twoCellAnchor>
    </mc:Choice>
    <mc:Fallback/>
  </mc:AlternateContent>
  <xdr:twoCellAnchor editAs="oneCell">
    <xdr:from>
      <xdr:col>2</xdr:col>
      <xdr:colOff>6286499</xdr:colOff>
      <xdr:row>0</xdr:row>
      <xdr:rowOff>0</xdr:rowOff>
    </xdr:from>
    <xdr:to>
      <xdr:col>3</xdr:col>
      <xdr:colOff>2838450</xdr:colOff>
      <xdr:row>1</xdr:row>
      <xdr:rowOff>68705</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403" r="3681"/>
        <a:stretch/>
      </xdr:blipFill>
      <xdr:spPr>
        <a:xfrm>
          <a:off x="9704293" y="0"/>
          <a:ext cx="2838451" cy="37554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2686050</xdr:colOff>
          <xdr:row>0</xdr:row>
          <xdr:rowOff>438150</xdr:rowOff>
        </xdr:from>
        <xdr:to>
          <xdr:col>3</xdr:col>
          <xdr:colOff>6115050</xdr:colOff>
          <xdr:row>0</xdr:row>
          <xdr:rowOff>3248025</xdr:rowOff>
        </xdr:to>
        <xdr:pic>
          <xdr:nvPicPr>
            <xdr:cNvPr id="16" name="Picture 15">
              <a:extLst>
                <a:ext uri="{FF2B5EF4-FFF2-40B4-BE49-F238E27FC236}">
                  <a16:creationId xmlns:a16="http://schemas.microsoft.com/office/drawing/2014/main" id="{00000000-0008-0000-0600-000010000000}"/>
                </a:ext>
              </a:extLst>
            </xdr:cNvPr>
            <xdr:cNvPicPr>
              <a:picLocks noChangeAspect="1" noChangeArrowheads="1"/>
              <a:extLst>
                <a:ext uri="{84589F7E-364E-4C9E-8A38-B11213B215E9}">
                  <a14:cameraTool cellRange="$A$9:$A$14" spid="_x0000_s52782"/>
                </a:ext>
              </a:extLst>
            </xdr:cNvPicPr>
          </xdr:nvPicPr>
          <xdr:blipFill>
            <a:blip xmlns:r="http://schemas.openxmlformats.org/officeDocument/2006/relationships" r:embed="rId4"/>
            <a:srcRect/>
            <a:stretch>
              <a:fillRect/>
            </a:stretch>
          </xdr:blipFill>
          <xdr:spPr bwMode="auto">
            <a:xfrm>
              <a:off x="18669000" y="438150"/>
              <a:ext cx="3429000" cy="2809875"/>
            </a:xfrm>
            <a:prstGeom prst="rect">
              <a:avLst/>
            </a:prstGeom>
            <a:noFill/>
            <a:ln w="9525">
              <a:noFill/>
              <a:miter lim="800000"/>
              <a:headEnd/>
              <a:tailEnd/>
            </a:ln>
          </xdr:spPr>
        </xdr:pic>
        <xdr:clientData/>
      </xdr:twoCellAnchor>
    </mc:Choice>
    <mc:Fallback/>
  </mc:AlternateContent>
  <xdr:twoCellAnchor editAs="oneCell">
    <xdr:from>
      <xdr:col>3</xdr:col>
      <xdr:colOff>6286499</xdr:colOff>
      <xdr:row>0</xdr:row>
      <xdr:rowOff>0</xdr:rowOff>
    </xdr:from>
    <xdr:to>
      <xdr:col>4</xdr:col>
      <xdr:colOff>2838450</xdr:colOff>
      <xdr:row>1</xdr:row>
      <xdr:rowOff>68705</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8403" r="3681"/>
        <a:stretch/>
      </xdr:blipFill>
      <xdr:spPr>
        <a:xfrm>
          <a:off x="15990793" y="0"/>
          <a:ext cx="2838451" cy="37554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2686050</xdr:colOff>
          <xdr:row>0</xdr:row>
          <xdr:rowOff>438150</xdr:rowOff>
        </xdr:from>
        <xdr:to>
          <xdr:col>4</xdr:col>
          <xdr:colOff>6115050</xdr:colOff>
          <xdr:row>0</xdr:row>
          <xdr:rowOff>3248025</xdr:rowOff>
        </xdr:to>
        <xdr:pic>
          <xdr:nvPicPr>
            <xdr:cNvPr id="19" name="Picture 18">
              <a:extLst>
                <a:ext uri="{FF2B5EF4-FFF2-40B4-BE49-F238E27FC236}">
                  <a16:creationId xmlns:a16="http://schemas.microsoft.com/office/drawing/2014/main" id="{00000000-0008-0000-0600-000013000000}"/>
                </a:ext>
              </a:extLst>
            </xdr:cNvPr>
            <xdr:cNvPicPr>
              <a:picLocks noChangeAspect="1" noChangeArrowheads="1"/>
              <a:extLst>
                <a:ext uri="{84589F7E-364E-4C9E-8A38-B11213B215E9}">
                  <a14:cameraTool cellRange="$A$9:$A$14" spid="_x0000_s52783"/>
                </a:ext>
              </a:extLst>
            </xdr:cNvPicPr>
          </xdr:nvPicPr>
          <xdr:blipFill>
            <a:blip xmlns:r="http://schemas.openxmlformats.org/officeDocument/2006/relationships" r:embed="rId6"/>
            <a:srcRect/>
            <a:stretch>
              <a:fillRect/>
            </a:stretch>
          </xdr:blipFill>
          <xdr:spPr bwMode="auto">
            <a:xfrm>
              <a:off x="24955500" y="438150"/>
              <a:ext cx="3429000" cy="2809875"/>
            </a:xfrm>
            <a:prstGeom prst="rect">
              <a:avLst/>
            </a:prstGeom>
            <a:noFill/>
            <a:ln w="9525">
              <a:noFill/>
              <a:miter lim="800000"/>
              <a:headEnd/>
              <a:tailEnd/>
            </a:ln>
          </xdr:spPr>
        </xdr:pic>
        <xdr:clientData/>
      </xdr:twoCellAnchor>
    </mc:Choice>
    <mc:Fallback/>
  </mc:AlternateContent>
  <xdr:twoCellAnchor editAs="oneCell">
    <xdr:from>
      <xdr:col>2</xdr:col>
      <xdr:colOff>0</xdr:colOff>
      <xdr:row>0</xdr:row>
      <xdr:rowOff>0</xdr:rowOff>
    </xdr:from>
    <xdr:to>
      <xdr:col>2</xdr:col>
      <xdr:colOff>2838450</xdr:colOff>
      <xdr:row>1</xdr:row>
      <xdr:rowOff>68705</xdr:rowOff>
    </xdr:to>
    <xdr:pic>
      <xdr:nvPicPr>
        <xdr:cNvPr id="22" name="Picture 21">
          <a:extLst>
            <a:ext uri="{FF2B5EF4-FFF2-40B4-BE49-F238E27FC236}">
              <a16:creationId xmlns:a16="http://schemas.microsoft.com/office/drawing/2014/main" id="{00000000-0008-0000-0600-000016000000}"/>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353" r="3682"/>
        <a:stretch/>
      </xdr:blipFill>
      <xdr:spPr>
        <a:xfrm>
          <a:off x="3417794" y="0"/>
          <a:ext cx="2838450" cy="3755440"/>
        </a:xfrm>
        <a:prstGeom prst="rect">
          <a:avLst/>
        </a:prstGeom>
      </xdr:spPr>
    </xdr:pic>
    <xdr:clientData/>
  </xdr:twoCellAnchor>
  <xdr:twoCellAnchor editAs="oneCell">
    <xdr:from>
      <xdr:col>2</xdr:col>
      <xdr:colOff>5444366</xdr:colOff>
      <xdr:row>0</xdr:row>
      <xdr:rowOff>0</xdr:rowOff>
    </xdr:from>
    <xdr:to>
      <xdr:col>2</xdr:col>
      <xdr:colOff>6286499</xdr:colOff>
      <xdr:row>0</xdr:row>
      <xdr:rowOff>474455</xdr:rowOff>
    </xdr:to>
    <xdr:pic>
      <xdr:nvPicPr>
        <xdr:cNvPr id="28" name="Picture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 t="-4859" r="-28794"/>
        <a:stretch/>
      </xdr:blipFill>
      <xdr:spPr>
        <a:xfrm>
          <a:off x="15137885" y="0"/>
          <a:ext cx="842133" cy="474455"/>
        </a:xfrm>
        <a:prstGeom prst="rect">
          <a:avLst/>
        </a:prstGeom>
      </xdr:spPr>
    </xdr:pic>
    <xdr:clientData/>
  </xdr:twoCellAnchor>
  <xdr:twoCellAnchor editAs="oneCell">
    <xdr:from>
      <xdr:col>3</xdr:col>
      <xdr:colOff>5444367</xdr:colOff>
      <xdr:row>0</xdr:row>
      <xdr:rowOff>0</xdr:rowOff>
    </xdr:from>
    <xdr:to>
      <xdr:col>4</xdr:col>
      <xdr:colOff>0</xdr:colOff>
      <xdr:row>0</xdr:row>
      <xdr:rowOff>474455</xdr:rowOff>
    </xdr:to>
    <xdr:pic>
      <xdr:nvPicPr>
        <xdr:cNvPr id="31" name="Picture 30">
          <a:extLst>
            <a:ext uri="{FF2B5EF4-FFF2-40B4-BE49-F238E27FC236}">
              <a16:creationId xmlns:a16="http://schemas.microsoft.com/office/drawing/2014/main" id="{00000000-0008-0000-0600-00001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 t="-4859" r="-28794"/>
        <a:stretch/>
      </xdr:blipFill>
      <xdr:spPr>
        <a:xfrm>
          <a:off x="21427317" y="0"/>
          <a:ext cx="842133" cy="474455"/>
        </a:xfrm>
        <a:prstGeom prst="rect">
          <a:avLst/>
        </a:prstGeom>
      </xdr:spPr>
    </xdr:pic>
    <xdr:clientData/>
  </xdr:twoCellAnchor>
  <xdr:twoCellAnchor editAs="oneCell">
    <xdr:from>
      <xdr:col>4</xdr:col>
      <xdr:colOff>5444367</xdr:colOff>
      <xdr:row>0</xdr:row>
      <xdr:rowOff>0</xdr:rowOff>
    </xdr:from>
    <xdr:to>
      <xdr:col>5</xdr:col>
      <xdr:colOff>0</xdr:colOff>
      <xdr:row>0</xdr:row>
      <xdr:rowOff>474455</xdr:rowOff>
    </xdr:to>
    <xdr:pic>
      <xdr:nvPicPr>
        <xdr:cNvPr id="32" name="Picture 31">
          <a:extLst>
            <a:ext uri="{FF2B5EF4-FFF2-40B4-BE49-F238E27FC236}">
              <a16:creationId xmlns:a16="http://schemas.microsoft.com/office/drawing/2014/main" id="{00000000-0008-0000-0600-00002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 t="-4859" r="-28794"/>
        <a:stretch/>
      </xdr:blipFill>
      <xdr:spPr>
        <a:xfrm>
          <a:off x="27713817" y="0"/>
          <a:ext cx="842133" cy="4744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0</xdr:colOff>
          <xdr:row>9</xdr:row>
          <xdr:rowOff>0</xdr:rowOff>
        </xdr:from>
        <xdr:to>
          <xdr:col>1</xdr:col>
          <xdr:colOff>19050</xdr:colOff>
          <xdr:row>10</xdr:row>
          <xdr:rowOff>19050</xdr:rowOff>
        </xdr:to>
        <xdr:pic>
          <xdr:nvPicPr>
            <xdr:cNvPr id="12" name="Picture 11">
              <a:extLst>
                <a:ext uri="{FF2B5EF4-FFF2-40B4-BE49-F238E27FC236}">
                  <a16:creationId xmlns:a16="http://schemas.microsoft.com/office/drawing/2014/main" id="{00000000-0008-0000-0600-00000C000000}"/>
                </a:ext>
              </a:extLst>
            </xdr:cNvPr>
            <xdr:cNvPicPr>
              <a:picLocks noChangeAspect="1" noChangeArrowheads="1"/>
              <a:extLst>
                <a:ext uri="{84589F7E-364E-4C9E-8A38-B11213B215E9}">
                  <a14:cameraTool cellRange="nameFormatted" spid="_x0000_s52784"/>
                </a:ext>
              </a:extLst>
            </xdr:cNvPicPr>
          </xdr:nvPicPr>
          <xdr:blipFill>
            <a:blip xmlns:r="http://schemas.openxmlformats.org/officeDocument/2006/relationships" r:embed="rId9"/>
            <a:srcRect/>
            <a:stretch>
              <a:fillRect/>
            </a:stretch>
          </xdr:blipFill>
          <xdr:spPr bwMode="auto">
            <a:xfrm>
              <a:off x="0" y="5838825"/>
              <a:ext cx="3429000" cy="1095375"/>
            </a:xfrm>
            <a:prstGeom prst="rect">
              <a:avLst/>
            </a:prstGeom>
            <a:noFill/>
            <a:ln w="9525">
              <a:noFill/>
              <a:miter lim="800000"/>
              <a:headEnd/>
              <a:tailEnd/>
            </a:ln>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133350</xdr:rowOff>
    </xdr:from>
    <xdr:to>
      <xdr:col>2</xdr:col>
      <xdr:colOff>486160</xdr:colOff>
      <xdr:row>2</xdr:row>
      <xdr:rowOff>333375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5" y="133350"/>
          <a:ext cx="867160" cy="600075"/>
        </a:xfrm>
        <a:prstGeom prst="rect">
          <a:avLst/>
        </a:prstGeom>
      </xdr:spPr>
    </xdr:pic>
    <xdr:clientData/>
  </xdr:twoCellAnchor>
  <xdr:twoCellAnchor editAs="absolute">
    <xdr:from>
      <xdr:col>7</xdr:col>
      <xdr:colOff>161925</xdr:colOff>
      <xdr:row>0</xdr:row>
      <xdr:rowOff>37540</xdr:rowOff>
    </xdr:from>
    <xdr:to>
      <xdr:col>17</xdr:col>
      <xdr:colOff>352424</xdr:colOff>
      <xdr:row>15</xdr:row>
      <xdr:rowOff>123825</xdr:rowOff>
    </xdr:to>
    <xdr:sp macro="" textlink="">
      <xdr:nvSpPr>
        <xdr:cNvPr id="6" name="Rectangle 5">
          <a:extLst>
            <a:ext uri="{FF2B5EF4-FFF2-40B4-BE49-F238E27FC236}">
              <a16:creationId xmlns:a16="http://schemas.microsoft.com/office/drawing/2014/main" id="{00000000-0008-0000-0700-000006000000}"/>
            </a:ext>
          </a:extLst>
        </xdr:cNvPr>
        <xdr:cNvSpPr/>
      </xdr:nvSpPr>
      <xdr:spPr>
        <a:xfrm>
          <a:off x="7296150" y="37540"/>
          <a:ext cx="6286499" cy="3686735"/>
        </a:xfrm>
        <a:prstGeom prst="rect">
          <a:avLst/>
        </a:prstGeom>
        <a:solidFill>
          <a:srgbClr val="4472C4">
            <a:alpha val="47843"/>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0</xdr:col>
          <xdr:colOff>2247900</xdr:colOff>
          <xdr:row>7</xdr:row>
          <xdr:rowOff>9525</xdr:rowOff>
        </xdr:to>
        <xdr:sp macro="" textlink="">
          <xdr:nvSpPr>
            <xdr:cNvPr id="18433" name="cmdHideLeadingApostrophes" hidden="1">
              <a:extLst>
                <a:ext uri="{63B3BB69-23CF-44E3-9099-C40C66FF867C}">
                  <a14:compatExt spid="_x0000_s18433"/>
                </a:ext>
                <a:ext uri="{FF2B5EF4-FFF2-40B4-BE49-F238E27FC236}">
                  <a16:creationId xmlns:a16="http://schemas.microsoft.com/office/drawing/2014/main" id="{00000000-0008-0000-0500-000001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xdr:row>
          <xdr:rowOff>0</xdr:rowOff>
        </xdr:from>
        <xdr:to>
          <xdr:col>2</xdr:col>
          <xdr:colOff>2247900</xdr:colOff>
          <xdr:row>7</xdr:row>
          <xdr:rowOff>9525</xdr:rowOff>
        </xdr:to>
        <xdr:sp macro="" textlink="">
          <xdr:nvSpPr>
            <xdr:cNvPr id="18435" name="cmdSetReleaseMode" hidden="1">
              <a:extLst>
                <a:ext uri="{63B3BB69-23CF-44E3-9099-C40C66FF867C}">
                  <a14:compatExt spid="_x0000_s18435"/>
                </a:ext>
                <a:ext uri="{FF2B5EF4-FFF2-40B4-BE49-F238E27FC236}">
                  <a16:creationId xmlns:a16="http://schemas.microsoft.com/office/drawing/2014/main" id="{00000000-0008-0000-0500-000003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28575</xdr:rowOff>
        </xdr:from>
        <xdr:to>
          <xdr:col>2</xdr:col>
          <xdr:colOff>2247900</xdr:colOff>
          <xdr:row>9</xdr:row>
          <xdr:rowOff>38100</xdr:rowOff>
        </xdr:to>
        <xdr:sp macro="" textlink="">
          <xdr:nvSpPr>
            <xdr:cNvPr id="18437" name="cmdSetDevMode" hidden="1">
              <a:extLst>
                <a:ext uri="{63B3BB69-23CF-44E3-9099-C40C66FF867C}">
                  <a14:compatExt spid="_x0000_s18437"/>
                </a:ext>
                <a:ext uri="{FF2B5EF4-FFF2-40B4-BE49-F238E27FC236}">
                  <a16:creationId xmlns:a16="http://schemas.microsoft.com/office/drawing/2014/main" id="{00000000-0008-0000-0500-000005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0</v>
  </rv>
  <rv s="0">
    <v>13</v>
    <v>0</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58CEA3-2827-4CDB-A181-22C721DBB52F}" name="tblPassengerNames" displayName="tblPassengerNames" ref="B2:R1311" totalsRowShown="0" headerRowDxfId="18" dataDxfId="17">
  <autoFilter ref="B2:R1311" xr:uid="{D158CEA3-2827-4CDB-A181-22C721DBB52F}"/>
  <tableColumns count="17">
    <tableColumn id="13" xr3:uid="{8D9F2314-EEAB-43D2-87C5-7A47154408EF}" name="ID" dataDxfId="16"/>
    <tableColumn id="14" xr3:uid="{9200200C-04C6-4085-B4DA-000A32C67F79}" name="Name" dataDxfId="15"/>
    <tableColumn id="1" xr3:uid="{00D6E29C-0EA2-480F-B088-F16DA4694A95}" name="Sex" dataDxfId="14"/>
    <tableColumn id="17" xr3:uid="{DF41015F-BADD-4E82-9F0C-5D4AA04F4CD6}" name="CommaPos" dataDxfId="13">
      <calculatedColumnFormula>FIND(",", tblPassengerNames[[#This Row],[Name]])</calculatedColumnFormula>
    </tableColumn>
    <tableColumn id="11" xr3:uid="{6536B848-3796-484E-B9FA-9AF153D8A47C}" name="DotPos" dataDxfId="12">
      <calculatedColumnFormula>FIND(".", tblPassengerNames[[#This Row],[Name]])</calculatedColumnFormula>
    </tableColumn>
    <tableColumn id="10" xr3:uid="{B91D33BD-5BFA-4FFF-85DD-9494544579B9}" name="OpenParPos" dataDxfId="11">
      <calculatedColumnFormula>FIND("(", tblPassengerNames[[#This Row],[Name]])</calculatedColumnFormula>
    </tableColumn>
    <tableColumn id="19" xr3:uid="{E9786CA2-7201-4F3E-A428-C379BF7C9DB5}" name="CloseParPos" dataDxfId="10">
      <calculatedColumnFormula>FIND(")", tblPassengerNames[[#This Row],[Name]])</calculatedColumnFormula>
    </tableColumn>
    <tableColumn id="22" xr3:uid="{B177400A-1FF7-4CA2-BE47-F3276A96AB70}" name="EndOfConvFNPos" dataDxfId="9">
      <calculatedColumnFormula>IFERROR(tblPassengerNames[[#This Row],[OpenParPos]] - 2, LEN(tblPassengerNames[[#This Row],[Name]]))</calculatedColumnFormula>
    </tableColumn>
    <tableColumn id="21" xr3:uid="{10989456-8F85-4E0C-BB5F-7E69DAC93790}" name="ConvForenames" dataDxfId="8">
      <calculatedColumnFormula>MID(tblPassengerNames[[#This Row],[Name]], tblPassengerNames[[#This Row],[DotPos]] + 2, tblPassengerNames[[#This Row],[EndOfConvFNPos]] - tblPassengerNames[[#This Row],[DotPos]] - 1)</calculatedColumnFormula>
    </tableColumn>
    <tableColumn id="8" xr3:uid="{C5B9C088-9AD0-4F54-8CF6-E9B4AA276284}" name="InParentheses" dataDxfId="7">
      <calculatedColumnFormula>MID(tblPassengerNames[[#This Row],[Name]], tblPassengerNames[[#This Row],[OpenParPos]] + 1, tblPassengerNames[[#This Row],[CloseParPos]] - tblPassengerNames[[#This Row],[OpenParPos]] - 1)</calculatedColumnFormula>
    </tableColumn>
    <tableColumn id="12" xr3:uid="{57632E64-8C41-40ED-8376-871561949801}" name="InParenthesesCleaned" dataDxfId="6">
      <calculatedColumnFormula>IF(AND(LEFT(tblPassengerNames[[#This Row],[InParentheses]], 1) = "'", RIGHT(tblPassengerNames[[#This Row],[InParentheses]], 1) = "'"),
    #VALUE!,
    tblPassengerNames[[#This Row],[InParentheses]]
)</calculatedColumnFormula>
    </tableColumn>
    <tableColumn id="7" xr3:uid="{DE1F864B-9366-49C3-B2AB-9BD08B3409BF}" name="P_NSpaces" dataDxfId="5">
      <calculatedColumnFormula>LEN(tblPassengerNames[[#This Row],[InParenthesesCleaned]]) - LEN(SUBSTITUTE(tblPassengerNames[[#This Row],[InParenthesesCleaned]], " ", ""))</calculatedColumnFormula>
    </tableColumn>
    <tableColumn id="6" xr3:uid="{3378C91F-4AA9-4D9A-8CBA-A44B561C6780}" name="P_FinalSpacePos" dataDxfId="4">
      <calculatedColumnFormula>FIND("@", SUBSTITUTE(tblPassengerNames[[#This Row],[InParenthesesCleaned]], " ", "@", tblPassengerNames[[#This Row],[P_NSpaces]]))</calculatedColumnFormula>
    </tableColumn>
    <tableColumn id="5" xr3:uid="{E485C2A1-FA08-448A-B12D-8402DDD4291E}" name="P_Forenames" dataDxfId="3">
      <calculatedColumnFormula>IF(tblPassengerNames[[#This Row],[P_NSpaces]] = 0,
    tblPassengerNames[[#This Row],[InParenthesesCleaned]],
    LEFT(tblPassengerNames[[#This Row],[InParenthesesCleaned]], tblPassengerNames[[#This Row],[P_FinalSpacePos]] - 1)
)</calculatedColumnFormula>
    </tableColumn>
    <tableColumn id="25" xr3:uid="{2EA27E9A-D69F-4D10-B0EF-25FCA9765148}" name="Forenames" dataDxfId="2">
      <calculatedColumnFormula>IFERROR(tblPassengerNames[[#This Row],[P_Forenames]], tblPassengerNames[[#This Row],[ConvForenames]])</calculatedColumnFormula>
    </tableColumn>
    <tableColumn id="15" xr3:uid="{89CD39CB-BA87-44C7-B8AC-440CC251C8BB}" name="Title" dataDxfId="1">
      <calculatedColumnFormula>MID(tblPassengerNames[[#This Row],[Name]], tblPassengerNames[[#This Row],[CommaPos]] + 2, tblPassengerNames[[#This Row],[DotPos]] - tblPassengerNames[[#This Row],[CommaPos]] - 1)</calculatedColumnFormula>
    </tableColumn>
    <tableColumn id="20" xr3:uid="{4A8FFDB0-0D6A-4822-B90C-58304408C37B}" name="Surname" dataDxfId="0">
      <calculatedColumnFormula>LEFT(tblPassengerNames[[#This Row],[Name]], tblPassengerNames[[#This Row],[CommaPos]] - 1)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998558-DF81-4EF9-993E-F7354AAC426E}" name="tblErrHelp" displayName="tblErrHelp" ref="A1:C10" totalsRowShown="0">
  <autoFilter ref="A1:C10" xr:uid="{D3998558-DF81-4EF9-993E-F7354AAC426E}"/>
  <tableColumns count="3">
    <tableColumn id="4" xr3:uid="{27B85B46-0386-4C89-ABD2-2F01DE6A49AF}" name="Error"/>
    <tableColumn id="1" xr3:uid="{E2D64C2C-1075-42FF-964E-1516EFD3460A}" name="ErrNum"/>
    <tableColumn id="3" xr3:uid="{A017268A-9F50-4248-8022-9CAC2BE5B6F0}" name="HelpText">
      <calculatedColumnFormula>"A #CALC! error often indicates that a dynamic array formula is returning no results."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8BABEE-5257-4ED3-AB60-FF589A27D49A}" name="tblAwards" displayName="tblAwards" ref="A98:E102" totalsRowShown="0">
  <autoFilter ref="A98:E102" xr:uid="{388BABEE-5257-4ED3-AB60-FF589A27D49A}"/>
  <tableColumns count="5">
    <tableColumn id="1" xr3:uid="{21F3246C-ED82-4E46-A444-AD1E50A6E925}" name="Award"/>
    <tableColumn id="6" xr3:uid="{D6AA01E1-D085-4F61-BB2B-7F5398D8E277}" name="Fraction correct required" dataDxfId="285"/>
    <tableColumn id="2" xr3:uid="{D4369C39-B834-4F10-96D5-70DAA4BC0858}" name="Bar width" dataDxfId="284">
      <calculatedColumnFormula array="1">IFERROR(INDEX(tblAwards[Fraction correct required], MATCH(tblAwards[[#This Row],[Award]], tblAwards[Award], 0) + 1), 1) - tblAwards[[#This Row],[Fraction correct required]]</calculatedColumnFormula>
    </tableColumn>
    <tableColumn id="4" xr3:uid="{C71827A6-3387-44C6-843D-D13FAEE10297}" name="Data label" dataDxfId="283">
      <calculatedColumnFormula>IF(tblAwards[[#This Row],[Bar width]] &gt;= (abbvThresh * LEN(tblAwards[[#This Row],[Award]])), tblAwards[[#This Row],[Award]], LEFT(tblAwards[[#This Row],[Award]], 1))</calculatedColumnFormula>
    </tableColumn>
    <tableColumn id="3" xr3:uid="{FECC1725-1D1C-4445-8541-238E20400BA0}" name="Earned" dataDxfId="282">
      <calculatedColumnFormula>OR(tblAwards[[#This Row],[Award]] = "None", AND(anyFormulaErrors = FALSE, fracCorrect &gt;= tblAwards[[#This Row],[Fraction correct required]]))</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8063042-3078-42EA-832B-75E6D341DE8E}" name="tblAnswers" displayName="tblAnswers" ref="A170:H1479" totalsRowShown="0">
  <autoFilter ref="A170:H1479" xr:uid="{78063042-3078-42EA-832B-75E6D341DE8E}"/>
  <sortState xmlns:xlrd2="http://schemas.microsoft.com/office/spreadsheetml/2017/richdata2" ref="A172:H1479">
    <sortCondition ref="A170:A1479"/>
  </sortState>
  <tableColumns count="8">
    <tableColumn id="2" xr3:uid="{7242E982-961B-45D1-B3E3-E44E54FDEC24}" name="ID"/>
    <tableColumn id="1" xr3:uid="{CD6EB00F-E5FD-4E69-99BC-ABCA515AD2C0}" name="Name"/>
    <tableColumn id="3" xr3:uid="{298B8A98-12EC-4BF0-915B-4292D8543468}" name="Sex"/>
    <tableColumn id="4" xr3:uid="{5DD0D2D1-6C49-40FB-9D59-AF93E89524AD}" name="Title"/>
    <tableColumn id="5" xr3:uid="{299F8524-AA7F-44D9-8C1D-6F1013C039A5}" name="Forenames"/>
    <tableColumn id="6" xr3:uid="{27D2D6AB-3083-43F8-AFF8-74C57244D972}" name="Surname"/>
    <tableColumn id="7" xr3:uid="{25B4DF81-3D5E-4BCC-9458-1677E4EA789B}" name="Manually validated"/>
    <tableColumn id="8" xr3:uid="{43398236-D20B-4F5B-89F6-8E4AAB9049A9}" name="Difficul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505457-40BC-4A8A-BD3F-78773E7B4A91}" name="tblLockedColnames_tblData" displayName="tblLockedColnames_tblData" ref="A143:A149">
  <autoFilter ref="A143:A149" xr:uid="{4F505457-40BC-4A8A-BD3F-78773E7B4A91}"/>
  <tableColumns count="1">
    <tableColumn id="1" xr3:uid="{AF20D409-D429-4F3B-A222-F65158403A72}" name="Column name" totalsRowFunction="custom">
      <calculatedColumnFormula>tblPassengerNames[[#Headers],[ID]]</calculatedColumnFormula>
      <totalsRowFormula>tblPassengerNames[[#Headers],[Name]]</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6768E19-729A-4A0C-AC5B-53F3E7D14829}" name="tblGradedColnames" displayName="tblGradedColnames" ref="A80:D83" totalsRowShown="0">
  <autoFilter ref="A80:D83" xr:uid="{F6768E19-729A-4A0C-AC5B-53F3E7D14829}"/>
  <tableColumns count="4">
    <tableColumn id="1" xr3:uid="{A97F391E-0F5E-4B99-A5C0-6F105DFA0443}" name="Column name"/>
    <tableColumn id="3" xr3:uid="{0F44C78C-4A40-4FC7-A88D-35827A996C29}" name="Index" dataDxfId="281">
      <calculatedColumnFormula>MATCH(tblGradedColnames[[#This Row],[Column name]], tblPassengerNames[#Headers], 0)</calculatedColumnFormula>
    </tableColumn>
    <tableColumn id="2" xr3:uid="{423A1783-6031-49FC-A048-84EF870B250D}" name="N correct" dataDxfId="280">
      <calculatedColumnFormula>COUNTIF(OFFSET(tblPassengerNames[], 0, tblGradedColnames[[#This Row],[Index]] - 1, , 1), TRUE)</calculatedColumnFormula>
    </tableColumn>
    <tableColumn id="4" xr3:uid="{D78F3DBB-41B1-46D7-AD9A-7B60FF886ACD}" name="Frac correct" dataDxfId="279">
      <calculatedColumnFormula>tblGradedColnames[[#This Row],[N correct]] / nRows</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D5AA12-1359-45DB-9FC7-13DEAD149027}" name="tblCanRefAnsColnames" displayName="tblCanRefAnsColnames" ref="A154:A159">
  <autoFilter ref="A154:A159" xr:uid="{63D5AA12-1359-45DB-9FC7-13DEAD149027}"/>
  <tableColumns count="1">
    <tableColumn id="1" xr3:uid="{ED9D5CF7-2B08-49C2-8136-CCC26CCF46D8}" name="Column name" totalsRowFunction="custom">
      <calculatedColumnFormula>tblPassengerNames[[#Headers],[ID]]</calculatedColumnFormula>
      <totalsRowFormula>tblPassengerNames[[#Headers],[Name]]</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F6B3D32-1FEA-4909-9EC3-13545F95E24E}" name="tblCanBeHardcodedColnames_tblData" displayName="tblCanBeHardcodedColnames_tblData" ref="A164:A167">
  <autoFilter ref="A164:A167" xr:uid="{DF6B3D32-1FEA-4909-9EC3-13545F95E24E}"/>
  <tableColumns count="1">
    <tableColumn id="1" xr3:uid="{CE21AE91-8BB7-4531-AD87-CDD04EEFE12B}" name="Column name" totalsRowFunction="custom">
      <calculatedColumnFormula>tblPassengerNames[[#Headers],[ID]]</calculatedColumnFormula>
      <totalsRowFormula>tblPassengerNames[[#Headers],[Name]]</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6126037-47DB-4017-9A4E-B5D2D287F8B6}" name="tblCFPrototypes" displayName="tblCFPrototypes" ref="A125:C127" totalsRowShown="0">
  <autoFilter ref="A125:C127" xr:uid="{C6126037-47DB-4017-9A4E-B5D2D287F8B6}"/>
  <tableColumns count="3">
    <tableColumn id="1" xr3:uid="{80007653-811E-42C6-A4BA-AA7E596E2B92}" name="Formatted prototype" dataDxfId="278">
      <calculatedColumnFormula>oldExcelMissingFeature</calculatedColumnFormula>
    </tableColumn>
    <tableColumn id="3" xr3:uid="{C85C0430-DC99-4B7B-A106-2A1FE23FBD05}" name="Sheet" dataDxfId="277"/>
    <tableColumn id="2" xr3:uid="{77D1CF8A-54F1-451A-8E0D-F17652E1D3DF}" name="AppliesToRang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table" Target="../tables/table6.xml"/><Relationship Id="rId3" Type="http://schemas.openxmlformats.org/officeDocument/2006/relationships/vmlDrawing" Target="../drawings/vmlDrawing2.vml"/><Relationship Id="rId7" Type="http://schemas.openxmlformats.org/officeDocument/2006/relationships/image" Target="../media/image20.emf"/><Relationship Id="rId12" Type="http://schemas.openxmlformats.org/officeDocument/2006/relationships/table" Target="../tables/table5.xml"/><Relationship Id="rId17" Type="http://schemas.openxmlformats.org/officeDocument/2006/relationships/comments" Target="../comments1.xml"/><Relationship Id="rId2" Type="http://schemas.openxmlformats.org/officeDocument/2006/relationships/drawing" Target="../drawings/drawing4.xml"/><Relationship Id="rId16" Type="http://schemas.openxmlformats.org/officeDocument/2006/relationships/table" Target="../tables/table9.xml"/><Relationship Id="rId1" Type="http://schemas.openxmlformats.org/officeDocument/2006/relationships/printerSettings" Target="../printerSettings/printerSettings4.bin"/><Relationship Id="rId6" Type="http://schemas.openxmlformats.org/officeDocument/2006/relationships/control" Target="../activeX/activeX2.xml"/><Relationship Id="rId11" Type="http://schemas.openxmlformats.org/officeDocument/2006/relationships/table" Target="../tables/table4.xml"/><Relationship Id="rId5" Type="http://schemas.openxmlformats.org/officeDocument/2006/relationships/image" Target="../media/image19.emf"/><Relationship Id="rId15" Type="http://schemas.openxmlformats.org/officeDocument/2006/relationships/table" Target="../tables/table8.xml"/><Relationship Id="rId10" Type="http://schemas.openxmlformats.org/officeDocument/2006/relationships/table" Target="../tables/table3.xml"/><Relationship Id="rId4" Type="http://schemas.openxmlformats.org/officeDocument/2006/relationships/control" Target="../activeX/activeX1.xml"/><Relationship Id="rId9" Type="http://schemas.openxmlformats.org/officeDocument/2006/relationships/image" Target="../media/image21.emf"/><Relationship Id="rId1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E4301-6FFF-4A9A-B963-AA0F26ACCC6A}">
  <sheetPr codeName="shtData"/>
  <dimension ref="B1:R1311"/>
  <sheetViews>
    <sheetView showGridLines="0" topLeftCell="H1" zoomScaleNormal="100" workbookViewId="0">
      <pane ySplit="2" topLeftCell="A111" activePane="bottomLeft" state="frozen"/>
      <selection pane="bottomLeft" activeCell="W136" sqref="W136"/>
    </sheetView>
  </sheetViews>
  <sheetFormatPr defaultColWidth="9.140625" defaultRowHeight="15" x14ac:dyDescent="0.25"/>
  <cols>
    <col min="1" max="2" width="9.140625" style="16"/>
    <col min="3" max="3" width="47.42578125" style="16" customWidth="1"/>
    <col min="4" max="4" width="9.140625" style="16"/>
    <col min="5" max="9" width="12.5703125" style="16" customWidth="1"/>
    <col min="10" max="10" width="19.85546875" style="16" customWidth="1"/>
    <col min="11" max="11" width="25.5703125" style="16" customWidth="1"/>
    <col min="12" max="12" width="33.5703125" style="16" customWidth="1"/>
    <col min="13" max="13" width="12.42578125" style="16" bestFit="1" customWidth="1"/>
    <col min="14" max="14" width="17.42578125" style="16" bestFit="1" customWidth="1"/>
    <col min="15" max="15" width="24.5703125" style="16" customWidth="1"/>
    <col min="16" max="16" width="22.5703125" style="16" customWidth="1"/>
    <col min="17" max="17" width="12.140625" style="16" bestFit="1" customWidth="1"/>
    <col min="18" max="18" width="12.5703125" style="16" customWidth="1"/>
    <col min="19" max="16384" width="9.140625" style="16"/>
  </cols>
  <sheetData>
    <row r="1" spans="2:18" ht="18.75" x14ac:dyDescent="0.3">
      <c r="B1" s="15" t="str">
        <f ca="1">dataTblName</f>
        <v>tblPassengerNames</v>
      </c>
    </row>
    <row r="2" spans="2:18" x14ac:dyDescent="0.25">
      <c r="B2" s="16" t="s">
        <v>69</v>
      </c>
      <c r="C2" s="16" t="s">
        <v>0</v>
      </c>
      <c r="D2" s="16" t="s">
        <v>134</v>
      </c>
      <c r="E2" s="16" t="s">
        <v>1447</v>
      </c>
      <c r="F2" s="16" t="s">
        <v>1448</v>
      </c>
      <c r="G2" s="16" t="s">
        <v>1449</v>
      </c>
      <c r="H2" s="16" t="s">
        <v>1450</v>
      </c>
      <c r="I2" s="16" t="s">
        <v>1479</v>
      </c>
      <c r="J2" s="16" t="s">
        <v>1478</v>
      </c>
      <c r="K2" s="16" t="s">
        <v>1453</v>
      </c>
      <c r="L2" s="16" t="s">
        <v>3394</v>
      </c>
      <c r="M2" s="16" t="s">
        <v>3397</v>
      </c>
      <c r="N2" s="16" t="s">
        <v>1452</v>
      </c>
      <c r="O2" s="16" t="s">
        <v>1451</v>
      </c>
      <c r="P2" s="16" t="s">
        <v>1445</v>
      </c>
      <c r="Q2" s="16" t="s">
        <v>1444</v>
      </c>
      <c r="R2" s="16" t="s">
        <v>1446</v>
      </c>
    </row>
    <row r="3" spans="2:18" x14ac:dyDescent="0.25">
      <c r="B3" s="21">
        <v>1</v>
      </c>
      <c r="C3" s="21" t="s">
        <v>135</v>
      </c>
      <c r="D3" s="21" t="s">
        <v>136</v>
      </c>
      <c r="E3">
        <f>FIND(",", tblPassengerNames[[#This Row],[Name]])</f>
        <v>6</v>
      </c>
      <c r="F3">
        <f>FIND(".", tblPassengerNames[[#This Row],[Name]])</f>
        <v>12</v>
      </c>
      <c r="G3" t="e">
        <f>FIND("(", tblPassengerNames[[#This Row],[Name]])</f>
        <v>#VALUE!</v>
      </c>
      <c r="H3" t="e">
        <f>FIND(")", tblPassengerNames[[#This Row],[Name]])</f>
        <v>#VALUE!</v>
      </c>
      <c r="I3">
        <f>IFERROR(tblPassengerNames[[#This Row],[OpenParPos]] - 2, LEN(tblPassengerNames[[#This Row],[Name]]))</f>
        <v>29</v>
      </c>
      <c r="J3" t="str">
        <f>MID(tblPassengerNames[[#This Row],[Name]], tblPassengerNames[[#This Row],[DotPos]] + 2, tblPassengerNames[[#This Row],[EndOfConvFNPos]] - tblPassengerNames[[#This Row],[DotPos]] - 1)</f>
        <v>Elisabeth Walton</v>
      </c>
      <c r="K3" t="e">
        <f>MID(tblPassengerNames[[#This Row],[Name]], tblPassengerNames[[#This Row],[OpenParPos]] + 1, tblPassengerNames[[#This Row],[CloseParPos]] - tblPassengerNames[[#This Row],[OpenParPos]] - 1)</f>
        <v>#VALUE!</v>
      </c>
      <c r="L3" t="e">
        <f>IF(AND(LEFT(tblPassengerNames[[#This Row],[InParentheses]], 1) = "'", RIGHT(tblPassengerNames[[#This Row],[InParentheses]], 1) = "'"),
    #VALUE!,
    tblPassengerNames[[#This Row],[InParentheses]]
)</f>
        <v>#VALUE!</v>
      </c>
      <c r="M3" t="e">
        <f>LEN(tblPassengerNames[[#This Row],[InParenthesesCleaned]]) - LEN(SUBSTITUTE(tblPassengerNames[[#This Row],[InParenthesesCleaned]], " ", ""))</f>
        <v>#VALUE!</v>
      </c>
      <c r="N3" t="e">
        <f>FIND("@", SUBSTITUTE(tblPassengerNames[[#This Row],[InParenthesesCleaned]], " ", "@", tblPassengerNames[[#This Row],[P_NSpaces]]))</f>
        <v>#VALUE!</v>
      </c>
      <c r="O3" t="e">
        <f>IF(tblPassengerNames[[#This Row],[P_NSpaces]] = 0,
    tblPassengerNames[[#This Row],[InParenthesesCleaned]],
    LEFT(tblPassengerNames[[#This Row],[InParenthesesCleaned]], tblPassengerNames[[#This Row],[P_FinalSpacePos]] - 1)
)</f>
        <v>#VALUE!</v>
      </c>
      <c r="P3" t="str">
        <f>IFERROR(tblPassengerNames[[#This Row],[P_Forenames]], tblPassengerNames[[#This Row],[ConvForenames]])</f>
        <v>Elisabeth Walton</v>
      </c>
      <c r="Q3" t="str">
        <f>MID(tblPassengerNames[[#This Row],[Name]], tblPassengerNames[[#This Row],[CommaPos]] + 2, tblPassengerNames[[#This Row],[DotPos]] - tblPassengerNames[[#This Row],[CommaPos]] - 1)</f>
        <v>Miss.</v>
      </c>
      <c r="R3" t="str">
        <f>LEFT(tblPassengerNames[[#This Row],[Name]], tblPassengerNames[[#This Row],[CommaPos]] - 1)</f>
        <v>Allen</v>
      </c>
    </row>
    <row r="4" spans="2:18" x14ac:dyDescent="0.25">
      <c r="B4" s="21">
        <v>2</v>
      </c>
      <c r="C4" s="21" t="s">
        <v>137</v>
      </c>
      <c r="D4" s="21" t="s">
        <v>138</v>
      </c>
      <c r="E4">
        <f>FIND(",", tblPassengerNames[[#This Row],[Name]])</f>
        <v>8</v>
      </c>
      <c r="F4">
        <f>FIND(".", tblPassengerNames[[#This Row],[Name]])</f>
        <v>16</v>
      </c>
      <c r="G4" t="e">
        <f>FIND("(", tblPassengerNames[[#This Row],[Name]])</f>
        <v>#VALUE!</v>
      </c>
      <c r="H4" t="e">
        <f>FIND(")", tblPassengerNames[[#This Row],[Name]])</f>
        <v>#VALUE!</v>
      </c>
      <c r="I4">
        <f>IFERROR(tblPassengerNames[[#This Row],[OpenParPos]] - 2, LEN(tblPassengerNames[[#This Row],[Name]]))</f>
        <v>30</v>
      </c>
      <c r="J4" t="str">
        <f>MID(tblPassengerNames[[#This Row],[Name]], tblPassengerNames[[#This Row],[DotPos]] + 2, tblPassengerNames[[#This Row],[EndOfConvFNPos]] - tblPassengerNames[[#This Row],[DotPos]] - 1)</f>
        <v>Hudson Trevor</v>
      </c>
      <c r="K4" t="e">
        <f>MID(tblPassengerNames[[#This Row],[Name]], tblPassengerNames[[#This Row],[OpenParPos]] + 1, tblPassengerNames[[#This Row],[CloseParPos]] - tblPassengerNames[[#This Row],[OpenParPos]] - 1)</f>
        <v>#VALUE!</v>
      </c>
      <c r="L4" t="e">
        <f>IF(AND(LEFT(tblPassengerNames[[#This Row],[InParentheses]], 1) = "'", RIGHT(tblPassengerNames[[#This Row],[InParentheses]], 1) = "'"),
    #VALUE!,
    tblPassengerNames[[#This Row],[InParentheses]]
)</f>
        <v>#VALUE!</v>
      </c>
      <c r="M4" t="e">
        <f>LEN(tblPassengerNames[[#This Row],[InParenthesesCleaned]]) - LEN(SUBSTITUTE(tblPassengerNames[[#This Row],[InParenthesesCleaned]], " ", ""))</f>
        <v>#VALUE!</v>
      </c>
      <c r="N4" t="e">
        <f>FIND("@", SUBSTITUTE(tblPassengerNames[[#This Row],[InParenthesesCleaned]], " ", "@", tblPassengerNames[[#This Row],[P_NSpaces]]))</f>
        <v>#VALUE!</v>
      </c>
      <c r="O4" t="e">
        <f>IF(tblPassengerNames[[#This Row],[P_NSpaces]] = 0,
    tblPassengerNames[[#This Row],[InParenthesesCleaned]],
    LEFT(tblPassengerNames[[#This Row],[InParenthesesCleaned]], tblPassengerNames[[#This Row],[P_FinalSpacePos]] - 1)
)</f>
        <v>#VALUE!</v>
      </c>
      <c r="P4" t="str">
        <f>IFERROR(tblPassengerNames[[#This Row],[P_Forenames]], tblPassengerNames[[#This Row],[ConvForenames]])</f>
        <v>Hudson Trevor</v>
      </c>
      <c r="Q4" t="str">
        <f>MID(tblPassengerNames[[#This Row],[Name]], tblPassengerNames[[#This Row],[CommaPos]] + 2, tblPassengerNames[[#This Row],[DotPos]] - tblPassengerNames[[#This Row],[CommaPos]] - 1)</f>
        <v>Master.</v>
      </c>
      <c r="R4" t="str">
        <f>LEFT(tblPassengerNames[[#This Row],[Name]], tblPassengerNames[[#This Row],[CommaPos]] - 1)</f>
        <v>Allison</v>
      </c>
    </row>
    <row r="5" spans="2:18" x14ac:dyDescent="0.25">
      <c r="B5" s="21">
        <v>3</v>
      </c>
      <c r="C5" s="21" t="s">
        <v>139</v>
      </c>
      <c r="D5" s="21" t="s">
        <v>136</v>
      </c>
      <c r="E5">
        <f>FIND(",", tblPassengerNames[[#This Row],[Name]])</f>
        <v>8</v>
      </c>
      <c r="F5">
        <f>FIND(".", tblPassengerNames[[#This Row],[Name]])</f>
        <v>14</v>
      </c>
      <c r="G5" t="e">
        <f>FIND("(", tblPassengerNames[[#This Row],[Name]])</f>
        <v>#VALUE!</v>
      </c>
      <c r="H5" t="e">
        <f>FIND(")", tblPassengerNames[[#This Row],[Name]])</f>
        <v>#VALUE!</v>
      </c>
      <c r="I5">
        <f>IFERROR(tblPassengerNames[[#This Row],[OpenParPos]] - 2, LEN(tblPassengerNames[[#This Row],[Name]]))</f>
        <v>28</v>
      </c>
      <c r="J5" t="str">
        <f>MID(tblPassengerNames[[#This Row],[Name]], tblPassengerNames[[#This Row],[DotPos]] + 2, tblPassengerNames[[#This Row],[EndOfConvFNPos]] - tblPassengerNames[[#This Row],[DotPos]] - 1)</f>
        <v>Helen Loraine</v>
      </c>
      <c r="K5" t="e">
        <f>MID(tblPassengerNames[[#This Row],[Name]], tblPassengerNames[[#This Row],[OpenParPos]] + 1, tblPassengerNames[[#This Row],[CloseParPos]] - tblPassengerNames[[#This Row],[OpenParPos]] - 1)</f>
        <v>#VALUE!</v>
      </c>
      <c r="L5" t="e">
        <f>IF(AND(LEFT(tblPassengerNames[[#This Row],[InParentheses]], 1) = "'", RIGHT(tblPassengerNames[[#This Row],[InParentheses]], 1) = "'"),
    #VALUE!,
    tblPassengerNames[[#This Row],[InParentheses]]
)</f>
        <v>#VALUE!</v>
      </c>
      <c r="M5" t="e">
        <f>LEN(tblPassengerNames[[#This Row],[InParenthesesCleaned]]) - LEN(SUBSTITUTE(tblPassengerNames[[#This Row],[InParenthesesCleaned]], " ", ""))</f>
        <v>#VALUE!</v>
      </c>
      <c r="N5" t="e">
        <f>FIND("@", SUBSTITUTE(tblPassengerNames[[#This Row],[InParenthesesCleaned]], " ", "@", tblPassengerNames[[#This Row],[P_NSpaces]]))</f>
        <v>#VALUE!</v>
      </c>
      <c r="O5" t="e">
        <f>IF(tblPassengerNames[[#This Row],[P_NSpaces]] = 0,
    tblPassengerNames[[#This Row],[InParenthesesCleaned]],
    LEFT(tblPassengerNames[[#This Row],[InParenthesesCleaned]], tblPassengerNames[[#This Row],[P_FinalSpacePos]] - 1)
)</f>
        <v>#VALUE!</v>
      </c>
      <c r="P5" t="str">
        <f>IFERROR(tblPassengerNames[[#This Row],[P_Forenames]], tblPassengerNames[[#This Row],[ConvForenames]])</f>
        <v>Helen Loraine</v>
      </c>
      <c r="Q5" t="str">
        <f>MID(tblPassengerNames[[#This Row],[Name]], tblPassengerNames[[#This Row],[CommaPos]] + 2, tblPassengerNames[[#This Row],[DotPos]] - tblPassengerNames[[#This Row],[CommaPos]] - 1)</f>
        <v>Miss.</v>
      </c>
      <c r="R5" t="str">
        <f>LEFT(tblPassengerNames[[#This Row],[Name]], tblPassengerNames[[#This Row],[CommaPos]] - 1)</f>
        <v>Allison</v>
      </c>
    </row>
    <row r="6" spans="2:18" x14ac:dyDescent="0.25">
      <c r="B6" s="21">
        <v>4</v>
      </c>
      <c r="C6" s="21" t="s">
        <v>140</v>
      </c>
      <c r="D6" s="21" t="s">
        <v>138</v>
      </c>
      <c r="E6">
        <f>FIND(",", tblPassengerNames[[#This Row],[Name]])</f>
        <v>8</v>
      </c>
      <c r="F6">
        <f>FIND(".", tblPassengerNames[[#This Row],[Name]])</f>
        <v>12</v>
      </c>
      <c r="G6" t="e">
        <f>FIND("(", tblPassengerNames[[#This Row],[Name]])</f>
        <v>#VALUE!</v>
      </c>
      <c r="H6" t="e">
        <f>FIND(")", tblPassengerNames[[#This Row],[Name]])</f>
        <v>#VALUE!</v>
      </c>
      <c r="I6">
        <f>IFERROR(tblPassengerNames[[#This Row],[OpenParPos]] - 2, LEN(tblPassengerNames[[#This Row],[Name]]))</f>
        <v>36</v>
      </c>
      <c r="J6" t="str">
        <f>MID(tblPassengerNames[[#This Row],[Name]], tblPassengerNames[[#This Row],[DotPos]] + 2, tblPassengerNames[[#This Row],[EndOfConvFNPos]] - tblPassengerNames[[#This Row],[DotPos]] - 1)</f>
        <v>Hudson Joshua Creighton</v>
      </c>
      <c r="K6" t="e">
        <f>MID(tblPassengerNames[[#This Row],[Name]], tblPassengerNames[[#This Row],[OpenParPos]] + 1, tblPassengerNames[[#This Row],[CloseParPos]] - tblPassengerNames[[#This Row],[OpenParPos]] - 1)</f>
        <v>#VALUE!</v>
      </c>
      <c r="L6" t="e">
        <f>IF(AND(LEFT(tblPassengerNames[[#This Row],[InParentheses]], 1) = "'", RIGHT(tblPassengerNames[[#This Row],[InParentheses]], 1) = "'"),
    #VALUE!,
    tblPassengerNames[[#This Row],[InParentheses]]
)</f>
        <v>#VALUE!</v>
      </c>
      <c r="M6" t="e">
        <f>LEN(tblPassengerNames[[#This Row],[InParenthesesCleaned]]) - LEN(SUBSTITUTE(tblPassengerNames[[#This Row],[InParenthesesCleaned]], " ", ""))</f>
        <v>#VALUE!</v>
      </c>
      <c r="N6" t="e">
        <f>FIND("@", SUBSTITUTE(tblPassengerNames[[#This Row],[InParenthesesCleaned]], " ", "@", tblPassengerNames[[#This Row],[P_NSpaces]]))</f>
        <v>#VALUE!</v>
      </c>
      <c r="O6" t="e">
        <f>IF(tblPassengerNames[[#This Row],[P_NSpaces]] = 0,
    tblPassengerNames[[#This Row],[InParenthesesCleaned]],
    LEFT(tblPassengerNames[[#This Row],[InParenthesesCleaned]], tblPassengerNames[[#This Row],[P_FinalSpacePos]] - 1)
)</f>
        <v>#VALUE!</v>
      </c>
      <c r="P6" t="str">
        <f>IFERROR(tblPassengerNames[[#This Row],[P_Forenames]], tblPassengerNames[[#This Row],[ConvForenames]])</f>
        <v>Hudson Joshua Creighton</v>
      </c>
      <c r="Q6" t="str">
        <f>MID(tblPassengerNames[[#This Row],[Name]], tblPassengerNames[[#This Row],[CommaPos]] + 2, tblPassengerNames[[#This Row],[DotPos]] - tblPassengerNames[[#This Row],[CommaPos]] - 1)</f>
        <v>Mr.</v>
      </c>
      <c r="R6" t="str">
        <f>LEFT(tblPassengerNames[[#This Row],[Name]], tblPassengerNames[[#This Row],[CommaPos]] - 1)</f>
        <v>Allison</v>
      </c>
    </row>
    <row r="7" spans="2:18" x14ac:dyDescent="0.25">
      <c r="B7" s="21">
        <v>5</v>
      </c>
      <c r="C7" s="21" t="s">
        <v>141</v>
      </c>
      <c r="D7" s="21" t="s">
        <v>136</v>
      </c>
      <c r="E7">
        <f>FIND(",", tblPassengerNames[[#This Row],[Name]])</f>
        <v>8</v>
      </c>
      <c r="F7">
        <f>FIND(".", tblPassengerNames[[#This Row],[Name]])</f>
        <v>13</v>
      </c>
      <c r="G7">
        <f>FIND("(", tblPassengerNames[[#This Row],[Name]])</f>
        <v>26</v>
      </c>
      <c r="H7">
        <f>FIND(")", tblPassengerNames[[#This Row],[Name]])</f>
        <v>47</v>
      </c>
      <c r="I7">
        <f>IFERROR(tblPassengerNames[[#This Row],[OpenParPos]] - 2, LEN(tblPassengerNames[[#This Row],[Name]]))</f>
        <v>24</v>
      </c>
      <c r="J7" t="str">
        <f>MID(tblPassengerNames[[#This Row],[Name]], tblPassengerNames[[#This Row],[DotPos]] + 2, tblPassengerNames[[#This Row],[EndOfConvFNPos]] - tblPassengerNames[[#This Row],[DotPos]] - 1)</f>
        <v>Hudson J C</v>
      </c>
      <c r="K7" t="str">
        <f>MID(tblPassengerNames[[#This Row],[Name]], tblPassengerNames[[#This Row],[OpenParPos]] + 1, tblPassengerNames[[#This Row],[CloseParPos]] - tblPassengerNames[[#This Row],[OpenParPos]] - 1)</f>
        <v>Bessie Waldo Daniels</v>
      </c>
      <c r="L7" t="str">
        <f>IF(AND(LEFT(tblPassengerNames[[#This Row],[InParentheses]], 1) = "'", RIGHT(tblPassengerNames[[#This Row],[InParentheses]], 1) = "'"),
    #VALUE!,
    tblPassengerNames[[#This Row],[InParentheses]]
)</f>
        <v>Bessie Waldo Daniels</v>
      </c>
      <c r="M7">
        <f>LEN(tblPassengerNames[[#This Row],[InParenthesesCleaned]]) - LEN(SUBSTITUTE(tblPassengerNames[[#This Row],[InParenthesesCleaned]], " ", ""))</f>
        <v>2</v>
      </c>
      <c r="N7">
        <f>FIND("@", SUBSTITUTE(tblPassengerNames[[#This Row],[InParenthesesCleaned]], " ", "@", tblPassengerNames[[#This Row],[P_NSpaces]]))</f>
        <v>13</v>
      </c>
      <c r="O7" t="str">
        <f>IF(tblPassengerNames[[#This Row],[P_NSpaces]] = 0,
    tblPassengerNames[[#This Row],[InParenthesesCleaned]],
    LEFT(tblPassengerNames[[#This Row],[InParenthesesCleaned]], tblPassengerNames[[#This Row],[P_FinalSpacePos]] - 1)
)</f>
        <v>Bessie Waldo</v>
      </c>
      <c r="P7" t="str">
        <f>IFERROR(tblPassengerNames[[#This Row],[P_Forenames]], tblPassengerNames[[#This Row],[ConvForenames]])</f>
        <v>Bessie Waldo</v>
      </c>
      <c r="Q7" t="str">
        <f>MID(tblPassengerNames[[#This Row],[Name]], tblPassengerNames[[#This Row],[CommaPos]] + 2, tblPassengerNames[[#This Row],[DotPos]] - tblPassengerNames[[#This Row],[CommaPos]] - 1)</f>
        <v>Mrs.</v>
      </c>
      <c r="R7" t="str">
        <f>LEFT(tblPassengerNames[[#This Row],[Name]], tblPassengerNames[[#This Row],[CommaPos]] - 1)</f>
        <v>Allison</v>
      </c>
    </row>
    <row r="8" spans="2:18" x14ac:dyDescent="0.25">
      <c r="B8" s="21">
        <v>6</v>
      </c>
      <c r="C8" s="21" t="s">
        <v>142</v>
      </c>
      <c r="D8" s="21" t="s">
        <v>138</v>
      </c>
      <c r="E8">
        <f>FIND(",", tblPassengerNames[[#This Row],[Name]])</f>
        <v>9</v>
      </c>
      <c r="F8">
        <f>FIND(".", tblPassengerNames[[#This Row],[Name]])</f>
        <v>13</v>
      </c>
      <c r="G8" t="e">
        <f>FIND("(", tblPassengerNames[[#This Row],[Name]])</f>
        <v>#VALUE!</v>
      </c>
      <c r="H8" t="e">
        <f>FIND(")", tblPassengerNames[[#This Row],[Name]])</f>
        <v>#VALUE!</v>
      </c>
      <c r="I8">
        <f>IFERROR(tblPassengerNames[[#This Row],[OpenParPos]] - 2, LEN(tblPassengerNames[[#This Row],[Name]]))</f>
        <v>19</v>
      </c>
      <c r="J8" t="str">
        <f>MID(tblPassengerNames[[#This Row],[Name]], tblPassengerNames[[#This Row],[DotPos]] + 2, tblPassengerNames[[#This Row],[EndOfConvFNPos]] - tblPassengerNames[[#This Row],[DotPos]] - 1)</f>
        <v>Harry</v>
      </c>
      <c r="K8" t="e">
        <f>MID(tblPassengerNames[[#This Row],[Name]], tblPassengerNames[[#This Row],[OpenParPos]] + 1, tblPassengerNames[[#This Row],[CloseParPos]] - tblPassengerNames[[#This Row],[OpenParPos]] - 1)</f>
        <v>#VALUE!</v>
      </c>
      <c r="L8" t="e">
        <f>IF(AND(LEFT(tblPassengerNames[[#This Row],[InParentheses]], 1) = "'", RIGHT(tblPassengerNames[[#This Row],[InParentheses]], 1) = "'"),
    #VALUE!,
    tblPassengerNames[[#This Row],[InParentheses]]
)</f>
        <v>#VALUE!</v>
      </c>
      <c r="M8" t="e">
        <f>LEN(tblPassengerNames[[#This Row],[InParenthesesCleaned]]) - LEN(SUBSTITUTE(tblPassengerNames[[#This Row],[InParenthesesCleaned]], " ", ""))</f>
        <v>#VALUE!</v>
      </c>
      <c r="N8" t="e">
        <f>FIND("@", SUBSTITUTE(tblPassengerNames[[#This Row],[InParenthesesCleaned]], " ", "@", tblPassengerNames[[#This Row],[P_NSpaces]]))</f>
        <v>#VALUE!</v>
      </c>
      <c r="O8" t="e">
        <f>IF(tblPassengerNames[[#This Row],[P_NSpaces]] = 0,
    tblPassengerNames[[#This Row],[InParenthesesCleaned]],
    LEFT(tblPassengerNames[[#This Row],[InParenthesesCleaned]], tblPassengerNames[[#This Row],[P_FinalSpacePos]] - 1)
)</f>
        <v>#VALUE!</v>
      </c>
      <c r="P8" t="str">
        <f>IFERROR(tblPassengerNames[[#This Row],[P_Forenames]], tblPassengerNames[[#This Row],[ConvForenames]])</f>
        <v>Harry</v>
      </c>
      <c r="Q8" t="str">
        <f>MID(tblPassengerNames[[#This Row],[Name]], tblPassengerNames[[#This Row],[CommaPos]] + 2, tblPassengerNames[[#This Row],[DotPos]] - tblPassengerNames[[#This Row],[CommaPos]] - 1)</f>
        <v>Mr.</v>
      </c>
      <c r="R8" t="str">
        <f>LEFT(tblPassengerNames[[#This Row],[Name]], tblPassengerNames[[#This Row],[CommaPos]] - 1)</f>
        <v>Anderson</v>
      </c>
    </row>
    <row r="9" spans="2:18" x14ac:dyDescent="0.25">
      <c r="B9" s="21">
        <v>7</v>
      </c>
      <c r="C9" s="21" t="s">
        <v>143</v>
      </c>
      <c r="D9" s="21" t="s">
        <v>136</v>
      </c>
      <c r="E9">
        <f>FIND(",", tblPassengerNames[[#This Row],[Name]])</f>
        <v>8</v>
      </c>
      <c r="F9">
        <f>FIND(".", tblPassengerNames[[#This Row],[Name]])</f>
        <v>14</v>
      </c>
      <c r="G9" t="e">
        <f>FIND("(", tblPassengerNames[[#This Row],[Name]])</f>
        <v>#VALUE!</v>
      </c>
      <c r="H9" t="e">
        <f>FIND(")", tblPassengerNames[[#This Row],[Name]])</f>
        <v>#VALUE!</v>
      </c>
      <c r="I9">
        <f>IFERROR(tblPassengerNames[[#This Row],[OpenParPos]] - 2, LEN(tblPassengerNames[[#This Row],[Name]]))</f>
        <v>33</v>
      </c>
      <c r="J9" t="str">
        <f>MID(tblPassengerNames[[#This Row],[Name]], tblPassengerNames[[#This Row],[DotPos]] + 2, tblPassengerNames[[#This Row],[EndOfConvFNPos]] - tblPassengerNames[[#This Row],[DotPos]] - 1)</f>
        <v>Kornelia Theodosia</v>
      </c>
      <c r="K9" t="e">
        <f>MID(tblPassengerNames[[#This Row],[Name]], tblPassengerNames[[#This Row],[OpenParPos]] + 1, tblPassengerNames[[#This Row],[CloseParPos]] - tblPassengerNames[[#This Row],[OpenParPos]] - 1)</f>
        <v>#VALUE!</v>
      </c>
      <c r="L9" t="e">
        <f>IF(AND(LEFT(tblPassengerNames[[#This Row],[InParentheses]], 1) = "'", RIGHT(tblPassengerNames[[#This Row],[InParentheses]], 1) = "'"),
    #VALUE!,
    tblPassengerNames[[#This Row],[InParentheses]]
)</f>
        <v>#VALUE!</v>
      </c>
      <c r="M9" t="e">
        <f>LEN(tblPassengerNames[[#This Row],[InParenthesesCleaned]]) - LEN(SUBSTITUTE(tblPassengerNames[[#This Row],[InParenthesesCleaned]], " ", ""))</f>
        <v>#VALUE!</v>
      </c>
      <c r="N9" t="e">
        <f>FIND("@", SUBSTITUTE(tblPassengerNames[[#This Row],[InParenthesesCleaned]], " ", "@", tblPassengerNames[[#This Row],[P_NSpaces]]))</f>
        <v>#VALUE!</v>
      </c>
      <c r="O9" t="e">
        <f>IF(tblPassengerNames[[#This Row],[P_NSpaces]] = 0,
    tblPassengerNames[[#This Row],[InParenthesesCleaned]],
    LEFT(tblPassengerNames[[#This Row],[InParenthesesCleaned]], tblPassengerNames[[#This Row],[P_FinalSpacePos]] - 1)
)</f>
        <v>#VALUE!</v>
      </c>
      <c r="P9" t="str">
        <f>IFERROR(tblPassengerNames[[#This Row],[P_Forenames]], tblPassengerNames[[#This Row],[ConvForenames]])</f>
        <v>Kornelia Theodosia</v>
      </c>
      <c r="Q9" t="str">
        <f>MID(tblPassengerNames[[#This Row],[Name]], tblPassengerNames[[#This Row],[CommaPos]] + 2, tblPassengerNames[[#This Row],[DotPos]] - tblPassengerNames[[#This Row],[CommaPos]] - 1)</f>
        <v>Miss.</v>
      </c>
      <c r="R9" t="str">
        <f>LEFT(tblPassengerNames[[#This Row],[Name]], tblPassengerNames[[#This Row],[CommaPos]] - 1)</f>
        <v>Andrews</v>
      </c>
    </row>
    <row r="10" spans="2:18" x14ac:dyDescent="0.25">
      <c r="B10" s="21">
        <v>8</v>
      </c>
      <c r="C10" s="21" t="s">
        <v>144</v>
      </c>
      <c r="D10" s="21" t="s">
        <v>138</v>
      </c>
      <c r="E10">
        <f>FIND(",", tblPassengerNames[[#This Row],[Name]])</f>
        <v>8</v>
      </c>
      <c r="F10">
        <f>FIND(".", tblPassengerNames[[#This Row],[Name]])</f>
        <v>12</v>
      </c>
      <c r="G10" t="e">
        <f>FIND("(", tblPassengerNames[[#This Row],[Name]])</f>
        <v>#VALUE!</v>
      </c>
      <c r="H10" t="e">
        <f>FIND(")", tblPassengerNames[[#This Row],[Name]])</f>
        <v>#VALUE!</v>
      </c>
      <c r="I10">
        <f>IFERROR(tblPassengerNames[[#This Row],[OpenParPos]] - 2, LEN(tblPassengerNames[[#This Row],[Name]]))</f>
        <v>22</v>
      </c>
      <c r="J10" t="str">
        <f>MID(tblPassengerNames[[#This Row],[Name]], tblPassengerNames[[#This Row],[DotPos]] + 2, tblPassengerNames[[#This Row],[EndOfConvFNPos]] - tblPassengerNames[[#This Row],[DotPos]] - 1)</f>
        <v>Thomas Jr</v>
      </c>
      <c r="K10" t="e">
        <f>MID(tblPassengerNames[[#This Row],[Name]], tblPassengerNames[[#This Row],[OpenParPos]] + 1, tblPassengerNames[[#This Row],[CloseParPos]] - tblPassengerNames[[#This Row],[OpenParPos]] - 1)</f>
        <v>#VALUE!</v>
      </c>
      <c r="L10" t="e">
        <f>IF(AND(LEFT(tblPassengerNames[[#This Row],[InParentheses]], 1) = "'", RIGHT(tblPassengerNames[[#This Row],[InParentheses]], 1) = "'"),
    #VALUE!,
    tblPassengerNames[[#This Row],[InParentheses]]
)</f>
        <v>#VALUE!</v>
      </c>
      <c r="M10" t="e">
        <f>LEN(tblPassengerNames[[#This Row],[InParenthesesCleaned]]) - LEN(SUBSTITUTE(tblPassengerNames[[#This Row],[InParenthesesCleaned]], " ", ""))</f>
        <v>#VALUE!</v>
      </c>
      <c r="N10" t="e">
        <f>FIND("@", SUBSTITUTE(tblPassengerNames[[#This Row],[InParenthesesCleaned]], " ", "@", tblPassengerNames[[#This Row],[P_NSpaces]]))</f>
        <v>#VALUE!</v>
      </c>
      <c r="O10" t="e">
        <f>IF(tblPassengerNames[[#This Row],[P_NSpaces]] = 0,
    tblPassengerNames[[#This Row],[InParenthesesCleaned]],
    LEFT(tblPassengerNames[[#This Row],[InParenthesesCleaned]], tblPassengerNames[[#This Row],[P_FinalSpacePos]] - 1)
)</f>
        <v>#VALUE!</v>
      </c>
      <c r="P10" t="str">
        <f>IFERROR(tblPassengerNames[[#This Row],[P_Forenames]], tblPassengerNames[[#This Row],[ConvForenames]])</f>
        <v>Thomas Jr</v>
      </c>
      <c r="Q10" t="str">
        <f>MID(tblPassengerNames[[#This Row],[Name]], tblPassengerNames[[#This Row],[CommaPos]] + 2, tblPassengerNames[[#This Row],[DotPos]] - tblPassengerNames[[#This Row],[CommaPos]] - 1)</f>
        <v>Mr.</v>
      </c>
      <c r="R10" t="str">
        <f>LEFT(tblPassengerNames[[#This Row],[Name]], tblPassengerNames[[#This Row],[CommaPos]] - 1)</f>
        <v>Andrews</v>
      </c>
    </row>
    <row r="11" spans="2:18" x14ac:dyDescent="0.25">
      <c r="B11" s="21">
        <v>9</v>
      </c>
      <c r="C11" s="21" t="s">
        <v>145</v>
      </c>
      <c r="D11" s="21" t="s">
        <v>136</v>
      </c>
      <c r="E11">
        <f>FIND(",", tblPassengerNames[[#This Row],[Name]])</f>
        <v>9</v>
      </c>
      <c r="F11">
        <f>FIND(".", tblPassengerNames[[#This Row],[Name]])</f>
        <v>14</v>
      </c>
      <c r="G11">
        <f>FIND("(", tblPassengerNames[[#This Row],[Name]])</f>
        <v>28</v>
      </c>
      <c r="H11">
        <f>FIND(")", tblPassengerNames[[#This Row],[Name]])</f>
        <v>45</v>
      </c>
      <c r="I11">
        <f>IFERROR(tblPassengerNames[[#This Row],[OpenParPos]] - 2, LEN(tblPassengerNames[[#This Row],[Name]]))</f>
        <v>26</v>
      </c>
      <c r="J11" t="str">
        <f>MID(tblPassengerNames[[#This Row],[Name]], tblPassengerNames[[#This Row],[DotPos]] + 2, tblPassengerNames[[#This Row],[EndOfConvFNPos]] - tblPassengerNames[[#This Row],[DotPos]] - 1)</f>
        <v>Edward Dale</v>
      </c>
      <c r="K11" t="str">
        <f>MID(tblPassengerNames[[#This Row],[Name]], tblPassengerNames[[#This Row],[OpenParPos]] + 1, tblPassengerNames[[#This Row],[CloseParPos]] - tblPassengerNames[[#This Row],[OpenParPos]] - 1)</f>
        <v>Charlotte Lamson</v>
      </c>
      <c r="L11" t="str">
        <f>IF(AND(LEFT(tblPassengerNames[[#This Row],[InParentheses]], 1) = "'", RIGHT(tblPassengerNames[[#This Row],[InParentheses]], 1) = "'"),
    #VALUE!,
    tblPassengerNames[[#This Row],[InParentheses]]
)</f>
        <v>Charlotte Lamson</v>
      </c>
      <c r="M11">
        <f>LEN(tblPassengerNames[[#This Row],[InParenthesesCleaned]]) - LEN(SUBSTITUTE(tblPassengerNames[[#This Row],[InParenthesesCleaned]], " ", ""))</f>
        <v>1</v>
      </c>
      <c r="N11">
        <f>FIND("@", SUBSTITUTE(tblPassengerNames[[#This Row],[InParenthesesCleaned]], " ", "@", tblPassengerNames[[#This Row],[P_NSpaces]]))</f>
        <v>10</v>
      </c>
      <c r="O11" t="str">
        <f>IF(tblPassengerNames[[#This Row],[P_NSpaces]] = 0,
    tblPassengerNames[[#This Row],[InParenthesesCleaned]],
    LEFT(tblPassengerNames[[#This Row],[InParenthesesCleaned]], tblPassengerNames[[#This Row],[P_FinalSpacePos]] - 1)
)</f>
        <v>Charlotte</v>
      </c>
      <c r="P11" t="str">
        <f>IFERROR(tblPassengerNames[[#This Row],[P_Forenames]], tblPassengerNames[[#This Row],[ConvForenames]])</f>
        <v>Charlotte</v>
      </c>
      <c r="Q11" t="str">
        <f>MID(tblPassengerNames[[#This Row],[Name]], tblPassengerNames[[#This Row],[CommaPos]] + 2, tblPassengerNames[[#This Row],[DotPos]] - tblPassengerNames[[#This Row],[CommaPos]] - 1)</f>
        <v>Mrs.</v>
      </c>
      <c r="R11" t="str">
        <f>LEFT(tblPassengerNames[[#This Row],[Name]], tblPassengerNames[[#This Row],[CommaPos]] - 1)</f>
        <v>Appleton</v>
      </c>
    </row>
    <row r="12" spans="2:18" x14ac:dyDescent="0.25">
      <c r="B12" s="21">
        <v>10</v>
      </c>
      <c r="C12" s="21" t="s">
        <v>146</v>
      </c>
      <c r="D12" s="21" t="s">
        <v>138</v>
      </c>
      <c r="E12">
        <f>FIND(",", tblPassengerNames[[#This Row],[Name]])</f>
        <v>13</v>
      </c>
      <c r="F12">
        <f>FIND(".", tblPassengerNames[[#This Row],[Name]])</f>
        <v>17</v>
      </c>
      <c r="G12" t="e">
        <f>FIND("(", tblPassengerNames[[#This Row],[Name]])</f>
        <v>#VALUE!</v>
      </c>
      <c r="H12" t="e">
        <f>FIND(")", tblPassengerNames[[#This Row],[Name]])</f>
        <v>#VALUE!</v>
      </c>
      <c r="I12">
        <f>IFERROR(tblPassengerNames[[#This Row],[OpenParPos]] - 2, LEN(tblPassengerNames[[#This Row],[Name]]))</f>
        <v>23</v>
      </c>
      <c r="J12" t="str">
        <f>MID(tblPassengerNames[[#This Row],[Name]], tblPassengerNames[[#This Row],[DotPos]] + 2, tblPassengerNames[[#This Row],[EndOfConvFNPos]] - tblPassengerNames[[#This Row],[DotPos]] - 1)</f>
        <v>Ramon</v>
      </c>
      <c r="K12" t="e">
        <f>MID(tblPassengerNames[[#This Row],[Name]], tblPassengerNames[[#This Row],[OpenParPos]] + 1, tblPassengerNames[[#This Row],[CloseParPos]] - tblPassengerNames[[#This Row],[OpenParPos]] - 1)</f>
        <v>#VALUE!</v>
      </c>
      <c r="L12" t="e">
        <f>IF(AND(LEFT(tblPassengerNames[[#This Row],[InParentheses]], 1) = "'", RIGHT(tblPassengerNames[[#This Row],[InParentheses]], 1) = "'"),
    #VALUE!,
    tblPassengerNames[[#This Row],[InParentheses]]
)</f>
        <v>#VALUE!</v>
      </c>
      <c r="M12" t="e">
        <f>LEN(tblPassengerNames[[#This Row],[InParenthesesCleaned]]) - LEN(SUBSTITUTE(tblPassengerNames[[#This Row],[InParenthesesCleaned]], " ", ""))</f>
        <v>#VALUE!</v>
      </c>
      <c r="N12" t="e">
        <f>FIND("@", SUBSTITUTE(tblPassengerNames[[#This Row],[InParenthesesCleaned]], " ", "@", tblPassengerNames[[#This Row],[P_NSpaces]]))</f>
        <v>#VALUE!</v>
      </c>
      <c r="O12" t="e">
        <f>IF(tblPassengerNames[[#This Row],[P_NSpaces]] = 0,
    tblPassengerNames[[#This Row],[InParenthesesCleaned]],
    LEFT(tblPassengerNames[[#This Row],[InParenthesesCleaned]], tblPassengerNames[[#This Row],[P_FinalSpacePos]] - 1)
)</f>
        <v>#VALUE!</v>
      </c>
      <c r="P12" t="str">
        <f>IFERROR(tblPassengerNames[[#This Row],[P_Forenames]], tblPassengerNames[[#This Row],[ConvForenames]])</f>
        <v>Ramon</v>
      </c>
      <c r="Q12" t="str">
        <f>MID(tblPassengerNames[[#This Row],[Name]], tblPassengerNames[[#This Row],[CommaPos]] + 2, tblPassengerNames[[#This Row],[DotPos]] - tblPassengerNames[[#This Row],[CommaPos]] - 1)</f>
        <v>Mr.</v>
      </c>
      <c r="R12" t="str">
        <f>LEFT(tblPassengerNames[[#This Row],[Name]], tblPassengerNames[[#This Row],[CommaPos]] - 1)</f>
        <v>Artagaveytia</v>
      </c>
    </row>
    <row r="13" spans="2:18" x14ac:dyDescent="0.25">
      <c r="B13" s="21">
        <v>11</v>
      </c>
      <c r="C13" s="21" t="s">
        <v>147</v>
      </c>
      <c r="D13" s="21" t="s">
        <v>138</v>
      </c>
      <c r="E13">
        <f>FIND(",", tblPassengerNames[[#This Row],[Name]])</f>
        <v>6</v>
      </c>
      <c r="F13">
        <f>FIND(".", tblPassengerNames[[#This Row],[Name]])</f>
        <v>11</v>
      </c>
      <c r="G13" t="e">
        <f>FIND("(", tblPassengerNames[[#This Row],[Name]])</f>
        <v>#VALUE!</v>
      </c>
      <c r="H13" t="e">
        <f>FIND(")", tblPassengerNames[[#This Row],[Name]])</f>
        <v>#VALUE!</v>
      </c>
      <c r="I13">
        <f>IFERROR(tblPassengerNames[[#This Row],[OpenParPos]] - 2, LEN(tblPassengerNames[[#This Row],[Name]]))</f>
        <v>22</v>
      </c>
      <c r="J13" t="str">
        <f>MID(tblPassengerNames[[#This Row],[Name]], tblPassengerNames[[#This Row],[DotPos]] + 2, tblPassengerNames[[#This Row],[EndOfConvFNPos]] - tblPassengerNames[[#This Row],[DotPos]] - 1)</f>
        <v>John Jacob</v>
      </c>
      <c r="K13" t="e">
        <f>MID(tblPassengerNames[[#This Row],[Name]], tblPassengerNames[[#This Row],[OpenParPos]] + 1, tblPassengerNames[[#This Row],[CloseParPos]] - tblPassengerNames[[#This Row],[OpenParPos]] - 1)</f>
        <v>#VALUE!</v>
      </c>
      <c r="L13" t="e">
        <f>IF(AND(LEFT(tblPassengerNames[[#This Row],[InParentheses]], 1) = "'", RIGHT(tblPassengerNames[[#This Row],[InParentheses]], 1) = "'"),
    #VALUE!,
    tblPassengerNames[[#This Row],[InParentheses]]
)</f>
        <v>#VALUE!</v>
      </c>
      <c r="M13" t="e">
        <f>LEN(tblPassengerNames[[#This Row],[InParenthesesCleaned]]) - LEN(SUBSTITUTE(tblPassengerNames[[#This Row],[InParenthesesCleaned]], " ", ""))</f>
        <v>#VALUE!</v>
      </c>
      <c r="N13" t="e">
        <f>FIND("@", SUBSTITUTE(tblPassengerNames[[#This Row],[InParenthesesCleaned]], " ", "@", tblPassengerNames[[#This Row],[P_NSpaces]]))</f>
        <v>#VALUE!</v>
      </c>
      <c r="O13" t="e">
        <f>IF(tblPassengerNames[[#This Row],[P_NSpaces]] = 0,
    tblPassengerNames[[#This Row],[InParenthesesCleaned]],
    LEFT(tblPassengerNames[[#This Row],[InParenthesesCleaned]], tblPassengerNames[[#This Row],[P_FinalSpacePos]] - 1)
)</f>
        <v>#VALUE!</v>
      </c>
      <c r="P13" t="str">
        <f>IFERROR(tblPassengerNames[[#This Row],[P_Forenames]], tblPassengerNames[[#This Row],[ConvForenames]])</f>
        <v>John Jacob</v>
      </c>
      <c r="Q13" t="str">
        <f>MID(tblPassengerNames[[#This Row],[Name]], tblPassengerNames[[#This Row],[CommaPos]] + 2, tblPassengerNames[[#This Row],[DotPos]] - tblPassengerNames[[#This Row],[CommaPos]] - 1)</f>
        <v>Col.</v>
      </c>
      <c r="R13" t="str">
        <f>LEFT(tblPassengerNames[[#This Row],[Name]], tblPassengerNames[[#This Row],[CommaPos]] - 1)</f>
        <v>Astor</v>
      </c>
    </row>
    <row r="14" spans="2:18" x14ac:dyDescent="0.25">
      <c r="B14" s="21">
        <v>12</v>
      </c>
      <c r="C14" s="21" t="s">
        <v>148</v>
      </c>
      <c r="D14" s="21" t="s">
        <v>136</v>
      </c>
      <c r="E14">
        <f>FIND(",", tblPassengerNames[[#This Row],[Name]])</f>
        <v>6</v>
      </c>
      <c r="F14">
        <f>FIND(".", tblPassengerNames[[#This Row],[Name]])</f>
        <v>11</v>
      </c>
      <c r="G14">
        <f>FIND("(", tblPassengerNames[[#This Row],[Name]])</f>
        <v>24</v>
      </c>
      <c r="H14">
        <f>FIND(")", tblPassengerNames[[#This Row],[Name]])</f>
        <v>49</v>
      </c>
      <c r="I14">
        <f>IFERROR(tblPassengerNames[[#This Row],[OpenParPos]] - 2, LEN(tblPassengerNames[[#This Row],[Name]]))</f>
        <v>22</v>
      </c>
      <c r="J14" t="str">
        <f>MID(tblPassengerNames[[#This Row],[Name]], tblPassengerNames[[#This Row],[DotPos]] + 2, tblPassengerNames[[#This Row],[EndOfConvFNPos]] - tblPassengerNames[[#This Row],[DotPos]] - 1)</f>
        <v>John Jacob</v>
      </c>
      <c r="K14" t="str">
        <f>MID(tblPassengerNames[[#This Row],[Name]], tblPassengerNames[[#This Row],[OpenParPos]] + 1, tblPassengerNames[[#This Row],[CloseParPos]] - tblPassengerNames[[#This Row],[OpenParPos]] - 1)</f>
        <v>Madeleine Talmadge Force</v>
      </c>
      <c r="L14" t="str">
        <f>IF(AND(LEFT(tblPassengerNames[[#This Row],[InParentheses]], 1) = "'", RIGHT(tblPassengerNames[[#This Row],[InParentheses]], 1) = "'"),
    #VALUE!,
    tblPassengerNames[[#This Row],[InParentheses]]
)</f>
        <v>Madeleine Talmadge Force</v>
      </c>
      <c r="M14">
        <f>LEN(tblPassengerNames[[#This Row],[InParenthesesCleaned]]) - LEN(SUBSTITUTE(tblPassengerNames[[#This Row],[InParenthesesCleaned]], " ", ""))</f>
        <v>2</v>
      </c>
      <c r="N14">
        <f>FIND("@", SUBSTITUTE(tblPassengerNames[[#This Row],[InParenthesesCleaned]], " ", "@", tblPassengerNames[[#This Row],[P_NSpaces]]))</f>
        <v>19</v>
      </c>
      <c r="O14" t="str">
        <f>IF(tblPassengerNames[[#This Row],[P_NSpaces]] = 0,
    tblPassengerNames[[#This Row],[InParenthesesCleaned]],
    LEFT(tblPassengerNames[[#This Row],[InParenthesesCleaned]], tblPassengerNames[[#This Row],[P_FinalSpacePos]] - 1)
)</f>
        <v>Madeleine Talmadge</v>
      </c>
      <c r="P14" t="str">
        <f>IFERROR(tblPassengerNames[[#This Row],[P_Forenames]], tblPassengerNames[[#This Row],[ConvForenames]])</f>
        <v>Madeleine Talmadge</v>
      </c>
      <c r="Q14" t="str">
        <f>MID(tblPassengerNames[[#This Row],[Name]], tblPassengerNames[[#This Row],[CommaPos]] + 2, tblPassengerNames[[#This Row],[DotPos]] - tblPassengerNames[[#This Row],[CommaPos]] - 1)</f>
        <v>Mrs.</v>
      </c>
      <c r="R14" t="str">
        <f>LEFT(tblPassengerNames[[#This Row],[Name]], tblPassengerNames[[#This Row],[CommaPos]] - 1)</f>
        <v>Astor</v>
      </c>
    </row>
    <row r="15" spans="2:18" x14ac:dyDescent="0.25">
      <c r="B15" s="21">
        <v>13</v>
      </c>
      <c r="C15" s="21" t="s">
        <v>149</v>
      </c>
      <c r="D15" s="21" t="s">
        <v>136</v>
      </c>
      <c r="E15">
        <f>FIND(",", tblPassengerNames[[#This Row],[Name]])</f>
        <v>7</v>
      </c>
      <c r="F15">
        <f>FIND(".", tblPassengerNames[[#This Row],[Name]])</f>
        <v>12</v>
      </c>
      <c r="G15" t="e">
        <f>FIND("(", tblPassengerNames[[#This Row],[Name]])</f>
        <v>#VALUE!</v>
      </c>
      <c r="H15" t="e">
        <f>FIND(")", tblPassengerNames[[#This Row],[Name]])</f>
        <v>#VALUE!</v>
      </c>
      <c r="I15">
        <f>IFERROR(tblPassengerNames[[#This Row],[OpenParPos]] - 2, LEN(tblPassengerNames[[#This Row],[Name]]))</f>
        <v>29</v>
      </c>
      <c r="J15" t="str">
        <f>MID(tblPassengerNames[[#This Row],[Name]], tblPassengerNames[[#This Row],[DotPos]] + 2, tblPassengerNames[[#This Row],[EndOfConvFNPos]] - tblPassengerNames[[#This Row],[DotPos]] - 1)</f>
        <v>Leontine Pauline</v>
      </c>
      <c r="K15" t="e">
        <f>MID(tblPassengerNames[[#This Row],[Name]], tblPassengerNames[[#This Row],[OpenParPos]] + 1, tblPassengerNames[[#This Row],[CloseParPos]] - tblPassengerNames[[#This Row],[OpenParPos]] - 1)</f>
        <v>#VALUE!</v>
      </c>
      <c r="L15" t="e">
        <f>IF(AND(LEFT(tblPassengerNames[[#This Row],[InParentheses]], 1) = "'", RIGHT(tblPassengerNames[[#This Row],[InParentheses]], 1) = "'"),
    #VALUE!,
    tblPassengerNames[[#This Row],[InParentheses]]
)</f>
        <v>#VALUE!</v>
      </c>
      <c r="M15" t="e">
        <f>LEN(tblPassengerNames[[#This Row],[InParenthesesCleaned]]) - LEN(SUBSTITUTE(tblPassengerNames[[#This Row],[InParenthesesCleaned]], " ", ""))</f>
        <v>#VALUE!</v>
      </c>
      <c r="N15" t="e">
        <f>FIND("@", SUBSTITUTE(tblPassengerNames[[#This Row],[InParenthesesCleaned]], " ", "@", tblPassengerNames[[#This Row],[P_NSpaces]]))</f>
        <v>#VALUE!</v>
      </c>
      <c r="O15" t="e">
        <f>IF(tblPassengerNames[[#This Row],[P_NSpaces]] = 0,
    tblPassengerNames[[#This Row],[InParenthesesCleaned]],
    LEFT(tblPassengerNames[[#This Row],[InParenthesesCleaned]], tblPassengerNames[[#This Row],[P_FinalSpacePos]] - 1)
)</f>
        <v>#VALUE!</v>
      </c>
      <c r="P15" t="str">
        <f>IFERROR(tblPassengerNames[[#This Row],[P_Forenames]], tblPassengerNames[[#This Row],[ConvForenames]])</f>
        <v>Leontine Pauline</v>
      </c>
      <c r="Q15" t="str">
        <f>MID(tblPassengerNames[[#This Row],[Name]], tblPassengerNames[[#This Row],[CommaPos]] + 2, tblPassengerNames[[#This Row],[DotPos]] - tblPassengerNames[[#This Row],[CommaPos]] - 1)</f>
        <v>Mme.</v>
      </c>
      <c r="R15" t="str">
        <f>LEFT(tblPassengerNames[[#This Row],[Name]], tblPassengerNames[[#This Row],[CommaPos]] - 1)</f>
        <v>Aubart</v>
      </c>
    </row>
    <row r="16" spans="2:18" x14ac:dyDescent="0.25">
      <c r="B16" s="21">
        <v>14</v>
      </c>
      <c r="C16" s="21" t="s">
        <v>150</v>
      </c>
      <c r="D16" s="21" t="s">
        <v>136</v>
      </c>
      <c r="E16">
        <f>FIND(",", tblPassengerNames[[#This Row],[Name]])</f>
        <v>7</v>
      </c>
      <c r="F16">
        <f>FIND(".", tblPassengerNames[[#This Row],[Name]])</f>
        <v>13</v>
      </c>
      <c r="G16" t="e">
        <f>FIND("(", tblPassengerNames[[#This Row],[Name]])</f>
        <v>#VALUE!</v>
      </c>
      <c r="H16" t="e">
        <f>FIND(")", tblPassengerNames[[#This Row],[Name]])</f>
        <v>#VALUE!</v>
      </c>
      <c r="I16">
        <f>IFERROR(tblPassengerNames[[#This Row],[OpenParPos]] - 2, LEN(tblPassengerNames[[#This Row],[Name]]))</f>
        <v>28</v>
      </c>
      <c r="J16" t="str">
        <f>MID(tblPassengerNames[[#This Row],[Name]], tblPassengerNames[[#This Row],[DotPos]] + 2, tblPassengerNames[[#This Row],[EndOfConvFNPos]] - tblPassengerNames[[#This Row],[DotPos]] - 1)</f>
        <v>Ellen 'Nellie'</v>
      </c>
      <c r="K16" t="e">
        <f>MID(tblPassengerNames[[#This Row],[Name]], tblPassengerNames[[#This Row],[OpenParPos]] + 1, tblPassengerNames[[#This Row],[CloseParPos]] - tblPassengerNames[[#This Row],[OpenParPos]] - 1)</f>
        <v>#VALUE!</v>
      </c>
      <c r="L16" t="e">
        <f>IF(AND(LEFT(tblPassengerNames[[#This Row],[InParentheses]], 1) = "'", RIGHT(tblPassengerNames[[#This Row],[InParentheses]], 1) = "'"),
    #VALUE!,
    tblPassengerNames[[#This Row],[InParentheses]]
)</f>
        <v>#VALUE!</v>
      </c>
      <c r="M16" t="e">
        <f>LEN(tblPassengerNames[[#This Row],[InParenthesesCleaned]]) - LEN(SUBSTITUTE(tblPassengerNames[[#This Row],[InParenthesesCleaned]], " ", ""))</f>
        <v>#VALUE!</v>
      </c>
      <c r="N16" t="e">
        <f>FIND("@", SUBSTITUTE(tblPassengerNames[[#This Row],[InParenthesesCleaned]], " ", "@", tblPassengerNames[[#This Row],[P_NSpaces]]))</f>
        <v>#VALUE!</v>
      </c>
      <c r="O16" t="e">
        <f>IF(tblPassengerNames[[#This Row],[P_NSpaces]] = 0,
    tblPassengerNames[[#This Row],[InParenthesesCleaned]],
    LEFT(tblPassengerNames[[#This Row],[InParenthesesCleaned]], tblPassengerNames[[#This Row],[P_FinalSpacePos]] - 1)
)</f>
        <v>#VALUE!</v>
      </c>
      <c r="P16" t="str">
        <f>IFERROR(tblPassengerNames[[#This Row],[P_Forenames]], tblPassengerNames[[#This Row],[ConvForenames]])</f>
        <v>Ellen 'Nellie'</v>
      </c>
      <c r="Q16" t="str">
        <f>MID(tblPassengerNames[[#This Row],[Name]], tblPassengerNames[[#This Row],[CommaPos]] + 2, tblPassengerNames[[#This Row],[DotPos]] - tblPassengerNames[[#This Row],[CommaPos]] - 1)</f>
        <v>Miss.</v>
      </c>
      <c r="R16" t="str">
        <f>LEFT(tblPassengerNames[[#This Row],[Name]], tblPassengerNames[[#This Row],[CommaPos]] - 1)</f>
        <v>Barber</v>
      </c>
    </row>
    <row r="17" spans="2:18" x14ac:dyDescent="0.25">
      <c r="B17" s="21">
        <v>15</v>
      </c>
      <c r="C17" s="21" t="s">
        <v>151</v>
      </c>
      <c r="D17" s="21" t="s">
        <v>138</v>
      </c>
      <c r="E17">
        <f>FIND(",", tblPassengerNames[[#This Row],[Name]])</f>
        <v>10</v>
      </c>
      <c r="F17">
        <f>FIND(".", tblPassengerNames[[#This Row],[Name]])</f>
        <v>14</v>
      </c>
      <c r="G17" t="e">
        <f>FIND("(", tblPassengerNames[[#This Row],[Name]])</f>
        <v>#VALUE!</v>
      </c>
      <c r="H17" t="e">
        <f>FIND(")", tblPassengerNames[[#This Row],[Name]])</f>
        <v>#VALUE!</v>
      </c>
      <c r="I17">
        <f>IFERROR(tblPassengerNames[[#This Row],[OpenParPos]] - 2, LEN(tblPassengerNames[[#This Row],[Name]]))</f>
        <v>36</v>
      </c>
      <c r="J17" t="str">
        <f>MID(tblPassengerNames[[#This Row],[Name]], tblPassengerNames[[#This Row],[DotPos]] + 2, tblPassengerNames[[#This Row],[EndOfConvFNPos]] - tblPassengerNames[[#This Row],[DotPos]] - 1)</f>
        <v>Algernon Henry Wilson</v>
      </c>
      <c r="K17" t="e">
        <f>MID(tblPassengerNames[[#This Row],[Name]], tblPassengerNames[[#This Row],[OpenParPos]] + 1, tblPassengerNames[[#This Row],[CloseParPos]] - tblPassengerNames[[#This Row],[OpenParPos]] - 1)</f>
        <v>#VALUE!</v>
      </c>
      <c r="L17" t="e">
        <f>IF(AND(LEFT(tblPassengerNames[[#This Row],[InParentheses]], 1) = "'", RIGHT(tblPassengerNames[[#This Row],[InParentheses]], 1) = "'"),
    #VALUE!,
    tblPassengerNames[[#This Row],[InParentheses]]
)</f>
        <v>#VALUE!</v>
      </c>
      <c r="M17" t="e">
        <f>LEN(tblPassengerNames[[#This Row],[InParenthesesCleaned]]) - LEN(SUBSTITUTE(tblPassengerNames[[#This Row],[InParenthesesCleaned]], " ", ""))</f>
        <v>#VALUE!</v>
      </c>
      <c r="N17" t="e">
        <f>FIND("@", SUBSTITUTE(tblPassengerNames[[#This Row],[InParenthesesCleaned]], " ", "@", tblPassengerNames[[#This Row],[P_NSpaces]]))</f>
        <v>#VALUE!</v>
      </c>
      <c r="O17" t="e">
        <f>IF(tblPassengerNames[[#This Row],[P_NSpaces]] = 0,
    tblPassengerNames[[#This Row],[InParenthesesCleaned]],
    LEFT(tblPassengerNames[[#This Row],[InParenthesesCleaned]], tblPassengerNames[[#This Row],[P_FinalSpacePos]] - 1)
)</f>
        <v>#VALUE!</v>
      </c>
      <c r="P17" t="str">
        <f>IFERROR(tblPassengerNames[[#This Row],[P_Forenames]], tblPassengerNames[[#This Row],[ConvForenames]])</f>
        <v>Algernon Henry Wilson</v>
      </c>
      <c r="Q17" t="str">
        <f>MID(tblPassengerNames[[#This Row],[Name]], tblPassengerNames[[#This Row],[CommaPos]] + 2, tblPassengerNames[[#This Row],[DotPos]] - tblPassengerNames[[#This Row],[CommaPos]] - 1)</f>
        <v>Mr.</v>
      </c>
      <c r="R17" t="str">
        <f>LEFT(tblPassengerNames[[#This Row],[Name]], tblPassengerNames[[#This Row],[CommaPos]] - 1)</f>
        <v>Barkworth</v>
      </c>
    </row>
    <row r="18" spans="2:18" x14ac:dyDescent="0.25">
      <c r="B18" s="21">
        <v>16</v>
      </c>
      <c r="C18" s="21" t="s">
        <v>152</v>
      </c>
      <c r="D18" s="21" t="s">
        <v>138</v>
      </c>
      <c r="E18">
        <f>FIND(",", tblPassengerNames[[#This Row],[Name]])</f>
        <v>8</v>
      </c>
      <c r="F18">
        <f>FIND(".", tblPassengerNames[[#This Row],[Name]])</f>
        <v>12</v>
      </c>
      <c r="G18" t="e">
        <f>FIND("(", tblPassengerNames[[#This Row],[Name]])</f>
        <v>#VALUE!</v>
      </c>
      <c r="H18" t="e">
        <f>FIND(")", tblPassengerNames[[#This Row],[Name]])</f>
        <v>#VALUE!</v>
      </c>
      <c r="I18">
        <f>IFERROR(tblPassengerNames[[#This Row],[OpenParPos]] - 2, LEN(tblPassengerNames[[#This Row],[Name]]))</f>
        <v>19</v>
      </c>
      <c r="J18" t="str">
        <f>MID(tblPassengerNames[[#This Row],[Name]], tblPassengerNames[[#This Row],[DotPos]] + 2, tblPassengerNames[[#This Row],[EndOfConvFNPos]] - tblPassengerNames[[#This Row],[DotPos]] - 1)</f>
        <v>John D</v>
      </c>
      <c r="K18" t="e">
        <f>MID(tblPassengerNames[[#This Row],[Name]], tblPassengerNames[[#This Row],[OpenParPos]] + 1, tblPassengerNames[[#This Row],[CloseParPos]] - tblPassengerNames[[#This Row],[OpenParPos]] - 1)</f>
        <v>#VALUE!</v>
      </c>
      <c r="L18" t="e">
        <f>IF(AND(LEFT(tblPassengerNames[[#This Row],[InParentheses]], 1) = "'", RIGHT(tblPassengerNames[[#This Row],[InParentheses]], 1) = "'"),
    #VALUE!,
    tblPassengerNames[[#This Row],[InParentheses]]
)</f>
        <v>#VALUE!</v>
      </c>
      <c r="M18" t="e">
        <f>LEN(tblPassengerNames[[#This Row],[InParenthesesCleaned]]) - LEN(SUBSTITUTE(tblPassengerNames[[#This Row],[InParenthesesCleaned]], " ", ""))</f>
        <v>#VALUE!</v>
      </c>
      <c r="N18" t="e">
        <f>FIND("@", SUBSTITUTE(tblPassengerNames[[#This Row],[InParenthesesCleaned]], " ", "@", tblPassengerNames[[#This Row],[P_NSpaces]]))</f>
        <v>#VALUE!</v>
      </c>
      <c r="O18" t="e">
        <f>IF(tblPassengerNames[[#This Row],[P_NSpaces]] = 0,
    tblPassengerNames[[#This Row],[InParenthesesCleaned]],
    LEFT(tblPassengerNames[[#This Row],[InParenthesesCleaned]], tblPassengerNames[[#This Row],[P_FinalSpacePos]] - 1)
)</f>
        <v>#VALUE!</v>
      </c>
      <c r="P18" t="str">
        <f>IFERROR(tblPassengerNames[[#This Row],[P_Forenames]], tblPassengerNames[[#This Row],[ConvForenames]])</f>
        <v>John D</v>
      </c>
      <c r="Q18" t="str">
        <f>MID(tblPassengerNames[[#This Row],[Name]], tblPassengerNames[[#This Row],[CommaPos]] + 2, tblPassengerNames[[#This Row],[DotPos]] - tblPassengerNames[[#This Row],[CommaPos]] - 1)</f>
        <v>Mr.</v>
      </c>
      <c r="R18" t="str">
        <f>LEFT(tblPassengerNames[[#This Row],[Name]], tblPassengerNames[[#This Row],[CommaPos]] - 1)</f>
        <v>Baumann</v>
      </c>
    </row>
    <row r="19" spans="2:18" x14ac:dyDescent="0.25">
      <c r="B19" s="21">
        <v>17</v>
      </c>
      <c r="C19" s="21" t="s">
        <v>153</v>
      </c>
      <c r="D19" s="21" t="s">
        <v>138</v>
      </c>
      <c r="E19">
        <f>FIND(",", tblPassengerNames[[#This Row],[Name]])</f>
        <v>7</v>
      </c>
      <c r="F19">
        <f>FIND(".", tblPassengerNames[[#This Row],[Name]])</f>
        <v>11</v>
      </c>
      <c r="G19" t="e">
        <f>FIND("(", tblPassengerNames[[#This Row],[Name]])</f>
        <v>#VALUE!</v>
      </c>
      <c r="H19" t="e">
        <f>FIND(")", tblPassengerNames[[#This Row],[Name]])</f>
        <v>#VALUE!</v>
      </c>
      <c r="I19">
        <f>IFERROR(tblPassengerNames[[#This Row],[OpenParPos]] - 2, LEN(tblPassengerNames[[#This Row],[Name]]))</f>
        <v>24</v>
      </c>
      <c r="J19" t="str">
        <f>MID(tblPassengerNames[[#This Row],[Name]], tblPassengerNames[[#This Row],[DotPos]] + 2, tblPassengerNames[[#This Row],[EndOfConvFNPos]] - tblPassengerNames[[#This Row],[DotPos]] - 1)</f>
        <v>Quigg Edmond</v>
      </c>
      <c r="K19" t="e">
        <f>MID(tblPassengerNames[[#This Row],[Name]], tblPassengerNames[[#This Row],[OpenParPos]] + 1, tblPassengerNames[[#This Row],[CloseParPos]] - tblPassengerNames[[#This Row],[OpenParPos]] - 1)</f>
        <v>#VALUE!</v>
      </c>
      <c r="L19" t="e">
        <f>IF(AND(LEFT(tblPassengerNames[[#This Row],[InParentheses]], 1) = "'", RIGHT(tblPassengerNames[[#This Row],[InParentheses]], 1) = "'"),
    #VALUE!,
    tblPassengerNames[[#This Row],[InParentheses]]
)</f>
        <v>#VALUE!</v>
      </c>
      <c r="M19" t="e">
        <f>LEN(tblPassengerNames[[#This Row],[InParenthesesCleaned]]) - LEN(SUBSTITUTE(tblPassengerNames[[#This Row],[InParenthesesCleaned]], " ", ""))</f>
        <v>#VALUE!</v>
      </c>
      <c r="N19" t="e">
        <f>FIND("@", SUBSTITUTE(tblPassengerNames[[#This Row],[InParenthesesCleaned]], " ", "@", tblPassengerNames[[#This Row],[P_NSpaces]]))</f>
        <v>#VALUE!</v>
      </c>
      <c r="O19" t="e">
        <f>IF(tblPassengerNames[[#This Row],[P_NSpaces]] = 0,
    tblPassengerNames[[#This Row],[InParenthesesCleaned]],
    LEFT(tblPassengerNames[[#This Row],[InParenthesesCleaned]], tblPassengerNames[[#This Row],[P_FinalSpacePos]] - 1)
)</f>
        <v>#VALUE!</v>
      </c>
      <c r="P19" t="str">
        <f>IFERROR(tblPassengerNames[[#This Row],[P_Forenames]], tblPassengerNames[[#This Row],[ConvForenames]])</f>
        <v>Quigg Edmond</v>
      </c>
      <c r="Q19" t="str">
        <f>MID(tblPassengerNames[[#This Row],[Name]], tblPassengerNames[[#This Row],[CommaPos]] + 2, tblPassengerNames[[#This Row],[DotPos]] - tblPassengerNames[[#This Row],[CommaPos]] - 1)</f>
        <v>Mr.</v>
      </c>
      <c r="R19" t="str">
        <f>LEFT(tblPassengerNames[[#This Row],[Name]], tblPassengerNames[[#This Row],[CommaPos]] - 1)</f>
        <v>Baxter</v>
      </c>
    </row>
    <row r="20" spans="2:18" x14ac:dyDescent="0.25">
      <c r="B20" s="21">
        <v>18</v>
      </c>
      <c r="C20" s="21" t="s">
        <v>154</v>
      </c>
      <c r="D20" s="21" t="s">
        <v>136</v>
      </c>
      <c r="E20">
        <f>FIND(",", tblPassengerNames[[#This Row],[Name]])</f>
        <v>7</v>
      </c>
      <c r="F20">
        <f>FIND(".", tblPassengerNames[[#This Row],[Name]])</f>
        <v>12</v>
      </c>
      <c r="G20">
        <f>FIND("(", tblPassengerNames[[#This Row],[Name]])</f>
        <v>20</v>
      </c>
      <c r="H20">
        <f>FIND(")", tblPassengerNames[[#This Row],[Name]])</f>
        <v>47</v>
      </c>
      <c r="I20">
        <f>IFERROR(tblPassengerNames[[#This Row],[OpenParPos]] - 2, LEN(tblPassengerNames[[#This Row],[Name]]))</f>
        <v>18</v>
      </c>
      <c r="J20" t="str">
        <f>MID(tblPassengerNames[[#This Row],[Name]], tblPassengerNames[[#This Row],[DotPos]] + 2, tblPassengerNames[[#This Row],[EndOfConvFNPos]] - tblPassengerNames[[#This Row],[DotPos]] - 1)</f>
        <v>James</v>
      </c>
      <c r="K20" t="str">
        <f>MID(tblPassengerNames[[#This Row],[Name]], tblPassengerNames[[#This Row],[OpenParPos]] + 1, tblPassengerNames[[#This Row],[CloseParPos]] - tblPassengerNames[[#This Row],[OpenParPos]] - 1)</f>
        <v>Helene DeLaudeniere Chaput</v>
      </c>
      <c r="L20" t="str">
        <f>IF(AND(LEFT(tblPassengerNames[[#This Row],[InParentheses]], 1) = "'", RIGHT(tblPassengerNames[[#This Row],[InParentheses]], 1) = "'"),
    #VALUE!,
    tblPassengerNames[[#This Row],[InParentheses]]
)</f>
        <v>Helene DeLaudeniere Chaput</v>
      </c>
      <c r="M20">
        <f>LEN(tblPassengerNames[[#This Row],[InParenthesesCleaned]]) - LEN(SUBSTITUTE(tblPassengerNames[[#This Row],[InParenthesesCleaned]], " ", ""))</f>
        <v>2</v>
      </c>
      <c r="N20">
        <f>FIND("@", SUBSTITUTE(tblPassengerNames[[#This Row],[InParenthesesCleaned]], " ", "@", tblPassengerNames[[#This Row],[P_NSpaces]]))</f>
        <v>20</v>
      </c>
      <c r="O20" t="str">
        <f>IF(tblPassengerNames[[#This Row],[P_NSpaces]] = 0,
    tblPassengerNames[[#This Row],[InParenthesesCleaned]],
    LEFT(tblPassengerNames[[#This Row],[InParenthesesCleaned]], tblPassengerNames[[#This Row],[P_FinalSpacePos]] - 1)
)</f>
        <v>Helene DeLaudeniere</v>
      </c>
      <c r="P20" t="str">
        <f>IFERROR(tblPassengerNames[[#This Row],[P_Forenames]], tblPassengerNames[[#This Row],[ConvForenames]])</f>
        <v>Helene DeLaudeniere</v>
      </c>
      <c r="Q20" t="str">
        <f>MID(tblPassengerNames[[#This Row],[Name]], tblPassengerNames[[#This Row],[CommaPos]] + 2, tblPassengerNames[[#This Row],[DotPos]] - tblPassengerNames[[#This Row],[CommaPos]] - 1)</f>
        <v>Mrs.</v>
      </c>
      <c r="R20" t="str">
        <f>LEFT(tblPassengerNames[[#This Row],[Name]], tblPassengerNames[[#This Row],[CommaPos]] - 1)</f>
        <v>Baxter</v>
      </c>
    </row>
    <row r="21" spans="2:18" x14ac:dyDescent="0.25">
      <c r="B21" s="21">
        <v>19</v>
      </c>
      <c r="C21" s="21" t="s">
        <v>155</v>
      </c>
      <c r="D21" s="21" t="s">
        <v>136</v>
      </c>
      <c r="E21">
        <f>FIND(",", tblPassengerNames[[#This Row],[Name]])</f>
        <v>8</v>
      </c>
      <c r="F21">
        <f>FIND(".", tblPassengerNames[[#This Row],[Name]])</f>
        <v>14</v>
      </c>
      <c r="G21" t="e">
        <f>FIND("(", tblPassengerNames[[#This Row],[Name]])</f>
        <v>#VALUE!</v>
      </c>
      <c r="H21" t="e">
        <f>FIND(")", tblPassengerNames[[#This Row],[Name]])</f>
        <v>#VALUE!</v>
      </c>
      <c r="I21">
        <f>IFERROR(tblPassengerNames[[#This Row],[OpenParPos]] - 2, LEN(tblPassengerNames[[#This Row],[Name]]))</f>
        <v>21</v>
      </c>
      <c r="J21" t="str">
        <f>MID(tblPassengerNames[[#This Row],[Name]], tblPassengerNames[[#This Row],[DotPos]] + 2, tblPassengerNames[[#This Row],[EndOfConvFNPos]] - tblPassengerNames[[#This Row],[DotPos]] - 1)</f>
        <v>Albina</v>
      </c>
      <c r="K21" t="e">
        <f>MID(tblPassengerNames[[#This Row],[Name]], tblPassengerNames[[#This Row],[OpenParPos]] + 1, tblPassengerNames[[#This Row],[CloseParPos]] - tblPassengerNames[[#This Row],[OpenParPos]] - 1)</f>
        <v>#VALUE!</v>
      </c>
      <c r="L21" t="e">
        <f>IF(AND(LEFT(tblPassengerNames[[#This Row],[InParentheses]], 1) = "'", RIGHT(tblPassengerNames[[#This Row],[InParentheses]], 1) = "'"),
    #VALUE!,
    tblPassengerNames[[#This Row],[InParentheses]]
)</f>
        <v>#VALUE!</v>
      </c>
      <c r="M21" t="e">
        <f>LEN(tblPassengerNames[[#This Row],[InParenthesesCleaned]]) - LEN(SUBSTITUTE(tblPassengerNames[[#This Row],[InParenthesesCleaned]], " ", ""))</f>
        <v>#VALUE!</v>
      </c>
      <c r="N21" t="e">
        <f>FIND("@", SUBSTITUTE(tblPassengerNames[[#This Row],[InParenthesesCleaned]], " ", "@", tblPassengerNames[[#This Row],[P_NSpaces]]))</f>
        <v>#VALUE!</v>
      </c>
      <c r="O21" t="e">
        <f>IF(tblPassengerNames[[#This Row],[P_NSpaces]] = 0,
    tblPassengerNames[[#This Row],[InParenthesesCleaned]],
    LEFT(tblPassengerNames[[#This Row],[InParenthesesCleaned]], tblPassengerNames[[#This Row],[P_FinalSpacePos]] - 1)
)</f>
        <v>#VALUE!</v>
      </c>
      <c r="P21" t="str">
        <f>IFERROR(tblPassengerNames[[#This Row],[P_Forenames]], tblPassengerNames[[#This Row],[ConvForenames]])</f>
        <v>Albina</v>
      </c>
      <c r="Q21" t="str">
        <f>MID(tblPassengerNames[[#This Row],[Name]], tblPassengerNames[[#This Row],[CommaPos]] + 2, tblPassengerNames[[#This Row],[DotPos]] - tblPassengerNames[[#This Row],[CommaPos]] - 1)</f>
        <v>Miss.</v>
      </c>
      <c r="R21" t="str">
        <f>LEFT(tblPassengerNames[[#This Row],[Name]], tblPassengerNames[[#This Row],[CommaPos]] - 1)</f>
        <v>Bazzani</v>
      </c>
    </row>
    <row r="22" spans="2:18" x14ac:dyDescent="0.25">
      <c r="B22" s="21">
        <v>20</v>
      </c>
      <c r="C22" s="21" t="s">
        <v>156</v>
      </c>
      <c r="D22" s="21" t="s">
        <v>138</v>
      </c>
      <c r="E22">
        <f>FIND(",", tblPassengerNames[[#This Row],[Name]])</f>
        <v>8</v>
      </c>
      <c r="F22">
        <f>FIND(".", tblPassengerNames[[#This Row],[Name]])</f>
        <v>12</v>
      </c>
      <c r="G22" t="e">
        <f>FIND("(", tblPassengerNames[[#This Row],[Name]])</f>
        <v>#VALUE!</v>
      </c>
      <c r="H22" t="e">
        <f>FIND(")", tblPassengerNames[[#This Row],[Name]])</f>
        <v>#VALUE!</v>
      </c>
      <c r="I22">
        <f>IFERROR(tblPassengerNames[[#This Row],[OpenParPos]] - 2, LEN(tblPassengerNames[[#This Row],[Name]]))</f>
        <v>20</v>
      </c>
      <c r="J22" t="str">
        <f>MID(tblPassengerNames[[#This Row],[Name]], tblPassengerNames[[#This Row],[DotPos]] + 2, tblPassengerNames[[#This Row],[EndOfConvFNPos]] - tblPassengerNames[[#This Row],[DotPos]] - 1)</f>
        <v>Thomson</v>
      </c>
      <c r="K22" t="e">
        <f>MID(tblPassengerNames[[#This Row],[Name]], tblPassengerNames[[#This Row],[OpenParPos]] + 1, tblPassengerNames[[#This Row],[CloseParPos]] - tblPassengerNames[[#This Row],[OpenParPos]] - 1)</f>
        <v>#VALUE!</v>
      </c>
      <c r="L22" t="e">
        <f>IF(AND(LEFT(tblPassengerNames[[#This Row],[InParentheses]], 1) = "'", RIGHT(tblPassengerNames[[#This Row],[InParentheses]], 1) = "'"),
    #VALUE!,
    tblPassengerNames[[#This Row],[InParentheses]]
)</f>
        <v>#VALUE!</v>
      </c>
      <c r="M22" t="e">
        <f>LEN(tblPassengerNames[[#This Row],[InParenthesesCleaned]]) - LEN(SUBSTITUTE(tblPassengerNames[[#This Row],[InParenthesesCleaned]], " ", ""))</f>
        <v>#VALUE!</v>
      </c>
      <c r="N22" t="e">
        <f>FIND("@", SUBSTITUTE(tblPassengerNames[[#This Row],[InParenthesesCleaned]], " ", "@", tblPassengerNames[[#This Row],[P_NSpaces]]))</f>
        <v>#VALUE!</v>
      </c>
      <c r="O22" t="e">
        <f>IF(tblPassengerNames[[#This Row],[P_NSpaces]] = 0,
    tblPassengerNames[[#This Row],[InParenthesesCleaned]],
    LEFT(tblPassengerNames[[#This Row],[InParenthesesCleaned]], tblPassengerNames[[#This Row],[P_FinalSpacePos]] - 1)
)</f>
        <v>#VALUE!</v>
      </c>
      <c r="P22" t="str">
        <f>IFERROR(tblPassengerNames[[#This Row],[P_Forenames]], tblPassengerNames[[#This Row],[ConvForenames]])</f>
        <v>Thomson</v>
      </c>
      <c r="Q22" t="str">
        <f>MID(tblPassengerNames[[#This Row],[Name]], tblPassengerNames[[#This Row],[CommaPos]] + 2, tblPassengerNames[[#This Row],[DotPos]] - tblPassengerNames[[#This Row],[CommaPos]] - 1)</f>
        <v>Mr.</v>
      </c>
      <c r="R22" t="str">
        <f>LEFT(tblPassengerNames[[#This Row],[Name]], tblPassengerNames[[#This Row],[CommaPos]] - 1)</f>
        <v>Beattie</v>
      </c>
    </row>
    <row r="23" spans="2:18" x14ac:dyDescent="0.25">
      <c r="B23" s="21">
        <v>21</v>
      </c>
      <c r="C23" s="21" t="s">
        <v>157</v>
      </c>
      <c r="D23" s="21" t="s">
        <v>138</v>
      </c>
      <c r="E23">
        <f>FIND(",", tblPassengerNames[[#This Row],[Name]])</f>
        <v>9</v>
      </c>
      <c r="F23">
        <f>FIND(".", tblPassengerNames[[#This Row],[Name]])</f>
        <v>13</v>
      </c>
      <c r="G23" t="e">
        <f>FIND("(", tblPassengerNames[[#This Row],[Name]])</f>
        <v>#VALUE!</v>
      </c>
      <c r="H23" t="e">
        <f>FIND(")", tblPassengerNames[[#This Row],[Name]])</f>
        <v>#VALUE!</v>
      </c>
      <c r="I23">
        <f>IFERROR(tblPassengerNames[[#This Row],[OpenParPos]] - 2, LEN(tblPassengerNames[[#This Row],[Name]]))</f>
        <v>29</v>
      </c>
      <c r="J23" t="str">
        <f>MID(tblPassengerNames[[#This Row],[Name]], tblPassengerNames[[#This Row],[DotPos]] + 2, tblPassengerNames[[#This Row],[EndOfConvFNPos]] - tblPassengerNames[[#This Row],[DotPos]] - 1)</f>
        <v>Richard Leonard</v>
      </c>
      <c r="K23" t="e">
        <f>MID(tblPassengerNames[[#This Row],[Name]], tblPassengerNames[[#This Row],[OpenParPos]] + 1, tblPassengerNames[[#This Row],[CloseParPos]] - tblPassengerNames[[#This Row],[OpenParPos]] - 1)</f>
        <v>#VALUE!</v>
      </c>
      <c r="L23" t="e">
        <f>IF(AND(LEFT(tblPassengerNames[[#This Row],[InParentheses]], 1) = "'", RIGHT(tblPassengerNames[[#This Row],[InParentheses]], 1) = "'"),
    #VALUE!,
    tblPassengerNames[[#This Row],[InParentheses]]
)</f>
        <v>#VALUE!</v>
      </c>
      <c r="M23" t="e">
        <f>LEN(tblPassengerNames[[#This Row],[InParenthesesCleaned]]) - LEN(SUBSTITUTE(tblPassengerNames[[#This Row],[InParenthesesCleaned]], " ", ""))</f>
        <v>#VALUE!</v>
      </c>
      <c r="N23" t="e">
        <f>FIND("@", SUBSTITUTE(tblPassengerNames[[#This Row],[InParenthesesCleaned]], " ", "@", tblPassengerNames[[#This Row],[P_NSpaces]]))</f>
        <v>#VALUE!</v>
      </c>
      <c r="O23" t="e">
        <f>IF(tblPassengerNames[[#This Row],[P_NSpaces]] = 0,
    tblPassengerNames[[#This Row],[InParenthesesCleaned]],
    LEFT(tblPassengerNames[[#This Row],[InParenthesesCleaned]], tblPassengerNames[[#This Row],[P_FinalSpacePos]] - 1)
)</f>
        <v>#VALUE!</v>
      </c>
      <c r="P23" t="str">
        <f>IFERROR(tblPassengerNames[[#This Row],[P_Forenames]], tblPassengerNames[[#This Row],[ConvForenames]])</f>
        <v>Richard Leonard</v>
      </c>
      <c r="Q23" t="str">
        <f>MID(tblPassengerNames[[#This Row],[Name]], tblPassengerNames[[#This Row],[CommaPos]] + 2, tblPassengerNames[[#This Row],[DotPos]] - tblPassengerNames[[#This Row],[CommaPos]] - 1)</f>
        <v>Mr.</v>
      </c>
      <c r="R23" t="str">
        <f>LEFT(tblPassengerNames[[#This Row],[Name]], tblPassengerNames[[#This Row],[CommaPos]] - 1)</f>
        <v>Beckwith</v>
      </c>
    </row>
    <row r="24" spans="2:18" x14ac:dyDescent="0.25">
      <c r="B24" s="21">
        <v>22</v>
      </c>
      <c r="C24" s="21" t="s">
        <v>158</v>
      </c>
      <c r="D24" s="21" t="s">
        <v>136</v>
      </c>
      <c r="E24">
        <f>FIND(",", tblPassengerNames[[#This Row],[Name]])</f>
        <v>9</v>
      </c>
      <c r="F24">
        <f>FIND(".", tblPassengerNames[[#This Row],[Name]])</f>
        <v>14</v>
      </c>
      <c r="G24">
        <f>FIND("(", tblPassengerNames[[#This Row],[Name]])</f>
        <v>32</v>
      </c>
      <c r="H24">
        <f>FIND(")", tblPassengerNames[[#This Row],[Name]])</f>
        <v>48</v>
      </c>
      <c r="I24">
        <f>IFERROR(tblPassengerNames[[#This Row],[OpenParPos]] - 2, LEN(tblPassengerNames[[#This Row],[Name]]))</f>
        <v>30</v>
      </c>
      <c r="J24" t="str">
        <f>MID(tblPassengerNames[[#This Row],[Name]], tblPassengerNames[[#This Row],[DotPos]] + 2, tblPassengerNames[[#This Row],[EndOfConvFNPos]] - tblPassengerNames[[#This Row],[DotPos]] - 1)</f>
        <v>Richard Leonard</v>
      </c>
      <c r="K24" t="str">
        <f>MID(tblPassengerNames[[#This Row],[Name]], tblPassengerNames[[#This Row],[OpenParPos]] + 1, tblPassengerNames[[#This Row],[CloseParPos]] - tblPassengerNames[[#This Row],[OpenParPos]] - 1)</f>
        <v>Sallie Monypeny</v>
      </c>
      <c r="L24" t="str">
        <f>IF(AND(LEFT(tblPassengerNames[[#This Row],[InParentheses]], 1) = "'", RIGHT(tblPassengerNames[[#This Row],[InParentheses]], 1) = "'"),
    #VALUE!,
    tblPassengerNames[[#This Row],[InParentheses]]
)</f>
        <v>Sallie Monypeny</v>
      </c>
      <c r="M24">
        <f>LEN(tblPassengerNames[[#This Row],[InParenthesesCleaned]]) - LEN(SUBSTITUTE(tblPassengerNames[[#This Row],[InParenthesesCleaned]], " ", ""))</f>
        <v>1</v>
      </c>
      <c r="N24">
        <f>FIND("@", SUBSTITUTE(tblPassengerNames[[#This Row],[InParenthesesCleaned]], " ", "@", tblPassengerNames[[#This Row],[P_NSpaces]]))</f>
        <v>7</v>
      </c>
      <c r="O24" t="str">
        <f>IF(tblPassengerNames[[#This Row],[P_NSpaces]] = 0,
    tblPassengerNames[[#This Row],[InParenthesesCleaned]],
    LEFT(tblPassengerNames[[#This Row],[InParenthesesCleaned]], tblPassengerNames[[#This Row],[P_FinalSpacePos]] - 1)
)</f>
        <v>Sallie</v>
      </c>
      <c r="P24" t="str">
        <f>IFERROR(tblPassengerNames[[#This Row],[P_Forenames]], tblPassengerNames[[#This Row],[ConvForenames]])</f>
        <v>Sallie</v>
      </c>
      <c r="Q24" t="str">
        <f>MID(tblPassengerNames[[#This Row],[Name]], tblPassengerNames[[#This Row],[CommaPos]] + 2, tblPassengerNames[[#This Row],[DotPos]] - tblPassengerNames[[#This Row],[CommaPos]] - 1)</f>
        <v>Mrs.</v>
      </c>
      <c r="R24" t="str">
        <f>LEFT(tblPassengerNames[[#This Row],[Name]], tblPassengerNames[[#This Row],[CommaPos]] - 1)</f>
        <v>Beckwith</v>
      </c>
    </row>
    <row r="25" spans="2:18" x14ac:dyDescent="0.25">
      <c r="B25" s="21">
        <v>23</v>
      </c>
      <c r="C25" s="21" t="s">
        <v>159</v>
      </c>
      <c r="D25" s="21" t="s">
        <v>138</v>
      </c>
      <c r="E25">
        <f>FIND(",", tblPassengerNames[[#This Row],[Name]])</f>
        <v>5</v>
      </c>
      <c r="F25">
        <f>FIND(".", tblPassengerNames[[#This Row],[Name]])</f>
        <v>9</v>
      </c>
      <c r="G25" t="e">
        <f>FIND("(", tblPassengerNames[[#This Row],[Name]])</f>
        <v>#VALUE!</v>
      </c>
      <c r="H25" t="e">
        <f>FIND(")", tblPassengerNames[[#This Row],[Name]])</f>
        <v>#VALUE!</v>
      </c>
      <c r="I25">
        <f>IFERROR(tblPassengerNames[[#This Row],[OpenParPos]] - 2, LEN(tblPassengerNames[[#This Row],[Name]]))</f>
        <v>21</v>
      </c>
      <c r="J25" t="str">
        <f>MID(tblPassengerNames[[#This Row],[Name]], tblPassengerNames[[#This Row],[DotPos]] + 2, tblPassengerNames[[#This Row],[EndOfConvFNPos]] - tblPassengerNames[[#This Row],[DotPos]] - 1)</f>
        <v>Karl Howell</v>
      </c>
      <c r="K25" t="e">
        <f>MID(tblPassengerNames[[#This Row],[Name]], tblPassengerNames[[#This Row],[OpenParPos]] + 1, tblPassengerNames[[#This Row],[CloseParPos]] - tblPassengerNames[[#This Row],[OpenParPos]] - 1)</f>
        <v>#VALUE!</v>
      </c>
      <c r="L25" t="e">
        <f>IF(AND(LEFT(tblPassengerNames[[#This Row],[InParentheses]], 1) = "'", RIGHT(tblPassengerNames[[#This Row],[InParentheses]], 1) = "'"),
    #VALUE!,
    tblPassengerNames[[#This Row],[InParentheses]]
)</f>
        <v>#VALUE!</v>
      </c>
      <c r="M25" t="e">
        <f>LEN(tblPassengerNames[[#This Row],[InParenthesesCleaned]]) - LEN(SUBSTITUTE(tblPassengerNames[[#This Row],[InParenthesesCleaned]], " ", ""))</f>
        <v>#VALUE!</v>
      </c>
      <c r="N25" t="e">
        <f>FIND("@", SUBSTITUTE(tblPassengerNames[[#This Row],[InParenthesesCleaned]], " ", "@", tblPassengerNames[[#This Row],[P_NSpaces]]))</f>
        <v>#VALUE!</v>
      </c>
      <c r="O25" t="e">
        <f>IF(tblPassengerNames[[#This Row],[P_NSpaces]] = 0,
    tblPassengerNames[[#This Row],[InParenthesesCleaned]],
    LEFT(tblPassengerNames[[#This Row],[InParenthesesCleaned]], tblPassengerNames[[#This Row],[P_FinalSpacePos]] - 1)
)</f>
        <v>#VALUE!</v>
      </c>
      <c r="P25" t="str">
        <f>IFERROR(tblPassengerNames[[#This Row],[P_Forenames]], tblPassengerNames[[#This Row],[ConvForenames]])</f>
        <v>Karl Howell</v>
      </c>
      <c r="Q25" t="str">
        <f>MID(tblPassengerNames[[#This Row],[Name]], tblPassengerNames[[#This Row],[CommaPos]] + 2, tblPassengerNames[[#This Row],[DotPos]] - tblPassengerNames[[#This Row],[CommaPos]] - 1)</f>
        <v>Mr.</v>
      </c>
      <c r="R25" t="str">
        <f>LEFT(tblPassengerNames[[#This Row],[Name]], tblPassengerNames[[#This Row],[CommaPos]] - 1)</f>
        <v>Behr</v>
      </c>
    </row>
    <row r="26" spans="2:18" x14ac:dyDescent="0.25">
      <c r="B26" s="21">
        <v>24</v>
      </c>
      <c r="C26" s="21" t="s">
        <v>160</v>
      </c>
      <c r="D26" s="21" t="s">
        <v>136</v>
      </c>
      <c r="E26">
        <f>FIND(",", tblPassengerNames[[#This Row],[Name]])</f>
        <v>7</v>
      </c>
      <c r="F26">
        <f>FIND(".", tblPassengerNames[[#This Row],[Name]])</f>
        <v>13</v>
      </c>
      <c r="G26" t="e">
        <f>FIND("(", tblPassengerNames[[#This Row],[Name]])</f>
        <v>#VALUE!</v>
      </c>
      <c r="H26" t="e">
        <f>FIND(")", tblPassengerNames[[#This Row],[Name]])</f>
        <v>#VALUE!</v>
      </c>
      <c r="I26">
        <f>IFERROR(tblPassengerNames[[#This Row],[OpenParPos]] - 2, LEN(tblPassengerNames[[#This Row],[Name]]))</f>
        <v>21</v>
      </c>
      <c r="J26" t="str">
        <f>MID(tblPassengerNames[[#This Row],[Name]], tblPassengerNames[[#This Row],[DotPos]] + 2, tblPassengerNames[[#This Row],[EndOfConvFNPos]] - tblPassengerNames[[#This Row],[DotPos]] - 1)</f>
        <v>Rosalie</v>
      </c>
      <c r="K26" t="e">
        <f>MID(tblPassengerNames[[#This Row],[Name]], tblPassengerNames[[#This Row],[OpenParPos]] + 1, tblPassengerNames[[#This Row],[CloseParPos]] - tblPassengerNames[[#This Row],[OpenParPos]] - 1)</f>
        <v>#VALUE!</v>
      </c>
      <c r="L26" t="e">
        <f>IF(AND(LEFT(tblPassengerNames[[#This Row],[InParentheses]], 1) = "'", RIGHT(tblPassengerNames[[#This Row],[InParentheses]], 1) = "'"),
    #VALUE!,
    tblPassengerNames[[#This Row],[InParentheses]]
)</f>
        <v>#VALUE!</v>
      </c>
      <c r="M26" t="e">
        <f>LEN(tblPassengerNames[[#This Row],[InParenthesesCleaned]]) - LEN(SUBSTITUTE(tblPassengerNames[[#This Row],[InParenthesesCleaned]], " ", ""))</f>
        <v>#VALUE!</v>
      </c>
      <c r="N26" t="e">
        <f>FIND("@", SUBSTITUTE(tblPassengerNames[[#This Row],[InParenthesesCleaned]], " ", "@", tblPassengerNames[[#This Row],[P_NSpaces]]))</f>
        <v>#VALUE!</v>
      </c>
      <c r="O26" t="e">
        <f>IF(tblPassengerNames[[#This Row],[P_NSpaces]] = 0,
    tblPassengerNames[[#This Row],[InParenthesesCleaned]],
    LEFT(tblPassengerNames[[#This Row],[InParenthesesCleaned]], tblPassengerNames[[#This Row],[P_FinalSpacePos]] - 1)
)</f>
        <v>#VALUE!</v>
      </c>
      <c r="P26" t="str">
        <f>IFERROR(tblPassengerNames[[#This Row],[P_Forenames]], tblPassengerNames[[#This Row],[ConvForenames]])</f>
        <v>Rosalie</v>
      </c>
      <c r="Q26" t="str">
        <f>MID(tblPassengerNames[[#This Row],[Name]], tblPassengerNames[[#This Row],[CommaPos]] + 2, tblPassengerNames[[#This Row],[DotPos]] - tblPassengerNames[[#This Row],[CommaPos]] - 1)</f>
        <v>Miss.</v>
      </c>
      <c r="R26" t="str">
        <f>LEFT(tblPassengerNames[[#This Row],[Name]], tblPassengerNames[[#This Row],[CommaPos]] - 1)</f>
        <v>Bidois</v>
      </c>
    </row>
    <row r="27" spans="2:18" x14ac:dyDescent="0.25">
      <c r="B27" s="21">
        <v>25</v>
      </c>
      <c r="C27" s="21" t="s">
        <v>161</v>
      </c>
      <c r="D27" s="21" t="s">
        <v>136</v>
      </c>
      <c r="E27">
        <f>FIND(",", tblPassengerNames[[#This Row],[Name]])</f>
        <v>5</v>
      </c>
      <c r="F27">
        <f>FIND(".", tblPassengerNames[[#This Row],[Name]])</f>
        <v>11</v>
      </c>
      <c r="G27" t="e">
        <f>FIND("(", tblPassengerNames[[#This Row],[Name]])</f>
        <v>#VALUE!</v>
      </c>
      <c r="H27" t="e">
        <f>FIND(")", tblPassengerNames[[#This Row],[Name]])</f>
        <v>#VALUE!</v>
      </c>
      <c r="I27">
        <f>IFERROR(tblPassengerNames[[#This Row],[OpenParPos]] - 2, LEN(tblPassengerNames[[#This Row],[Name]]))</f>
        <v>17</v>
      </c>
      <c r="J27" t="str">
        <f>MID(tblPassengerNames[[#This Row],[Name]], tblPassengerNames[[#This Row],[DotPos]] + 2, tblPassengerNames[[#This Row],[EndOfConvFNPos]] - tblPassengerNames[[#This Row],[DotPos]] - 1)</f>
        <v>Ellen</v>
      </c>
      <c r="K27" t="e">
        <f>MID(tblPassengerNames[[#This Row],[Name]], tblPassengerNames[[#This Row],[OpenParPos]] + 1, tblPassengerNames[[#This Row],[CloseParPos]] - tblPassengerNames[[#This Row],[OpenParPos]] - 1)</f>
        <v>#VALUE!</v>
      </c>
      <c r="L27" t="e">
        <f>IF(AND(LEFT(tblPassengerNames[[#This Row],[InParentheses]], 1) = "'", RIGHT(tblPassengerNames[[#This Row],[InParentheses]], 1) = "'"),
    #VALUE!,
    tblPassengerNames[[#This Row],[InParentheses]]
)</f>
        <v>#VALUE!</v>
      </c>
      <c r="M27" t="e">
        <f>LEN(tblPassengerNames[[#This Row],[InParenthesesCleaned]]) - LEN(SUBSTITUTE(tblPassengerNames[[#This Row],[InParenthesesCleaned]], " ", ""))</f>
        <v>#VALUE!</v>
      </c>
      <c r="N27" t="e">
        <f>FIND("@", SUBSTITUTE(tblPassengerNames[[#This Row],[InParenthesesCleaned]], " ", "@", tblPassengerNames[[#This Row],[P_NSpaces]]))</f>
        <v>#VALUE!</v>
      </c>
      <c r="O27" t="e">
        <f>IF(tblPassengerNames[[#This Row],[P_NSpaces]] = 0,
    tblPassengerNames[[#This Row],[InParenthesesCleaned]],
    LEFT(tblPassengerNames[[#This Row],[InParenthesesCleaned]], tblPassengerNames[[#This Row],[P_FinalSpacePos]] - 1)
)</f>
        <v>#VALUE!</v>
      </c>
      <c r="P27" t="str">
        <f>IFERROR(tblPassengerNames[[#This Row],[P_Forenames]], tblPassengerNames[[#This Row],[ConvForenames]])</f>
        <v>Ellen</v>
      </c>
      <c r="Q27" t="str">
        <f>MID(tblPassengerNames[[#This Row],[Name]], tblPassengerNames[[#This Row],[CommaPos]] + 2, tblPassengerNames[[#This Row],[DotPos]] - tblPassengerNames[[#This Row],[CommaPos]] - 1)</f>
        <v>Miss.</v>
      </c>
      <c r="R27" t="str">
        <f>LEFT(tblPassengerNames[[#This Row],[Name]], tblPassengerNames[[#This Row],[CommaPos]] - 1)</f>
        <v>Bird</v>
      </c>
    </row>
    <row r="28" spans="2:18" x14ac:dyDescent="0.25">
      <c r="B28" s="21">
        <v>26</v>
      </c>
      <c r="C28" s="21" t="s">
        <v>162</v>
      </c>
      <c r="D28" s="21" t="s">
        <v>138</v>
      </c>
      <c r="E28">
        <f>FIND(",", tblPassengerNames[[#This Row],[Name]])</f>
        <v>9</v>
      </c>
      <c r="F28">
        <f>FIND(".", tblPassengerNames[[#This Row],[Name]])</f>
        <v>13</v>
      </c>
      <c r="G28" t="e">
        <f>FIND("(", tblPassengerNames[[#This Row],[Name]])</f>
        <v>#VALUE!</v>
      </c>
      <c r="H28" t="e">
        <f>FIND(")", tblPassengerNames[[#This Row],[Name]])</f>
        <v>#VALUE!</v>
      </c>
      <c r="I28">
        <f>IFERROR(tblPassengerNames[[#This Row],[OpenParPos]] - 2, LEN(tblPassengerNames[[#This Row],[Name]]))</f>
        <v>19</v>
      </c>
      <c r="J28" t="str">
        <f>MID(tblPassengerNames[[#This Row],[Name]], tblPassengerNames[[#This Row],[DotPos]] + 2, tblPassengerNames[[#This Row],[EndOfConvFNPos]] - tblPassengerNames[[#This Row],[DotPos]] - 1)</f>
        <v>Jakob</v>
      </c>
      <c r="K28" t="e">
        <f>MID(tblPassengerNames[[#This Row],[Name]], tblPassengerNames[[#This Row],[OpenParPos]] + 1, tblPassengerNames[[#This Row],[CloseParPos]] - tblPassengerNames[[#This Row],[OpenParPos]] - 1)</f>
        <v>#VALUE!</v>
      </c>
      <c r="L28" t="e">
        <f>IF(AND(LEFT(tblPassengerNames[[#This Row],[InParentheses]], 1) = "'", RIGHT(tblPassengerNames[[#This Row],[InParentheses]], 1) = "'"),
    #VALUE!,
    tblPassengerNames[[#This Row],[InParentheses]]
)</f>
        <v>#VALUE!</v>
      </c>
      <c r="M28" t="e">
        <f>LEN(tblPassengerNames[[#This Row],[InParenthesesCleaned]]) - LEN(SUBSTITUTE(tblPassengerNames[[#This Row],[InParenthesesCleaned]], " ", ""))</f>
        <v>#VALUE!</v>
      </c>
      <c r="N28" t="e">
        <f>FIND("@", SUBSTITUTE(tblPassengerNames[[#This Row],[InParenthesesCleaned]], " ", "@", tblPassengerNames[[#This Row],[P_NSpaces]]))</f>
        <v>#VALUE!</v>
      </c>
      <c r="O28" t="e">
        <f>IF(tblPassengerNames[[#This Row],[P_NSpaces]] = 0,
    tblPassengerNames[[#This Row],[InParenthesesCleaned]],
    LEFT(tblPassengerNames[[#This Row],[InParenthesesCleaned]], tblPassengerNames[[#This Row],[P_FinalSpacePos]] - 1)
)</f>
        <v>#VALUE!</v>
      </c>
      <c r="P28" t="str">
        <f>IFERROR(tblPassengerNames[[#This Row],[P_Forenames]], tblPassengerNames[[#This Row],[ConvForenames]])</f>
        <v>Jakob</v>
      </c>
      <c r="Q28" t="str">
        <f>MID(tblPassengerNames[[#This Row],[Name]], tblPassengerNames[[#This Row],[CommaPos]] + 2, tblPassengerNames[[#This Row],[DotPos]] - tblPassengerNames[[#This Row],[CommaPos]] - 1)</f>
        <v>Mr.</v>
      </c>
      <c r="R28" t="str">
        <f>LEFT(tblPassengerNames[[#This Row],[Name]], tblPassengerNames[[#This Row],[CommaPos]] - 1)</f>
        <v>Birnbaum</v>
      </c>
    </row>
    <row r="29" spans="2:18" x14ac:dyDescent="0.25">
      <c r="B29" s="21">
        <v>27</v>
      </c>
      <c r="C29" s="21" t="s">
        <v>163</v>
      </c>
      <c r="D29" s="21" t="s">
        <v>138</v>
      </c>
      <c r="E29">
        <f>FIND(",", tblPassengerNames[[#This Row],[Name]])</f>
        <v>7</v>
      </c>
      <c r="F29">
        <f>FIND(".", tblPassengerNames[[#This Row],[Name]])</f>
        <v>11</v>
      </c>
      <c r="G29" t="e">
        <f>FIND("(", tblPassengerNames[[#This Row],[Name]])</f>
        <v>#VALUE!</v>
      </c>
      <c r="H29" t="e">
        <f>FIND(")", tblPassengerNames[[#This Row],[Name]])</f>
        <v>#VALUE!</v>
      </c>
      <c r="I29">
        <f>IFERROR(tblPassengerNames[[#This Row],[OpenParPos]] - 2, LEN(tblPassengerNames[[#This Row],[Name]]))</f>
        <v>23</v>
      </c>
      <c r="J29" t="str">
        <f>MID(tblPassengerNames[[#This Row],[Name]], tblPassengerNames[[#This Row],[DotPos]] + 2, tblPassengerNames[[#This Row],[EndOfConvFNPos]] - tblPassengerNames[[#This Row],[DotPos]] - 1)</f>
        <v>Dickinson H</v>
      </c>
      <c r="K29" t="e">
        <f>MID(tblPassengerNames[[#This Row],[Name]], tblPassengerNames[[#This Row],[OpenParPos]] + 1, tblPassengerNames[[#This Row],[CloseParPos]] - tblPassengerNames[[#This Row],[OpenParPos]] - 1)</f>
        <v>#VALUE!</v>
      </c>
      <c r="L29" t="e">
        <f>IF(AND(LEFT(tblPassengerNames[[#This Row],[InParentheses]], 1) = "'", RIGHT(tblPassengerNames[[#This Row],[InParentheses]], 1) = "'"),
    #VALUE!,
    tblPassengerNames[[#This Row],[InParentheses]]
)</f>
        <v>#VALUE!</v>
      </c>
      <c r="M29" t="e">
        <f>LEN(tblPassengerNames[[#This Row],[InParenthesesCleaned]]) - LEN(SUBSTITUTE(tblPassengerNames[[#This Row],[InParenthesesCleaned]], " ", ""))</f>
        <v>#VALUE!</v>
      </c>
      <c r="N29" t="e">
        <f>FIND("@", SUBSTITUTE(tblPassengerNames[[#This Row],[InParenthesesCleaned]], " ", "@", tblPassengerNames[[#This Row],[P_NSpaces]]))</f>
        <v>#VALUE!</v>
      </c>
      <c r="O29" t="e">
        <f>IF(tblPassengerNames[[#This Row],[P_NSpaces]] = 0,
    tblPassengerNames[[#This Row],[InParenthesesCleaned]],
    LEFT(tblPassengerNames[[#This Row],[InParenthesesCleaned]], tblPassengerNames[[#This Row],[P_FinalSpacePos]] - 1)
)</f>
        <v>#VALUE!</v>
      </c>
      <c r="P29" t="str">
        <f>IFERROR(tblPassengerNames[[#This Row],[P_Forenames]], tblPassengerNames[[#This Row],[ConvForenames]])</f>
        <v>Dickinson H</v>
      </c>
      <c r="Q29" t="str">
        <f>MID(tblPassengerNames[[#This Row],[Name]], tblPassengerNames[[#This Row],[CommaPos]] + 2, tblPassengerNames[[#This Row],[DotPos]] - tblPassengerNames[[#This Row],[CommaPos]] - 1)</f>
        <v>Mr.</v>
      </c>
      <c r="R29" t="str">
        <f>LEFT(tblPassengerNames[[#This Row],[Name]], tblPassengerNames[[#This Row],[CommaPos]] - 1)</f>
        <v>Bishop</v>
      </c>
    </row>
    <row r="30" spans="2:18" x14ac:dyDescent="0.25">
      <c r="B30" s="21">
        <v>28</v>
      </c>
      <c r="C30" s="21" t="s">
        <v>164</v>
      </c>
      <c r="D30" s="21" t="s">
        <v>136</v>
      </c>
      <c r="E30">
        <f>FIND(",", tblPassengerNames[[#This Row],[Name]])</f>
        <v>7</v>
      </c>
      <c r="F30">
        <f>FIND(".", tblPassengerNames[[#This Row],[Name]])</f>
        <v>12</v>
      </c>
      <c r="G30">
        <f>FIND("(", tblPassengerNames[[#This Row],[Name]])</f>
        <v>26</v>
      </c>
      <c r="H30">
        <f>FIND(")", tblPassengerNames[[#This Row],[Name]])</f>
        <v>39</v>
      </c>
      <c r="I30">
        <f>IFERROR(tblPassengerNames[[#This Row],[OpenParPos]] - 2, LEN(tblPassengerNames[[#This Row],[Name]]))</f>
        <v>24</v>
      </c>
      <c r="J30" t="str">
        <f>MID(tblPassengerNames[[#This Row],[Name]], tblPassengerNames[[#This Row],[DotPos]] + 2, tblPassengerNames[[#This Row],[EndOfConvFNPos]] - tblPassengerNames[[#This Row],[DotPos]] - 1)</f>
        <v>Dickinson H</v>
      </c>
      <c r="K30" t="str">
        <f>MID(tblPassengerNames[[#This Row],[Name]], tblPassengerNames[[#This Row],[OpenParPos]] + 1, tblPassengerNames[[#This Row],[CloseParPos]] - tblPassengerNames[[#This Row],[OpenParPos]] - 1)</f>
        <v>Helen Walton</v>
      </c>
      <c r="L30" t="str">
        <f>IF(AND(LEFT(tblPassengerNames[[#This Row],[InParentheses]], 1) = "'", RIGHT(tblPassengerNames[[#This Row],[InParentheses]], 1) = "'"),
    #VALUE!,
    tblPassengerNames[[#This Row],[InParentheses]]
)</f>
        <v>Helen Walton</v>
      </c>
      <c r="M30">
        <f>LEN(tblPassengerNames[[#This Row],[InParenthesesCleaned]]) - LEN(SUBSTITUTE(tblPassengerNames[[#This Row],[InParenthesesCleaned]], " ", ""))</f>
        <v>1</v>
      </c>
      <c r="N30">
        <f>FIND("@", SUBSTITUTE(tblPassengerNames[[#This Row],[InParenthesesCleaned]], " ", "@", tblPassengerNames[[#This Row],[P_NSpaces]]))</f>
        <v>6</v>
      </c>
      <c r="O30" t="str">
        <f>IF(tblPassengerNames[[#This Row],[P_NSpaces]] = 0,
    tblPassengerNames[[#This Row],[InParenthesesCleaned]],
    LEFT(tblPassengerNames[[#This Row],[InParenthesesCleaned]], tblPassengerNames[[#This Row],[P_FinalSpacePos]] - 1)
)</f>
        <v>Helen</v>
      </c>
      <c r="P30" t="str">
        <f>IFERROR(tblPassengerNames[[#This Row],[P_Forenames]], tblPassengerNames[[#This Row],[ConvForenames]])</f>
        <v>Helen</v>
      </c>
      <c r="Q30" t="str">
        <f>MID(tblPassengerNames[[#This Row],[Name]], tblPassengerNames[[#This Row],[CommaPos]] + 2, tblPassengerNames[[#This Row],[DotPos]] - tblPassengerNames[[#This Row],[CommaPos]] - 1)</f>
        <v>Mrs.</v>
      </c>
      <c r="R30" t="str">
        <f>LEFT(tblPassengerNames[[#This Row],[Name]], tblPassengerNames[[#This Row],[CommaPos]] - 1)</f>
        <v>Bishop</v>
      </c>
    </row>
    <row r="31" spans="2:18" x14ac:dyDescent="0.25">
      <c r="B31" s="21">
        <v>29</v>
      </c>
      <c r="C31" s="21" t="s">
        <v>165</v>
      </c>
      <c r="D31" s="21" t="s">
        <v>136</v>
      </c>
      <c r="E31">
        <f>FIND(",", tblPassengerNames[[#This Row],[Name]])</f>
        <v>9</v>
      </c>
      <c r="F31">
        <f>FIND(".", tblPassengerNames[[#This Row],[Name]])</f>
        <v>15</v>
      </c>
      <c r="G31" t="e">
        <f>FIND("(", tblPassengerNames[[#This Row],[Name]])</f>
        <v>#VALUE!</v>
      </c>
      <c r="H31" t="e">
        <f>FIND(")", tblPassengerNames[[#This Row],[Name]])</f>
        <v>#VALUE!</v>
      </c>
      <c r="I31">
        <f>IFERROR(tblPassengerNames[[#This Row],[OpenParPos]] - 2, LEN(tblPassengerNames[[#This Row],[Name]]))</f>
        <v>22</v>
      </c>
      <c r="J31" t="str">
        <f>MID(tblPassengerNames[[#This Row],[Name]], tblPassengerNames[[#This Row],[DotPos]] + 2, tblPassengerNames[[#This Row],[EndOfConvFNPos]] - tblPassengerNames[[#This Row],[DotPos]] - 1)</f>
        <v>Amelia</v>
      </c>
      <c r="K31" t="e">
        <f>MID(tblPassengerNames[[#This Row],[Name]], tblPassengerNames[[#This Row],[OpenParPos]] + 1, tblPassengerNames[[#This Row],[CloseParPos]] - tblPassengerNames[[#This Row],[OpenParPos]] - 1)</f>
        <v>#VALUE!</v>
      </c>
      <c r="L31" t="e">
        <f>IF(AND(LEFT(tblPassengerNames[[#This Row],[InParentheses]], 1) = "'", RIGHT(tblPassengerNames[[#This Row],[InParentheses]], 1) = "'"),
    #VALUE!,
    tblPassengerNames[[#This Row],[InParentheses]]
)</f>
        <v>#VALUE!</v>
      </c>
      <c r="M31" t="e">
        <f>LEN(tblPassengerNames[[#This Row],[InParenthesesCleaned]]) - LEN(SUBSTITUTE(tblPassengerNames[[#This Row],[InParenthesesCleaned]], " ", ""))</f>
        <v>#VALUE!</v>
      </c>
      <c r="N31" t="e">
        <f>FIND("@", SUBSTITUTE(tblPassengerNames[[#This Row],[InParenthesesCleaned]], " ", "@", tblPassengerNames[[#This Row],[P_NSpaces]]))</f>
        <v>#VALUE!</v>
      </c>
      <c r="O31" t="e">
        <f>IF(tblPassengerNames[[#This Row],[P_NSpaces]] = 0,
    tblPassengerNames[[#This Row],[InParenthesesCleaned]],
    LEFT(tblPassengerNames[[#This Row],[InParenthesesCleaned]], tblPassengerNames[[#This Row],[P_FinalSpacePos]] - 1)
)</f>
        <v>#VALUE!</v>
      </c>
      <c r="P31" t="str">
        <f>IFERROR(tblPassengerNames[[#This Row],[P_Forenames]], tblPassengerNames[[#This Row],[ConvForenames]])</f>
        <v>Amelia</v>
      </c>
      <c r="Q31" t="str">
        <f>MID(tblPassengerNames[[#This Row],[Name]], tblPassengerNames[[#This Row],[CommaPos]] + 2, tblPassengerNames[[#This Row],[DotPos]] - tblPassengerNames[[#This Row],[CommaPos]] - 1)</f>
        <v>Miss.</v>
      </c>
      <c r="R31" t="str">
        <f>LEFT(tblPassengerNames[[#This Row],[Name]], tblPassengerNames[[#This Row],[CommaPos]] - 1)</f>
        <v>Bissette</v>
      </c>
    </row>
    <row r="32" spans="2:18" x14ac:dyDescent="0.25">
      <c r="B32" s="21">
        <v>30</v>
      </c>
      <c r="C32" s="21" t="s">
        <v>166</v>
      </c>
      <c r="D32" s="21" t="s">
        <v>138</v>
      </c>
      <c r="E32">
        <f>FIND(",", tblPassengerNames[[#This Row],[Name]])</f>
        <v>23</v>
      </c>
      <c r="F32">
        <f>FIND(".", tblPassengerNames[[#This Row],[Name]])</f>
        <v>27</v>
      </c>
      <c r="G32" t="e">
        <f>FIND("(", tblPassengerNames[[#This Row],[Name]])</f>
        <v>#VALUE!</v>
      </c>
      <c r="H32" t="e">
        <f>FIND(")", tblPassengerNames[[#This Row],[Name]])</f>
        <v>#VALUE!</v>
      </c>
      <c r="I32">
        <f>IFERROR(tblPassengerNames[[#This Row],[OpenParPos]] - 2, LEN(tblPassengerNames[[#This Row],[Name]]))</f>
        <v>41</v>
      </c>
      <c r="J32" t="str">
        <f>MID(tblPassengerNames[[#This Row],[Name]], tblPassengerNames[[#This Row],[DotPos]] + 2, tblPassengerNames[[#This Row],[EndOfConvFNPos]] - tblPassengerNames[[#This Row],[DotPos]] - 1)</f>
        <v>Mauritz Hakan</v>
      </c>
      <c r="K32" t="e">
        <f>MID(tblPassengerNames[[#This Row],[Name]], tblPassengerNames[[#This Row],[OpenParPos]] + 1, tblPassengerNames[[#This Row],[CloseParPos]] - tblPassengerNames[[#This Row],[OpenParPos]] - 1)</f>
        <v>#VALUE!</v>
      </c>
      <c r="L32" t="e">
        <f>IF(AND(LEFT(tblPassengerNames[[#This Row],[InParentheses]], 1) = "'", RIGHT(tblPassengerNames[[#This Row],[InParentheses]], 1) = "'"),
    #VALUE!,
    tblPassengerNames[[#This Row],[InParentheses]]
)</f>
        <v>#VALUE!</v>
      </c>
      <c r="M32" t="e">
        <f>LEN(tblPassengerNames[[#This Row],[InParenthesesCleaned]]) - LEN(SUBSTITUTE(tblPassengerNames[[#This Row],[InParenthesesCleaned]], " ", ""))</f>
        <v>#VALUE!</v>
      </c>
      <c r="N32" t="e">
        <f>FIND("@", SUBSTITUTE(tblPassengerNames[[#This Row],[InParenthesesCleaned]], " ", "@", tblPassengerNames[[#This Row],[P_NSpaces]]))</f>
        <v>#VALUE!</v>
      </c>
      <c r="O32" t="e">
        <f>IF(tblPassengerNames[[#This Row],[P_NSpaces]] = 0,
    tblPassengerNames[[#This Row],[InParenthesesCleaned]],
    LEFT(tblPassengerNames[[#This Row],[InParenthesesCleaned]], tblPassengerNames[[#This Row],[P_FinalSpacePos]] - 1)
)</f>
        <v>#VALUE!</v>
      </c>
      <c r="P32" t="str">
        <f>IFERROR(tblPassengerNames[[#This Row],[P_Forenames]], tblPassengerNames[[#This Row],[ConvForenames]])</f>
        <v>Mauritz Hakan</v>
      </c>
      <c r="Q32" t="str">
        <f>MID(tblPassengerNames[[#This Row],[Name]], tblPassengerNames[[#This Row],[CommaPos]] + 2, tblPassengerNames[[#This Row],[DotPos]] - tblPassengerNames[[#This Row],[CommaPos]] - 1)</f>
        <v>Mr.</v>
      </c>
      <c r="R32" t="str">
        <f>LEFT(tblPassengerNames[[#This Row],[Name]], tblPassengerNames[[#This Row],[CommaPos]] - 1)</f>
        <v>Bjornstrom-Steffansson</v>
      </c>
    </row>
    <row r="33" spans="2:18" x14ac:dyDescent="0.25">
      <c r="B33" s="21">
        <v>31</v>
      </c>
      <c r="C33" s="21" t="s">
        <v>167</v>
      </c>
      <c r="D33" s="21" t="s">
        <v>138</v>
      </c>
      <c r="E33">
        <f>FIND(",", tblPassengerNames[[#This Row],[Name]])</f>
        <v>10</v>
      </c>
      <c r="F33">
        <f>FIND(".", tblPassengerNames[[#This Row],[Name]])</f>
        <v>14</v>
      </c>
      <c r="G33" t="e">
        <f>FIND("(", tblPassengerNames[[#This Row],[Name]])</f>
        <v>#VALUE!</v>
      </c>
      <c r="H33" t="e">
        <f>FIND(")", tblPassengerNames[[#This Row],[Name]])</f>
        <v>#VALUE!</v>
      </c>
      <c r="I33">
        <f>IFERROR(tblPassengerNames[[#This Row],[OpenParPos]] - 2, LEN(tblPassengerNames[[#This Row],[Name]]))</f>
        <v>28</v>
      </c>
      <c r="J33" t="str">
        <f>MID(tblPassengerNames[[#This Row],[Name]], tblPassengerNames[[#This Row],[DotPos]] + 2, tblPassengerNames[[#This Row],[EndOfConvFNPos]] - tblPassengerNames[[#This Row],[DotPos]] - 1)</f>
        <v>Stephen Weart</v>
      </c>
      <c r="K33" t="e">
        <f>MID(tblPassengerNames[[#This Row],[Name]], tblPassengerNames[[#This Row],[OpenParPos]] + 1, tblPassengerNames[[#This Row],[CloseParPos]] - tblPassengerNames[[#This Row],[OpenParPos]] - 1)</f>
        <v>#VALUE!</v>
      </c>
      <c r="L33" t="e">
        <f>IF(AND(LEFT(tblPassengerNames[[#This Row],[InParentheses]], 1) = "'", RIGHT(tblPassengerNames[[#This Row],[InParentheses]], 1) = "'"),
    #VALUE!,
    tblPassengerNames[[#This Row],[InParentheses]]
)</f>
        <v>#VALUE!</v>
      </c>
      <c r="M33" t="e">
        <f>LEN(tblPassengerNames[[#This Row],[InParenthesesCleaned]]) - LEN(SUBSTITUTE(tblPassengerNames[[#This Row],[InParenthesesCleaned]], " ", ""))</f>
        <v>#VALUE!</v>
      </c>
      <c r="N33" t="e">
        <f>FIND("@", SUBSTITUTE(tblPassengerNames[[#This Row],[InParenthesesCleaned]], " ", "@", tblPassengerNames[[#This Row],[P_NSpaces]]))</f>
        <v>#VALUE!</v>
      </c>
      <c r="O33" t="e">
        <f>IF(tblPassengerNames[[#This Row],[P_NSpaces]] = 0,
    tblPassengerNames[[#This Row],[InParenthesesCleaned]],
    LEFT(tblPassengerNames[[#This Row],[InParenthesesCleaned]], tblPassengerNames[[#This Row],[P_FinalSpacePos]] - 1)
)</f>
        <v>#VALUE!</v>
      </c>
      <c r="P33" t="str">
        <f>IFERROR(tblPassengerNames[[#This Row],[P_Forenames]], tblPassengerNames[[#This Row],[ConvForenames]])</f>
        <v>Stephen Weart</v>
      </c>
      <c r="Q33" t="str">
        <f>MID(tblPassengerNames[[#This Row],[Name]], tblPassengerNames[[#This Row],[CommaPos]] + 2, tblPassengerNames[[#This Row],[DotPos]] - tblPassengerNames[[#This Row],[CommaPos]] - 1)</f>
        <v>Mr.</v>
      </c>
      <c r="R33" t="str">
        <f>LEFT(tblPassengerNames[[#This Row],[Name]], tblPassengerNames[[#This Row],[CommaPos]] - 1)</f>
        <v>Blackwell</v>
      </c>
    </row>
    <row r="34" spans="2:18" x14ac:dyDescent="0.25">
      <c r="B34" s="21">
        <v>32</v>
      </c>
      <c r="C34" s="21" t="s">
        <v>168</v>
      </c>
      <c r="D34" s="21" t="s">
        <v>138</v>
      </c>
      <c r="E34">
        <f>FIND(",", tblPassengerNames[[#This Row],[Name]])</f>
        <v>6</v>
      </c>
      <c r="F34">
        <f>FIND(".", tblPassengerNames[[#This Row],[Name]])</f>
        <v>10</v>
      </c>
      <c r="G34" t="e">
        <f>FIND("(", tblPassengerNames[[#This Row],[Name]])</f>
        <v>#VALUE!</v>
      </c>
      <c r="H34" t="e">
        <f>FIND(")", tblPassengerNames[[#This Row],[Name]])</f>
        <v>#VALUE!</v>
      </c>
      <c r="I34">
        <f>IFERROR(tblPassengerNames[[#This Row],[OpenParPos]] - 2, LEN(tblPassengerNames[[#This Row],[Name]]))</f>
        <v>16</v>
      </c>
      <c r="J34" t="str">
        <f>MID(tblPassengerNames[[#This Row],[Name]], tblPassengerNames[[#This Row],[DotPos]] + 2, tblPassengerNames[[#This Row],[EndOfConvFNPos]] - tblPassengerNames[[#This Row],[DotPos]] - 1)</f>
        <v>Henry</v>
      </c>
      <c r="K34" t="e">
        <f>MID(tblPassengerNames[[#This Row],[Name]], tblPassengerNames[[#This Row],[OpenParPos]] + 1, tblPassengerNames[[#This Row],[CloseParPos]] - tblPassengerNames[[#This Row],[OpenParPos]] - 1)</f>
        <v>#VALUE!</v>
      </c>
      <c r="L34" t="e">
        <f>IF(AND(LEFT(tblPassengerNames[[#This Row],[InParentheses]], 1) = "'", RIGHT(tblPassengerNames[[#This Row],[InParentheses]], 1) = "'"),
    #VALUE!,
    tblPassengerNames[[#This Row],[InParentheses]]
)</f>
        <v>#VALUE!</v>
      </c>
      <c r="M34" t="e">
        <f>LEN(tblPassengerNames[[#This Row],[InParenthesesCleaned]]) - LEN(SUBSTITUTE(tblPassengerNames[[#This Row],[InParenthesesCleaned]], " ", ""))</f>
        <v>#VALUE!</v>
      </c>
      <c r="N34" t="e">
        <f>FIND("@", SUBSTITUTE(tblPassengerNames[[#This Row],[InParenthesesCleaned]], " ", "@", tblPassengerNames[[#This Row],[P_NSpaces]]))</f>
        <v>#VALUE!</v>
      </c>
      <c r="O34" t="e">
        <f>IF(tblPassengerNames[[#This Row],[P_NSpaces]] = 0,
    tblPassengerNames[[#This Row],[InParenthesesCleaned]],
    LEFT(tblPassengerNames[[#This Row],[InParenthesesCleaned]], tblPassengerNames[[#This Row],[P_FinalSpacePos]] - 1)
)</f>
        <v>#VALUE!</v>
      </c>
      <c r="P34" t="str">
        <f>IFERROR(tblPassengerNames[[#This Row],[P_Forenames]], tblPassengerNames[[#This Row],[ConvForenames]])</f>
        <v>Henry</v>
      </c>
      <c r="Q34" t="str">
        <f>MID(tblPassengerNames[[#This Row],[Name]], tblPassengerNames[[#This Row],[CommaPos]] + 2, tblPassengerNames[[#This Row],[DotPos]] - tblPassengerNames[[#This Row],[CommaPos]] - 1)</f>
        <v>Mr.</v>
      </c>
      <c r="R34" t="str">
        <f>LEFT(tblPassengerNames[[#This Row],[Name]], tblPassengerNames[[#This Row],[CommaPos]] - 1)</f>
        <v>Blank</v>
      </c>
    </row>
    <row r="35" spans="2:18" x14ac:dyDescent="0.25">
      <c r="B35" s="21">
        <v>33</v>
      </c>
      <c r="C35" s="21" t="s">
        <v>169</v>
      </c>
      <c r="D35" s="21" t="s">
        <v>136</v>
      </c>
      <c r="E35">
        <f>FIND(",", tblPassengerNames[[#This Row],[Name]])</f>
        <v>8</v>
      </c>
      <c r="F35">
        <f>FIND(".", tblPassengerNames[[#This Row],[Name]])</f>
        <v>14</v>
      </c>
      <c r="G35" t="e">
        <f>FIND("(", tblPassengerNames[[#This Row],[Name]])</f>
        <v>#VALUE!</v>
      </c>
      <c r="H35" t="e">
        <f>FIND(")", tblPassengerNames[[#This Row],[Name]])</f>
        <v>#VALUE!</v>
      </c>
      <c r="I35">
        <f>IFERROR(tblPassengerNames[[#This Row],[OpenParPos]] - 2, LEN(tblPassengerNames[[#This Row],[Name]]))</f>
        <v>23</v>
      </c>
      <c r="J35" t="str">
        <f>MID(tblPassengerNames[[#This Row],[Name]], tblPassengerNames[[#This Row],[DotPos]] + 2, tblPassengerNames[[#This Row],[EndOfConvFNPos]] - tblPassengerNames[[#This Row],[DotPos]] - 1)</f>
        <v>Caroline</v>
      </c>
      <c r="K35" t="e">
        <f>MID(tblPassengerNames[[#This Row],[Name]], tblPassengerNames[[#This Row],[OpenParPos]] + 1, tblPassengerNames[[#This Row],[CloseParPos]] - tblPassengerNames[[#This Row],[OpenParPos]] - 1)</f>
        <v>#VALUE!</v>
      </c>
      <c r="L35" t="e">
        <f>IF(AND(LEFT(tblPassengerNames[[#This Row],[InParentheses]], 1) = "'", RIGHT(tblPassengerNames[[#This Row],[InParentheses]], 1) = "'"),
    #VALUE!,
    tblPassengerNames[[#This Row],[InParentheses]]
)</f>
        <v>#VALUE!</v>
      </c>
      <c r="M35" t="e">
        <f>LEN(tblPassengerNames[[#This Row],[InParenthesesCleaned]]) - LEN(SUBSTITUTE(tblPassengerNames[[#This Row],[InParenthesesCleaned]], " ", ""))</f>
        <v>#VALUE!</v>
      </c>
      <c r="N35" t="e">
        <f>FIND("@", SUBSTITUTE(tblPassengerNames[[#This Row],[InParenthesesCleaned]], " ", "@", tblPassengerNames[[#This Row],[P_NSpaces]]))</f>
        <v>#VALUE!</v>
      </c>
      <c r="O35" t="e">
        <f>IF(tblPassengerNames[[#This Row],[P_NSpaces]] = 0,
    tblPassengerNames[[#This Row],[InParenthesesCleaned]],
    LEFT(tblPassengerNames[[#This Row],[InParenthesesCleaned]], tblPassengerNames[[#This Row],[P_FinalSpacePos]] - 1)
)</f>
        <v>#VALUE!</v>
      </c>
      <c r="P35" t="str">
        <f>IFERROR(tblPassengerNames[[#This Row],[P_Forenames]], tblPassengerNames[[#This Row],[ConvForenames]])</f>
        <v>Caroline</v>
      </c>
      <c r="Q35" t="str">
        <f>MID(tblPassengerNames[[#This Row],[Name]], tblPassengerNames[[#This Row],[CommaPos]] + 2, tblPassengerNames[[#This Row],[DotPos]] - tblPassengerNames[[#This Row],[CommaPos]] - 1)</f>
        <v>Miss.</v>
      </c>
      <c r="R35" t="str">
        <f>LEFT(tblPassengerNames[[#This Row],[Name]], tblPassengerNames[[#This Row],[CommaPos]] - 1)</f>
        <v>Bonnell</v>
      </c>
    </row>
    <row r="36" spans="2:18" x14ac:dyDescent="0.25">
      <c r="B36" s="21">
        <v>34</v>
      </c>
      <c r="C36" s="21" t="s">
        <v>170</v>
      </c>
      <c r="D36" s="21" t="s">
        <v>136</v>
      </c>
      <c r="E36">
        <f>FIND(",", tblPassengerNames[[#This Row],[Name]])</f>
        <v>8</v>
      </c>
      <c r="F36">
        <f>FIND(".", tblPassengerNames[[#This Row],[Name]])</f>
        <v>14</v>
      </c>
      <c r="G36" t="e">
        <f>FIND("(", tblPassengerNames[[#This Row],[Name]])</f>
        <v>#VALUE!</v>
      </c>
      <c r="H36" t="e">
        <f>FIND(")", tblPassengerNames[[#This Row],[Name]])</f>
        <v>#VALUE!</v>
      </c>
      <c r="I36">
        <f>IFERROR(tblPassengerNames[[#This Row],[OpenParPos]] - 2, LEN(tblPassengerNames[[#This Row],[Name]]))</f>
        <v>24</v>
      </c>
      <c r="J36" t="str">
        <f>MID(tblPassengerNames[[#This Row],[Name]], tblPassengerNames[[#This Row],[DotPos]] + 2, tblPassengerNames[[#This Row],[EndOfConvFNPos]] - tblPassengerNames[[#This Row],[DotPos]] - 1)</f>
        <v>Elizabeth</v>
      </c>
      <c r="K36" t="e">
        <f>MID(tblPassengerNames[[#This Row],[Name]], tblPassengerNames[[#This Row],[OpenParPos]] + 1, tblPassengerNames[[#This Row],[CloseParPos]] - tblPassengerNames[[#This Row],[OpenParPos]] - 1)</f>
        <v>#VALUE!</v>
      </c>
      <c r="L36" t="e">
        <f>IF(AND(LEFT(tblPassengerNames[[#This Row],[InParentheses]], 1) = "'", RIGHT(tblPassengerNames[[#This Row],[InParentheses]], 1) = "'"),
    #VALUE!,
    tblPassengerNames[[#This Row],[InParentheses]]
)</f>
        <v>#VALUE!</v>
      </c>
      <c r="M36" t="e">
        <f>LEN(tblPassengerNames[[#This Row],[InParenthesesCleaned]]) - LEN(SUBSTITUTE(tblPassengerNames[[#This Row],[InParenthesesCleaned]], " ", ""))</f>
        <v>#VALUE!</v>
      </c>
      <c r="N36" t="e">
        <f>FIND("@", SUBSTITUTE(tblPassengerNames[[#This Row],[InParenthesesCleaned]], " ", "@", tblPassengerNames[[#This Row],[P_NSpaces]]))</f>
        <v>#VALUE!</v>
      </c>
      <c r="O36" t="e">
        <f>IF(tblPassengerNames[[#This Row],[P_NSpaces]] = 0,
    tblPassengerNames[[#This Row],[InParenthesesCleaned]],
    LEFT(tblPassengerNames[[#This Row],[InParenthesesCleaned]], tblPassengerNames[[#This Row],[P_FinalSpacePos]] - 1)
)</f>
        <v>#VALUE!</v>
      </c>
      <c r="P36" t="str">
        <f>IFERROR(tblPassengerNames[[#This Row],[P_Forenames]], tblPassengerNames[[#This Row],[ConvForenames]])</f>
        <v>Elizabeth</v>
      </c>
      <c r="Q36" t="str">
        <f>MID(tblPassengerNames[[#This Row],[Name]], tblPassengerNames[[#This Row],[CommaPos]] + 2, tblPassengerNames[[#This Row],[DotPos]] - tblPassengerNames[[#This Row],[CommaPos]] - 1)</f>
        <v>Miss.</v>
      </c>
      <c r="R36" t="str">
        <f>LEFT(tblPassengerNames[[#This Row],[Name]], tblPassengerNames[[#This Row],[CommaPos]] - 1)</f>
        <v>Bonnell</v>
      </c>
    </row>
    <row r="37" spans="2:18" x14ac:dyDescent="0.25">
      <c r="B37" s="21">
        <v>35</v>
      </c>
      <c r="C37" s="21" t="s">
        <v>171</v>
      </c>
      <c r="D37" s="21" t="s">
        <v>138</v>
      </c>
      <c r="E37">
        <f>FIND(",", tblPassengerNames[[#This Row],[Name]])</f>
        <v>9</v>
      </c>
      <c r="F37">
        <f>FIND(".", tblPassengerNames[[#This Row],[Name]])</f>
        <v>13</v>
      </c>
      <c r="G37" t="e">
        <f>FIND("(", tblPassengerNames[[#This Row],[Name]])</f>
        <v>#VALUE!</v>
      </c>
      <c r="H37" t="e">
        <f>FIND(")", tblPassengerNames[[#This Row],[Name]])</f>
        <v>#VALUE!</v>
      </c>
      <c r="I37">
        <f>IFERROR(tblPassengerNames[[#This Row],[OpenParPos]] - 2, LEN(tblPassengerNames[[#This Row],[Name]]))</f>
        <v>24</v>
      </c>
      <c r="J37" t="str">
        <f>MID(tblPassengerNames[[#This Row],[Name]], tblPassengerNames[[#This Row],[DotPos]] + 2, tblPassengerNames[[#This Row],[EndOfConvFNPos]] - tblPassengerNames[[#This Row],[DotPos]] - 1)</f>
        <v>John James</v>
      </c>
      <c r="K37" t="e">
        <f>MID(tblPassengerNames[[#This Row],[Name]], tblPassengerNames[[#This Row],[OpenParPos]] + 1, tblPassengerNames[[#This Row],[CloseParPos]] - tblPassengerNames[[#This Row],[OpenParPos]] - 1)</f>
        <v>#VALUE!</v>
      </c>
      <c r="L37" t="e">
        <f>IF(AND(LEFT(tblPassengerNames[[#This Row],[InParentheses]], 1) = "'", RIGHT(tblPassengerNames[[#This Row],[InParentheses]], 1) = "'"),
    #VALUE!,
    tblPassengerNames[[#This Row],[InParentheses]]
)</f>
        <v>#VALUE!</v>
      </c>
      <c r="M37" t="e">
        <f>LEN(tblPassengerNames[[#This Row],[InParenthesesCleaned]]) - LEN(SUBSTITUTE(tblPassengerNames[[#This Row],[InParenthesesCleaned]], " ", ""))</f>
        <v>#VALUE!</v>
      </c>
      <c r="N37" t="e">
        <f>FIND("@", SUBSTITUTE(tblPassengerNames[[#This Row],[InParenthesesCleaned]], " ", "@", tblPassengerNames[[#This Row],[P_NSpaces]]))</f>
        <v>#VALUE!</v>
      </c>
      <c r="O37" t="e">
        <f>IF(tblPassengerNames[[#This Row],[P_NSpaces]] = 0,
    tblPassengerNames[[#This Row],[InParenthesesCleaned]],
    LEFT(tblPassengerNames[[#This Row],[InParenthesesCleaned]], tblPassengerNames[[#This Row],[P_FinalSpacePos]] - 1)
)</f>
        <v>#VALUE!</v>
      </c>
      <c r="P37" t="str">
        <f>IFERROR(tblPassengerNames[[#This Row],[P_Forenames]], tblPassengerNames[[#This Row],[ConvForenames]])</f>
        <v>John James</v>
      </c>
      <c r="Q37" t="str">
        <f>MID(tblPassengerNames[[#This Row],[Name]], tblPassengerNames[[#This Row],[CommaPos]] + 2, tblPassengerNames[[#This Row],[DotPos]] - tblPassengerNames[[#This Row],[CommaPos]] - 1)</f>
        <v>Mr.</v>
      </c>
      <c r="R37" t="str">
        <f>LEFT(tblPassengerNames[[#This Row],[Name]], tblPassengerNames[[#This Row],[CommaPos]] - 1)</f>
        <v>Borebank</v>
      </c>
    </row>
    <row r="38" spans="2:18" x14ac:dyDescent="0.25">
      <c r="B38" s="21">
        <v>36</v>
      </c>
      <c r="C38" s="21" t="s">
        <v>172</v>
      </c>
      <c r="D38" s="21" t="s">
        <v>136</v>
      </c>
      <c r="E38">
        <f>FIND(",", tblPassengerNames[[#This Row],[Name]])</f>
        <v>6</v>
      </c>
      <c r="F38">
        <f>FIND(".", tblPassengerNames[[#This Row],[Name]])</f>
        <v>12</v>
      </c>
      <c r="G38" t="e">
        <f>FIND("(", tblPassengerNames[[#This Row],[Name]])</f>
        <v>#VALUE!</v>
      </c>
      <c r="H38" t="e">
        <f>FIND(")", tblPassengerNames[[#This Row],[Name]])</f>
        <v>#VALUE!</v>
      </c>
      <c r="I38">
        <f>IFERROR(tblPassengerNames[[#This Row],[OpenParPos]] - 2, LEN(tblPassengerNames[[#This Row],[Name]]))</f>
        <v>24</v>
      </c>
      <c r="J38" t="str">
        <f>MID(tblPassengerNames[[#This Row],[Name]], tblPassengerNames[[#This Row],[DotPos]] + 2, tblPassengerNames[[#This Row],[EndOfConvFNPos]] - tblPassengerNames[[#This Row],[DotPos]] - 1)</f>
        <v>Grace Scott</v>
      </c>
      <c r="K38" t="e">
        <f>MID(tblPassengerNames[[#This Row],[Name]], tblPassengerNames[[#This Row],[OpenParPos]] + 1, tblPassengerNames[[#This Row],[CloseParPos]] - tblPassengerNames[[#This Row],[OpenParPos]] - 1)</f>
        <v>#VALUE!</v>
      </c>
      <c r="L38" t="e">
        <f>IF(AND(LEFT(tblPassengerNames[[#This Row],[InParentheses]], 1) = "'", RIGHT(tblPassengerNames[[#This Row],[InParentheses]], 1) = "'"),
    #VALUE!,
    tblPassengerNames[[#This Row],[InParentheses]]
)</f>
        <v>#VALUE!</v>
      </c>
      <c r="M38" t="e">
        <f>LEN(tblPassengerNames[[#This Row],[InParenthesesCleaned]]) - LEN(SUBSTITUTE(tblPassengerNames[[#This Row],[InParenthesesCleaned]], " ", ""))</f>
        <v>#VALUE!</v>
      </c>
      <c r="N38" t="e">
        <f>FIND("@", SUBSTITUTE(tblPassengerNames[[#This Row],[InParenthesesCleaned]], " ", "@", tblPassengerNames[[#This Row],[P_NSpaces]]))</f>
        <v>#VALUE!</v>
      </c>
      <c r="O38" t="e">
        <f>IF(tblPassengerNames[[#This Row],[P_NSpaces]] = 0,
    tblPassengerNames[[#This Row],[InParenthesesCleaned]],
    LEFT(tblPassengerNames[[#This Row],[InParenthesesCleaned]], tblPassengerNames[[#This Row],[P_FinalSpacePos]] - 1)
)</f>
        <v>#VALUE!</v>
      </c>
      <c r="P38" t="str">
        <f>IFERROR(tblPassengerNames[[#This Row],[P_Forenames]], tblPassengerNames[[#This Row],[ConvForenames]])</f>
        <v>Grace Scott</v>
      </c>
      <c r="Q38" t="str">
        <f>MID(tblPassengerNames[[#This Row],[Name]], tblPassengerNames[[#This Row],[CommaPos]] + 2, tblPassengerNames[[#This Row],[DotPos]] - tblPassengerNames[[#This Row],[CommaPos]] - 1)</f>
        <v>Miss.</v>
      </c>
      <c r="R38" t="str">
        <f>LEFT(tblPassengerNames[[#This Row],[Name]], tblPassengerNames[[#This Row],[CommaPos]] - 1)</f>
        <v>Bowen</v>
      </c>
    </row>
    <row r="39" spans="2:18" x14ac:dyDescent="0.25">
      <c r="B39" s="21">
        <v>37</v>
      </c>
      <c r="C39" s="21" t="s">
        <v>173</v>
      </c>
      <c r="D39" s="21" t="s">
        <v>136</v>
      </c>
      <c r="E39">
        <f>FIND(",", tblPassengerNames[[#This Row],[Name]])</f>
        <v>9</v>
      </c>
      <c r="F39">
        <f>FIND(".", tblPassengerNames[[#This Row],[Name]])</f>
        <v>15</v>
      </c>
      <c r="G39" t="e">
        <f>FIND("(", tblPassengerNames[[#This Row],[Name]])</f>
        <v>#VALUE!</v>
      </c>
      <c r="H39" t="e">
        <f>FIND(")", tblPassengerNames[[#This Row],[Name]])</f>
        <v>#VALUE!</v>
      </c>
      <c r="I39">
        <f>IFERROR(tblPassengerNames[[#This Row],[OpenParPos]] - 2, LEN(tblPassengerNames[[#This Row],[Name]]))</f>
        <v>27</v>
      </c>
      <c r="J39" t="str">
        <f>MID(tblPassengerNames[[#This Row],[Name]], tblPassengerNames[[#This Row],[DotPos]] + 2, tblPassengerNames[[#This Row],[EndOfConvFNPos]] - tblPassengerNames[[#This Row],[DotPos]] - 1)</f>
        <v>Elsie Edith</v>
      </c>
      <c r="K39" t="e">
        <f>MID(tblPassengerNames[[#This Row],[Name]], tblPassengerNames[[#This Row],[OpenParPos]] + 1, tblPassengerNames[[#This Row],[CloseParPos]] - tblPassengerNames[[#This Row],[OpenParPos]] - 1)</f>
        <v>#VALUE!</v>
      </c>
      <c r="L39" t="e">
        <f>IF(AND(LEFT(tblPassengerNames[[#This Row],[InParentheses]], 1) = "'", RIGHT(tblPassengerNames[[#This Row],[InParentheses]], 1) = "'"),
    #VALUE!,
    tblPassengerNames[[#This Row],[InParentheses]]
)</f>
        <v>#VALUE!</v>
      </c>
      <c r="M39" t="e">
        <f>LEN(tblPassengerNames[[#This Row],[InParenthesesCleaned]]) - LEN(SUBSTITUTE(tblPassengerNames[[#This Row],[InParenthesesCleaned]], " ", ""))</f>
        <v>#VALUE!</v>
      </c>
      <c r="N39" t="e">
        <f>FIND("@", SUBSTITUTE(tblPassengerNames[[#This Row],[InParenthesesCleaned]], " ", "@", tblPassengerNames[[#This Row],[P_NSpaces]]))</f>
        <v>#VALUE!</v>
      </c>
      <c r="O39" t="e">
        <f>IF(tblPassengerNames[[#This Row],[P_NSpaces]] = 0,
    tblPassengerNames[[#This Row],[InParenthesesCleaned]],
    LEFT(tblPassengerNames[[#This Row],[InParenthesesCleaned]], tblPassengerNames[[#This Row],[P_FinalSpacePos]] - 1)
)</f>
        <v>#VALUE!</v>
      </c>
      <c r="P39" t="str">
        <f>IFERROR(tblPassengerNames[[#This Row],[P_Forenames]], tblPassengerNames[[#This Row],[ConvForenames]])</f>
        <v>Elsie Edith</v>
      </c>
      <c r="Q39" t="str">
        <f>MID(tblPassengerNames[[#This Row],[Name]], tblPassengerNames[[#This Row],[CommaPos]] + 2, tblPassengerNames[[#This Row],[DotPos]] - tblPassengerNames[[#This Row],[CommaPos]] - 1)</f>
        <v>Miss.</v>
      </c>
      <c r="R39" t="str">
        <f>LEFT(tblPassengerNames[[#This Row],[Name]], tblPassengerNames[[#This Row],[CommaPos]] - 1)</f>
        <v>Bowerman</v>
      </c>
    </row>
    <row r="40" spans="2:18" x14ac:dyDescent="0.25">
      <c r="B40" s="21">
        <v>38</v>
      </c>
      <c r="C40" s="21" t="s">
        <v>174</v>
      </c>
      <c r="D40" s="21" t="s">
        <v>138</v>
      </c>
      <c r="E40">
        <f>FIND(",", tblPassengerNames[[#This Row],[Name]])</f>
        <v>8</v>
      </c>
      <c r="F40">
        <f>FIND(".", tblPassengerNames[[#This Row],[Name]])</f>
        <v>12</v>
      </c>
      <c r="G40">
        <f>FIND("(", tblPassengerNames[[#This Row],[Name]])</f>
        <v>21</v>
      </c>
      <c r="H40">
        <f>FIND(")", tblPassengerNames[[#This Row],[Name]])</f>
        <v>45</v>
      </c>
      <c r="I40">
        <f>IFERROR(tblPassengerNames[[#This Row],[OpenParPos]] - 2, LEN(tblPassengerNames[[#This Row],[Name]]))</f>
        <v>19</v>
      </c>
      <c r="J40" t="str">
        <f>MID(tblPassengerNames[[#This Row],[Name]], tblPassengerNames[[#This Row],[DotPos]] + 2, tblPassengerNames[[#This Row],[EndOfConvFNPos]] - tblPassengerNames[[#This Row],[DotPos]] - 1)</f>
        <v>George</v>
      </c>
      <c r="K40" t="str">
        <f>MID(tblPassengerNames[[#This Row],[Name]], tblPassengerNames[[#This Row],[OpenParPos]] + 1, tblPassengerNames[[#This Row],[CloseParPos]] - tblPassengerNames[[#This Row],[OpenParPos]] - 1)</f>
        <v>'George Arthur Brayton'</v>
      </c>
      <c r="L40" t="e">
        <f>IF(AND(LEFT(tblPassengerNames[[#This Row],[InParentheses]], 1) = "'", RIGHT(tblPassengerNames[[#This Row],[InParentheses]], 1) = "'"),
    #VALUE!,
    tblPassengerNames[[#This Row],[InParentheses]]
)</f>
        <v>#VALUE!</v>
      </c>
      <c r="M40" t="e">
        <f>LEN(tblPassengerNames[[#This Row],[InParenthesesCleaned]]) - LEN(SUBSTITUTE(tblPassengerNames[[#This Row],[InParenthesesCleaned]], " ", ""))</f>
        <v>#VALUE!</v>
      </c>
      <c r="N40" t="e">
        <f>FIND("@", SUBSTITUTE(tblPassengerNames[[#This Row],[InParenthesesCleaned]], " ", "@", tblPassengerNames[[#This Row],[P_NSpaces]]))</f>
        <v>#VALUE!</v>
      </c>
      <c r="O40" t="e">
        <f>IF(tblPassengerNames[[#This Row],[P_NSpaces]] = 0,
    tblPassengerNames[[#This Row],[InParenthesesCleaned]],
    LEFT(tblPassengerNames[[#This Row],[InParenthesesCleaned]], tblPassengerNames[[#This Row],[P_FinalSpacePos]] - 1)
)</f>
        <v>#VALUE!</v>
      </c>
      <c r="P40" t="str">
        <f>IFERROR(tblPassengerNames[[#This Row],[P_Forenames]], tblPassengerNames[[#This Row],[ConvForenames]])</f>
        <v>George</v>
      </c>
      <c r="Q40" t="str">
        <f>MID(tblPassengerNames[[#This Row],[Name]], tblPassengerNames[[#This Row],[CommaPos]] + 2, tblPassengerNames[[#This Row],[DotPos]] - tblPassengerNames[[#This Row],[CommaPos]] - 1)</f>
        <v>Mr.</v>
      </c>
      <c r="R40" t="str">
        <f>LEFT(tblPassengerNames[[#This Row],[Name]], tblPassengerNames[[#This Row],[CommaPos]] - 1)</f>
        <v>Bradley</v>
      </c>
    </row>
    <row r="41" spans="2:18" x14ac:dyDescent="0.25">
      <c r="B41" s="21">
        <v>39</v>
      </c>
      <c r="C41" s="21" t="s">
        <v>175</v>
      </c>
      <c r="D41" s="21" t="s">
        <v>138</v>
      </c>
      <c r="E41">
        <f>FIND(",", tblPassengerNames[[#This Row],[Name]])</f>
        <v>6</v>
      </c>
      <c r="F41">
        <f>FIND(".", tblPassengerNames[[#This Row],[Name]])</f>
        <v>10</v>
      </c>
      <c r="G41" t="e">
        <f>FIND("(", tblPassengerNames[[#This Row],[Name]])</f>
        <v>#VALUE!</v>
      </c>
      <c r="H41" t="e">
        <f>FIND(")", tblPassengerNames[[#This Row],[Name]])</f>
        <v>#VALUE!</v>
      </c>
      <c r="I41">
        <f>IFERROR(tblPassengerNames[[#This Row],[OpenParPos]] - 2, LEN(tblPassengerNames[[#This Row],[Name]]))</f>
        <v>23</v>
      </c>
      <c r="J41" t="str">
        <f>MID(tblPassengerNames[[#This Row],[Name]], tblPassengerNames[[#This Row],[DotPos]] + 2, tblPassengerNames[[#This Row],[EndOfConvFNPos]] - tblPassengerNames[[#This Row],[DotPos]] - 1)</f>
        <v>John Bertram</v>
      </c>
      <c r="K41" t="e">
        <f>MID(tblPassengerNames[[#This Row],[Name]], tblPassengerNames[[#This Row],[OpenParPos]] + 1, tblPassengerNames[[#This Row],[CloseParPos]] - tblPassengerNames[[#This Row],[OpenParPos]] - 1)</f>
        <v>#VALUE!</v>
      </c>
      <c r="L41" t="e">
        <f>IF(AND(LEFT(tblPassengerNames[[#This Row],[InParentheses]], 1) = "'", RIGHT(tblPassengerNames[[#This Row],[InParentheses]], 1) = "'"),
    #VALUE!,
    tblPassengerNames[[#This Row],[InParentheses]]
)</f>
        <v>#VALUE!</v>
      </c>
      <c r="M41" t="e">
        <f>LEN(tblPassengerNames[[#This Row],[InParenthesesCleaned]]) - LEN(SUBSTITUTE(tblPassengerNames[[#This Row],[InParenthesesCleaned]], " ", ""))</f>
        <v>#VALUE!</v>
      </c>
      <c r="N41" t="e">
        <f>FIND("@", SUBSTITUTE(tblPassengerNames[[#This Row],[InParenthesesCleaned]], " ", "@", tblPassengerNames[[#This Row],[P_NSpaces]]))</f>
        <v>#VALUE!</v>
      </c>
      <c r="O41" t="e">
        <f>IF(tblPassengerNames[[#This Row],[P_NSpaces]] = 0,
    tblPassengerNames[[#This Row],[InParenthesesCleaned]],
    LEFT(tblPassengerNames[[#This Row],[InParenthesesCleaned]], tblPassengerNames[[#This Row],[P_FinalSpacePos]] - 1)
)</f>
        <v>#VALUE!</v>
      </c>
      <c r="P41" t="str">
        <f>IFERROR(tblPassengerNames[[#This Row],[P_Forenames]], tblPassengerNames[[#This Row],[ConvForenames]])</f>
        <v>John Bertram</v>
      </c>
      <c r="Q41" t="str">
        <f>MID(tblPassengerNames[[#This Row],[Name]], tblPassengerNames[[#This Row],[CommaPos]] + 2, tblPassengerNames[[#This Row],[DotPos]] - tblPassengerNames[[#This Row],[CommaPos]] - 1)</f>
        <v>Mr.</v>
      </c>
      <c r="R41" t="str">
        <f>LEFT(tblPassengerNames[[#This Row],[Name]], tblPassengerNames[[#This Row],[CommaPos]] - 1)</f>
        <v>Brady</v>
      </c>
    </row>
    <row r="42" spans="2:18" x14ac:dyDescent="0.25">
      <c r="B42" s="21">
        <v>40</v>
      </c>
      <c r="C42" s="21" t="s">
        <v>176</v>
      </c>
      <c r="D42" s="21" t="s">
        <v>138</v>
      </c>
      <c r="E42">
        <f>FIND(",", tblPassengerNames[[#This Row],[Name]])</f>
        <v>9</v>
      </c>
      <c r="F42">
        <f>FIND(".", tblPassengerNames[[#This Row],[Name]])</f>
        <v>13</v>
      </c>
      <c r="G42" t="e">
        <f>FIND("(", tblPassengerNames[[#This Row],[Name]])</f>
        <v>#VALUE!</v>
      </c>
      <c r="H42" t="e">
        <f>FIND(")", tblPassengerNames[[#This Row],[Name]])</f>
        <v>#VALUE!</v>
      </c>
      <c r="I42">
        <f>IFERROR(tblPassengerNames[[#This Row],[OpenParPos]] - 2, LEN(tblPassengerNames[[#This Row],[Name]]))</f>
        <v>18</v>
      </c>
      <c r="J42" t="str">
        <f>MID(tblPassengerNames[[#This Row],[Name]], tblPassengerNames[[#This Row],[DotPos]] + 2, tblPassengerNames[[#This Row],[EndOfConvFNPos]] - tblPassengerNames[[#This Row],[DotPos]] - 1)</f>
        <v>Emil</v>
      </c>
      <c r="K42" t="e">
        <f>MID(tblPassengerNames[[#This Row],[Name]], tblPassengerNames[[#This Row],[OpenParPos]] + 1, tblPassengerNames[[#This Row],[CloseParPos]] - tblPassengerNames[[#This Row],[OpenParPos]] - 1)</f>
        <v>#VALUE!</v>
      </c>
      <c r="L42" t="e">
        <f>IF(AND(LEFT(tblPassengerNames[[#This Row],[InParentheses]], 1) = "'", RIGHT(tblPassengerNames[[#This Row],[InParentheses]], 1) = "'"),
    #VALUE!,
    tblPassengerNames[[#This Row],[InParentheses]]
)</f>
        <v>#VALUE!</v>
      </c>
      <c r="M42" t="e">
        <f>LEN(tblPassengerNames[[#This Row],[InParenthesesCleaned]]) - LEN(SUBSTITUTE(tblPassengerNames[[#This Row],[InParenthesesCleaned]], " ", ""))</f>
        <v>#VALUE!</v>
      </c>
      <c r="N42" t="e">
        <f>FIND("@", SUBSTITUTE(tblPassengerNames[[#This Row],[InParenthesesCleaned]], " ", "@", tblPassengerNames[[#This Row],[P_NSpaces]]))</f>
        <v>#VALUE!</v>
      </c>
      <c r="O42" t="e">
        <f>IF(tblPassengerNames[[#This Row],[P_NSpaces]] = 0,
    tblPassengerNames[[#This Row],[InParenthesesCleaned]],
    LEFT(tblPassengerNames[[#This Row],[InParenthesesCleaned]], tblPassengerNames[[#This Row],[P_FinalSpacePos]] - 1)
)</f>
        <v>#VALUE!</v>
      </c>
      <c r="P42" t="str">
        <f>IFERROR(tblPassengerNames[[#This Row],[P_Forenames]], tblPassengerNames[[#This Row],[ConvForenames]])</f>
        <v>Emil</v>
      </c>
      <c r="Q42" t="str">
        <f>MID(tblPassengerNames[[#This Row],[Name]], tblPassengerNames[[#This Row],[CommaPos]] + 2, tblPassengerNames[[#This Row],[DotPos]] - tblPassengerNames[[#This Row],[CommaPos]] - 1)</f>
        <v>Mr.</v>
      </c>
      <c r="R42" t="str">
        <f>LEFT(tblPassengerNames[[#This Row],[Name]], tblPassengerNames[[#This Row],[CommaPos]] - 1)</f>
        <v>Brandeis</v>
      </c>
    </row>
    <row r="43" spans="2:18" x14ac:dyDescent="0.25">
      <c r="B43" s="21">
        <v>41</v>
      </c>
      <c r="C43" s="21" t="s">
        <v>177</v>
      </c>
      <c r="D43" s="21" t="s">
        <v>138</v>
      </c>
      <c r="E43">
        <f>FIND(",", tblPassengerNames[[#This Row],[Name]])</f>
        <v>6</v>
      </c>
      <c r="F43">
        <f>FIND(".", tblPassengerNames[[#This Row],[Name]])</f>
        <v>10</v>
      </c>
      <c r="G43" t="e">
        <f>FIND("(", tblPassengerNames[[#This Row],[Name]])</f>
        <v>#VALUE!</v>
      </c>
      <c r="H43" t="e">
        <f>FIND(")", tblPassengerNames[[#This Row],[Name]])</f>
        <v>#VALUE!</v>
      </c>
      <c r="I43">
        <f>IFERROR(tblPassengerNames[[#This Row],[OpenParPos]] - 2, LEN(tblPassengerNames[[#This Row],[Name]]))</f>
        <v>25</v>
      </c>
      <c r="J43" t="str">
        <f>MID(tblPassengerNames[[#This Row],[Name]], tblPassengerNames[[#This Row],[DotPos]] + 2, tblPassengerNames[[#This Row],[EndOfConvFNPos]] - tblPassengerNames[[#This Row],[DotPos]] - 1)</f>
        <v>Arthur Jackson</v>
      </c>
      <c r="K43" t="e">
        <f>MID(tblPassengerNames[[#This Row],[Name]], tblPassengerNames[[#This Row],[OpenParPos]] + 1, tblPassengerNames[[#This Row],[CloseParPos]] - tblPassengerNames[[#This Row],[OpenParPos]] - 1)</f>
        <v>#VALUE!</v>
      </c>
      <c r="L43" t="e">
        <f>IF(AND(LEFT(tblPassengerNames[[#This Row],[InParentheses]], 1) = "'", RIGHT(tblPassengerNames[[#This Row],[InParentheses]], 1) = "'"),
    #VALUE!,
    tblPassengerNames[[#This Row],[InParentheses]]
)</f>
        <v>#VALUE!</v>
      </c>
      <c r="M43" t="e">
        <f>LEN(tblPassengerNames[[#This Row],[InParenthesesCleaned]]) - LEN(SUBSTITUTE(tblPassengerNames[[#This Row],[InParenthesesCleaned]], " ", ""))</f>
        <v>#VALUE!</v>
      </c>
      <c r="N43" t="e">
        <f>FIND("@", SUBSTITUTE(tblPassengerNames[[#This Row],[InParenthesesCleaned]], " ", "@", tblPassengerNames[[#This Row],[P_NSpaces]]))</f>
        <v>#VALUE!</v>
      </c>
      <c r="O43" t="e">
        <f>IF(tblPassengerNames[[#This Row],[P_NSpaces]] = 0,
    tblPassengerNames[[#This Row],[InParenthesesCleaned]],
    LEFT(tblPassengerNames[[#This Row],[InParenthesesCleaned]], tblPassengerNames[[#This Row],[P_FinalSpacePos]] - 1)
)</f>
        <v>#VALUE!</v>
      </c>
      <c r="P43" t="str">
        <f>IFERROR(tblPassengerNames[[#This Row],[P_Forenames]], tblPassengerNames[[#This Row],[ConvForenames]])</f>
        <v>Arthur Jackson</v>
      </c>
      <c r="Q43" t="str">
        <f>MID(tblPassengerNames[[#This Row],[Name]], tblPassengerNames[[#This Row],[CommaPos]] + 2, tblPassengerNames[[#This Row],[DotPos]] - tblPassengerNames[[#This Row],[CommaPos]] - 1)</f>
        <v>Dr.</v>
      </c>
      <c r="R43" t="str">
        <f>LEFT(tblPassengerNames[[#This Row],[Name]], tblPassengerNames[[#This Row],[CommaPos]] - 1)</f>
        <v>Brewe</v>
      </c>
    </row>
    <row r="44" spans="2:18" x14ac:dyDescent="0.25">
      <c r="B44" s="21">
        <v>42</v>
      </c>
      <c r="C44" s="21" t="s">
        <v>178</v>
      </c>
      <c r="D44" s="21" t="s">
        <v>136</v>
      </c>
      <c r="E44">
        <f>FIND(",", tblPassengerNames[[#This Row],[Name]])</f>
        <v>6</v>
      </c>
      <c r="F44">
        <f>FIND(".", tblPassengerNames[[#This Row],[Name]])</f>
        <v>11</v>
      </c>
      <c r="G44">
        <f>FIND("(", tblPassengerNames[[#This Row],[Name]])</f>
        <v>26</v>
      </c>
      <c r="H44">
        <f>FIND(")", tblPassengerNames[[#This Row],[Name]])</f>
        <v>41</v>
      </c>
      <c r="I44">
        <f>IFERROR(tblPassengerNames[[#This Row],[OpenParPos]] - 2, LEN(tblPassengerNames[[#This Row],[Name]]))</f>
        <v>24</v>
      </c>
      <c r="J44" t="str">
        <f>MID(tblPassengerNames[[#This Row],[Name]], tblPassengerNames[[#This Row],[DotPos]] + 2, tblPassengerNames[[#This Row],[EndOfConvFNPos]] - tblPassengerNames[[#This Row],[DotPos]] - 1)</f>
        <v>James Joseph</v>
      </c>
      <c r="K44" t="str">
        <f>MID(tblPassengerNames[[#This Row],[Name]], tblPassengerNames[[#This Row],[OpenParPos]] + 1, tblPassengerNames[[#This Row],[CloseParPos]] - tblPassengerNames[[#This Row],[OpenParPos]] - 1)</f>
        <v>Margaret Tobin</v>
      </c>
      <c r="L44" t="str">
        <f>IF(AND(LEFT(tblPassengerNames[[#This Row],[InParentheses]], 1) = "'", RIGHT(tblPassengerNames[[#This Row],[InParentheses]], 1) = "'"),
    #VALUE!,
    tblPassengerNames[[#This Row],[InParentheses]]
)</f>
        <v>Margaret Tobin</v>
      </c>
      <c r="M44">
        <f>LEN(tblPassengerNames[[#This Row],[InParenthesesCleaned]]) - LEN(SUBSTITUTE(tblPassengerNames[[#This Row],[InParenthesesCleaned]], " ", ""))</f>
        <v>1</v>
      </c>
      <c r="N44">
        <f>FIND("@", SUBSTITUTE(tblPassengerNames[[#This Row],[InParenthesesCleaned]], " ", "@", tblPassengerNames[[#This Row],[P_NSpaces]]))</f>
        <v>9</v>
      </c>
      <c r="O44" t="str">
        <f>IF(tblPassengerNames[[#This Row],[P_NSpaces]] = 0,
    tblPassengerNames[[#This Row],[InParenthesesCleaned]],
    LEFT(tblPassengerNames[[#This Row],[InParenthesesCleaned]], tblPassengerNames[[#This Row],[P_FinalSpacePos]] - 1)
)</f>
        <v>Margaret</v>
      </c>
      <c r="P44" t="str">
        <f>IFERROR(tblPassengerNames[[#This Row],[P_Forenames]], tblPassengerNames[[#This Row],[ConvForenames]])</f>
        <v>Margaret</v>
      </c>
      <c r="Q44" t="str">
        <f>MID(tblPassengerNames[[#This Row],[Name]], tblPassengerNames[[#This Row],[CommaPos]] + 2, tblPassengerNames[[#This Row],[DotPos]] - tblPassengerNames[[#This Row],[CommaPos]] - 1)</f>
        <v>Mrs.</v>
      </c>
      <c r="R44" t="str">
        <f>LEFT(tblPassengerNames[[#This Row],[Name]], tblPassengerNames[[#This Row],[CommaPos]] - 1)</f>
        <v>Brown</v>
      </c>
    </row>
    <row r="45" spans="2:18" x14ac:dyDescent="0.25">
      <c r="B45" s="21">
        <v>43</v>
      </c>
      <c r="C45" s="21" t="s">
        <v>179</v>
      </c>
      <c r="D45" s="21" t="s">
        <v>136</v>
      </c>
      <c r="E45">
        <f>FIND(",", tblPassengerNames[[#This Row],[Name]])</f>
        <v>6</v>
      </c>
      <c r="F45">
        <f>FIND(".", tblPassengerNames[[#This Row],[Name]])</f>
        <v>11</v>
      </c>
      <c r="G45">
        <f>FIND("(", tblPassengerNames[[#This Row],[Name]])</f>
        <v>25</v>
      </c>
      <c r="H45">
        <f>FIND(")", tblPassengerNames[[#This Row],[Name]])</f>
        <v>46</v>
      </c>
      <c r="I45">
        <f>IFERROR(tblPassengerNames[[#This Row],[OpenParPos]] - 2, LEN(tblPassengerNames[[#This Row],[Name]]))</f>
        <v>23</v>
      </c>
      <c r="J45" t="str">
        <f>MID(tblPassengerNames[[#This Row],[Name]], tblPassengerNames[[#This Row],[DotPos]] + 2, tblPassengerNames[[#This Row],[EndOfConvFNPos]] - tblPassengerNames[[#This Row],[DotPos]] - 1)</f>
        <v>John Murray</v>
      </c>
      <c r="K45" t="str">
        <f>MID(tblPassengerNames[[#This Row],[Name]], tblPassengerNames[[#This Row],[OpenParPos]] + 1, tblPassengerNames[[#This Row],[CloseParPos]] - tblPassengerNames[[#This Row],[OpenParPos]] - 1)</f>
        <v>Caroline Lane Lamson</v>
      </c>
      <c r="L45" t="str">
        <f>IF(AND(LEFT(tblPassengerNames[[#This Row],[InParentheses]], 1) = "'", RIGHT(tblPassengerNames[[#This Row],[InParentheses]], 1) = "'"),
    #VALUE!,
    tblPassengerNames[[#This Row],[InParentheses]]
)</f>
        <v>Caroline Lane Lamson</v>
      </c>
      <c r="M45">
        <f>LEN(tblPassengerNames[[#This Row],[InParenthesesCleaned]]) - LEN(SUBSTITUTE(tblPassengerNames[[#This Row],[InParenthesesCleaned]], " ", ""))</f>
        <v>2</v>
      </c>
      <c r="N45">
        <f>FIND("@", SUBSTITUTE(tblPassengerNames[[#This Row],[InParenthesesCleaned]], " ", "@", tblPassengerNames[[#This Row],[P_NSpaces]]))</f>
        <v>14</v>
      </c>
      <c r="O45" t="str">
        <f>IF(tblPassengerNames[[#This Row],[P_NSpaces]] = 0,
    tblPassengerNames[[#This Row],[InParenthesesCleaned]],
    LEFT(tblPassengerNames[[#This Row],[InParenthesesCleaned]], tblPassengerNames[[#This Row],[P_FinalSpacePos]] - 1)
)</f>
        <v>Caroline Lane</v>
      </c>
      <c r="P45" t="str">
        <f>IFERROR(tblPassengerNames[[#This Row],[P_Forenames]], tblPassengerNames[[#This Row],[ConvForenames]])</f>
        <v>Caroline Lane</v>
      </c>
      <c r="Q45" t="str">
        <f>MID(tblPassengerNames[[#This Row],[Name]], tblPassengerNames[[#This Row],[CommaPos]] + 2, tblPassengerNames[[#This Row],[DotPos]] - tblPassengerNames[[#This Row],[CommaPos]] - 1)</f>
        <v>Mrs.</v>
      </c>
      <c r="R45" t="str">
        <f>LEFT(tblPassengerNames[[#This Row],[Name]], tblPassengerNames[[#This Row],[CommaPos]] - 1)</f>
        <v>Brown</v>
      </c>
    </row>
    <row r="46" spans="2:18" x14ac:dyDescent="0.25">
      <c r="B46" s="21">
        <v>44</v>
      </c>
      <c r="C46" s="21" t="s">
        <v>180</v>
      </c>
      <c r="D46" s="21" t="s">
        <v>136</v>
      </c>
      <c r="E46">
        <f>FIND(",", tblPassengerNames[[#This Row],[Name]])</f>
        <v>9</v>
      </c>
      <c r="F46">
        <f>FIND(".", tblPassengerNames[[#This Row],[Name]])</f>
        <v>14</v>
      </c>
      <c r="G46">
        <f>FIND("(", tblPassengerNames[[#This Row],[Name]])</f>
        <v>31</v>
      </c>
      <c r="H46">
        <f>FIND(")", tblPassengerNames[[#This Row],[Name]])</f>
        <v>47</v>
      </c>
      <c r="I46">
        <f>IFERROR(tblPassengerNames[[#This Row],[OpenParPos]] - 2, LEN(tblPassengerNames[[#This Row],[Name]]))</f>
        <v>29</v>
      </c>
      <c r="J46" t="str">
        <f>MID(tblPassengerNames[[#This Row],[Name]], tblPassengerNames[[#This Row],[DotPos]] + 2, tblPassengerNames[[#This Row],[EndOfConvFNPos]] - tblPassengerNames[[#This Row],[DotPos]] - 1)</f>
        <v>William Robert</v>
      </c>
      <c r="K46" t="str">
        <f>MID(tblPassengerNames[[#This Row],[Name]], tblPassengerNames[[#This Row],[OpenParPos]] + 1, tblPassengerNames[[#This Row],[CloseParPos]] - tblPassengerNames[[#This Row],[OpenParPos]] - 1)</f>
        <v>Emma Eliza Ward</v>
      </c>
      <c r="L46" t="str">
        <f>IF(AND(LEFT(tblPassengerNames[[#This Row],[InParentheses]], 1) = "'", RIGHT(tblPassengerNames[[#This Row],[InParentheses]], 1) = "'"),
    #VALUE!,
    tblPassengerNames[[#This Row],[InParentheses]]
)</f>
        <v>Emma Eliza Ward</v>
      </c>
      <c r="M46">
        <f>LEN(tblPassengerNames[[#This Row],[InParenthesesCleaned]]) - LEN(SUBSTITUTE(tblPassengerNames[[#This Row],[InParenthesesCleaned]], " ", ""))</f>
        <v>2</v>
      </c>
      <c r="N46">
        <f>FIND("@", SUBSTITUTE(tblPassengerNames[[#This Row],[InParenthesesCleaned]], " ", "@", tblPassengerNames[[#This Row],[P_NSpaces]]))</f>
        <v>11</v>
      </c>
      <c r="O46" t="str">
        <f>IF(tblPassengerNames[[#This Row],[P_NSpaces]] = 0,
    tblPassengerNames[[#This Row],[InParenthesesCleaned]],
    LEFT(tblPassengerNames[[#This Row],[InParenthesesCleaned]], tblPassengerNames[[#This Row],[P_FinalSpacePos]] - 1)
)</f>
        <v>Emma Eliza</v>
      </c>
      <c r="P46" t="str">
        <f>IFERROR(tblPassengerNames[[#This Row],[P_Forenames]], tblPassengerNames[[#This Row],[ConvForenames]])</f>
        <v>Emma Eliza</v>
      </c>
      <c r="Q46" t="str">
        <f>MID(tblPassengerNames[[#This Row],[Name]], tblPassengerNames[[#This Row],[CommaPos]] + 2, tblPassengerNames[[#This Row],[DotPos]] - tblPassengerNames[[#This Row],[CommaPos]] - 1)</f>
        <v>Mrs.</v>
      </c>
      <c r="R46" t="str">
        <f>LEFT(tblPassengerNames[[#This Row],[Name]], tblPassengerNames[[#This Row],[CommaPos]] - 1)</f>
        <v>Bucknell</v>
      </c>
    </row>
    <row r="47" spans="2:18" x14ac:dyDescent="0.25">
      <c r="B47" s="21">
        <v>45</v>
      </c>
      <c r="C47" s="21" t="s">
        <v>181</v>
      </c>
      <c r="D47" s="21" t="s">
        <v>136</v>
      </c>
      <c r="E47">
        <f>FIND(",", tblPassengerNames[[#This Row],[Name]])</f>
        <v>6</v>
      </c>
      <c r="F47">
        <f>FIND(".", tblPassengerNames[[#This Row],[Name]])</f>
        <v>12</v>
      </c>
      <c r="G47" t="e">
        <f>FIND("(", tblPassengerNames[[#This Row],[Name]])</f>
        <v>#VALUE!</v>
      </c>
      <c r="H47" t="e">
        <f>FIND(")", tblPassengerNames[[#This Row],[Name]])</f>
        <v>#VALUE!</v>
      </c>
      <c r="I47">
        <f>IFERROR(tblPassengerNames[[#This Row],[OpenParPos]] - 2, LEN(tblPassengerNames[[#This Row],[Name]]))</f>
        <v>31</v>
      </c>
      <c r="J47" t="str">
        <f>MID(tblPassengerNames[[#This Row],[Name]], tblPassengerNames[[#This Row],[DotPos]] + 2, tblPassengerNames[[#This Row],[EndOfConvFNPos]] - tblPassengerNames[[#This Row],[DotPos]] - 1)</f>
        <v>Elizabeth Margaret</v>
      </c>
      <c r="K47" t="e">
        <f>MID(tblPassengerNames[[#This Row],[Name]], tblPassengerNames[[#This Row],[OpenParPos]] + 1, tblPassengerNames[[#This Row],[CloseParPos]] - tblPassengerNames[[#This Row],[OpenParPos]] - 1)</f>
        <v>#VALUE!</v>
      </c>
      <c r="L47" t="e">
        <f>IF(AND(LEFT(tblPassengerNames[[#This Row],[InParentheses]], 1) = "'", RIGHT(tblPassengerNames[[#This Row],[InParentheses]], 1) = "'"),
    #VALUE!,
    tblPassengerNames[[#This Row],[InParentheses]]
)</f>
        <v>#VALUE!</v>
      </c>
      <c r="M47" t="e">
        <f>LEN(tblPassengerNames[[#This Row],[InParenthesesCleaned]]) - LEN(SUBSTITUTE(tblPassengerNames[[#This Row],[InParenthesesCleaned]], " ", ""))</f>
        <v>#VALUE!</v>
      </c>
      <c r="N47" t="e">
        <f>FIND("@", SUBSTITUTE(tblPassengerNames[[#This Row],[InParenthesesCleaned]], " ", "@", tblPassengerNames[[#This Row],[P_NSpaces]]))</f>
        <v>#VALUE!</v>
      </c>
      <c r="O47" t="e">
        <f>IF(tblPassengerNames[[#This Row],[P_NSpaces]] = 0,
    tblPassengerNames[[#This Row],[InParenthesesCleaned]],
    LEFT(tblPassengerNames[[#This Row],[InParenthesesCleaned]], tblPassengerNames[[#This Row],[P_FinalSpacePos]] - 1)
)</f>
        <v>#VALUE!</v>
      </c>
      <c r="P47" t="str">
        <f>IFERROR(tblPassengerNames[[#This Row],[P_Forenames]], tblPassengerNames[[#This Row],[ConvForenames]])</f>
        <v>Elizabeth Margaret</v>
      </c>
      <c r="Q47" t="str">
        <f>MID(tblPassengerNames[[#This Row],[Name]], tblPassengerNames[[#This Row],[CommaPos]] + 2, tblPassengerNames[[#This Row],[DotPos]] - tblPassengerNames[[#This Row],[CommaPos]] - 1)</f>
        <v>Miss.</v>
      </c>
      <c r="R47" t="str">
        <f>LEFT(tblPassengerNames[[#This Row],[Name]], tblPassengerNames[[#This Row],[CommaPos]] - 1)</f>
        <v>Burns</v>
      </c>
    </row>
    <row r="48" spans="2:18" x14ac:dyDescent="0.25">
      <c r="B48" s="21">
        <v>46</v>
      </c>
      <c r="C48" s="21" t="s">
        <v>182</v>
      </c>
      <c r="D48" s="21" t="s">
        <v>138</v>
      </c>
      <c r="E48">
        <f>FIND(",", tblPassengerNames[[#This Row],[Name]])</f>
        <v>5</v>
      </c>
      <c r="F48">
        <f>FIND(".", tblPassengerNames[[#This Row],[Name]])</f>
        <v>12</v>
      </c>
      <c r="G48" t="e">
        <f>FIND("(", tblPassengerNames[[#This Row],[Name]])</f>
        <v>#VALUE!</v>
      </c>
      <c r="H48" t="e">
        <f>FIND(")", tblPassengerNames[[#This Row],[Name]])</f>
        <v>#VALUE!</v>
      </c>
      <c r="I48">
        <f>IFERROR(tblPassengerNames[[#This Row],[OpenParPos]] - 2, LEN(tblPassengerNames[[#This Row],[Name]]))</f>
        <v>33</v>
      </c>
      <c r="J48" t="str">
        <f>MID(tblPassengerNames[[#This Row],[Name]], tblPassengerNames[[#This Row],[DotPos]] + 2, tblPassengerNames[[#This Row],[EndOfConvFNPos]] - tblPassengerNames[[#This Row],[DotPos]] - 1)</f>
        <v>Archibald Willingham</v>
      </c>
      <c r="K48" t="e">
        <f>MID(tblPassengerNames[[#This Row],[Name]], tblPassengerNames[[#This Row],[OpenParPos]] + 1, tblPassengerNames[[#This Row],[CloseParPos]] - tblPassengerNames[[#This Row],[OpenParPos]] - 1)</f>
        <v>#VALUE!</v>
      </c>
      <c r="L48" t="e">
        <f>IF(AND(LEFT(tblPassengerNames[[#This Row],[InParentheses]], 1) = "'", RIGHT(tblPassengerNames[[#This Row],[InParentheses]], 1) = "'"),
    #VALUE!,
    tblPassengerNames[[#This Row],[InParentheses]]
)</f>
        <v>#VALUE!</v>
      </c>
      <c r="M48" t="e">
        <f>LEN(tblPassengerNames[[#This Row],[InParenthesesCleaned]]) - LEN(SUBSTITUTE(tblPassengerNames[[#This Row],[InParenthesesCleaned]], " ", ""))</f>
        <v>#VALUE!</v>
      </c>
      <c r="N48" t="e">
        <f>FIND("@", SUBSTITUTE(tblPassengerNames[[#This Row],[InParenthesesCleaned]], " ", "@", tblPassengerNames[[#This Row],[P_NSpaces]]))</f>
        <v>#VALUE!</v>
      </c>
      <c r="O48" t="e">
        <f>IF(tblPassengerNames[[#This Row],[P_NSpaces]] = 0,
    tblPassengerNames[[#This Row],[InParenthesesCleaned]],
    LEFT(tblPassengerNames[[#This Row],[InParenthesesCleaned]], tblPassengerNames[[#This Row],[P_FinalSpacePos]] - 1)
)</f>
        <v>#VALUE!</v>
      </c>
      <c r="P48" t="str">
        <f>IFERROR(tblPassengerNames[[#This Row],[P_Forenames]], tblPassengerNames[[#This Row],[ConvForenames]])</f>
        <v>Archibald Willingham</v>
      </c>
      <c r="Q48" t="str">
        <f>MID(tblPassengerNames[[#This Row],[Name]], tblPassengerNames[[#This Row],[CommaPos]] + 2, tblPassengerNames[[#This Row],[DotPos]] - tblPassengerNames[[#This Row],[CommaPos]] - 1)</f>
        <v>Major.</v>
      </c>
      <c r="R48" t="str">
        <f>LEFT(tblPassengerNames[[#This Row],[Name]], tblPassengerNames[[#This Row],[CommaPos]] - 1)</f>
        <v>Butt</v>
      </c>
    </row>
    <row r="49" spans="2:18" x14ac:dyDescent="0.25">
      <c r="B49" s="21">
        <v>47</v>
      </c>
      <c r="C49" s="21" t="s">
        <v>183</v>
      </c>
      <c r="D49" s="21" t="s">
        <v>138</v>
      </c>
      <c r="E49">
        <f>FIND(",", tblPassengerNames[[#This Row],[Name]])</f>
        <v>7</v>
      </c>
      <c r="F49">
        <f>FIND(".", tblPassengerNames[[#This Row],[Name]])</f>
        <v>11</v>
      </c>
      <c r="G49" t="e">
        <f>FIND("(", tblPassengerNames[[#This Row],[Name]])</f>
        <v>#VALUE!</v>
      </c>
      <c r="H49" t="e">
        <f>FIND(")", tblPassengerNames[[#This Row],[Name]])</f>
        <v>#VALUE!</v>
      </c>
      <c r="I49">
        <f>IFERROR(tblPassengerNames[[#This Row],[OpenParPos]] - 2, LEN(tblPassengerNames[[#This Row],[Name]]))</f>
        <v>21</v>
      </c>
      <c r="J49" t="str">
        <f>MID(tblPassengerNames[[#This Row],[Name]], tblPassengerNames[[#This Row],[DotPos]] + 2, tblPassengerNames[[#This Row],[EndOfConvFNPos]] - tblPassengerNames[[#This Row],[DotPos]] - 1)</f>
        <v>Alexander</v>
      </c>
      <c r="K49" t="e">
        <f>MID(tblPassengerNames[[#This Row],[Name]], tblPassengerNames[[#This Row],[OpenParPos]] + 1, tblPassengerNames[[#This Row],[CloseParPos]] - tblPassengerNames[[#This Row],[OpenParPos]] - 1)</f>
        <v>#VALUE!</v>
      </c>
      <c r="L49" t="e">
        <f>IF(AND(LEFT(tblPassengerNames[[#This Row],[InParentheses]], 1) = "'", RIGHT(tblPassengerNames[[#This Row],[InParentheses]], 1) = "'"),
    #VALUE!,
    tblPassengerNames[[#This Row],[InParentheses]]
)</f>
        <v>#VALUE!</v>
      </c>
      <c r="M49" t="e">
        <f>LEN(tblPassengerNames[[#This Row],[InParenthesesCleaned]]) - LEN(SUBSTITUTE(tblPassengerNames[[#This Row],[InParenthesesCleaned]], " ", ""))</f>
        <v>#VALUE!</v>
      </c>
      <c r="N49" t="e">
        <f>FIND("@", SUBSTITUTE(tblPassengerNames[[#This Row],[InParenthesesCleaned]], " ", "@", tblPassengerNames[[#This Row],[P_NSpaces]]))</f>
        <v>#VALUE!</v>
      </c>
      <c r="O49" t="e">
        <f>IF(tblPassengerNames[[#This Row],[P_NSpaces]] = 0,
    tblPassengerNames[[#This Row],[InParenthesesCleaned]],
    LEFT(tblPassengerNames[[#This Row],[InParenthesesCleaned]], tblPassengerNames[[#This Row],[P_FinalSpacePos]] - 1)
)</f>
        <v>#VALUE!</v>
      </c>
      <c r="P49" t="str">
        <f>IFERROR(tblPassengerNames[[#This Row],[P_Forenames]], tblPassengerNames[[#This Row],[ConvForenames]])</f>
        <v>Alexander</v>
      </c>
      <c r="Q49" t="str">
        <f>MID(tblPassengerNames[[#This Row],[Name]], tblPassengerNames[[#This Row],[CommaPos]] + 2, tblPassengerNames[[#This Row],[DotPos]] - tblPassengerNames[[#This Row],[CommaPos]] - 1)</f>
        <v>Mr.</v>
      </c>
      <c r="R49" t="str">
        <f>LEFT(tblPassengerNames[[#This Row],[Name]], tblPassengerNames[[#This Row],[CommaPos]] - 1)</f>
        <v>Cairns</v>
      </c>
    </row>
    <row r="50" spans="2:18" x14ac:dyDescent="0.25">
      <c r="B50" s="21">
        <v>48</v>
      </c>
      <c r="C50" s="21" t="s">
        <v>184</v>
      </c>
      <c r="D50" s="21" t="s">
        <v>138</v>
      </c>
      <c r="E50">
        <f>FIND(",", tblPassengerNames[[#This Row],[Name]])</f>
        <v>11</v>
      </c>
      <c r="F50">
        <f>FIND(".", tblPassengerNames[[#This Row],[Name]])</f>
        <v>15</v>
      </c>
      <c r="G50" t="e">
        <f>FIND("(", tblPassengerNames[[#This Row],[Name]])</f>
        <v>#VALUE!</v>
      </c>
      <c r="H50" t="e">
        <f>FIND(")", tblPassengerNames[[#This Row],[Name]])</f>
        <v>#VALUE!</v>
      </c>
      <c r="I50">
        <f>IFERROR(tblPassengerNames[[#This Row],[OpenParPos]] - 2, LEN(tblPassengerNames[[#This Row],[Name]]))</f>
        <v>33</v>
      </c>
      <c r="J50" t="str">
        <f>MID(tblPassengerNames[[#This Row],[Name]], tblPassengerNames[[#This Row],[DotPos]] + 2, tblPassengerNames[[#This Row],[EndOfConvFNPos]] - tblPassengerNames[[#This Row],[DotPos]] - 1)</f>
        <v>Edward Pennington</v>
      </c>
      <c r="K50" t="e">
        <f>MID(tblPassengerNames[[#This Row],[Name]], tblPassengerNames[[#This Row],[OpenParPos]] + 1, tblPassengerNames[[#This Row],[CloseParPos]] - tblPassengerNames[[#This Row],[OpenParPos]] - 1)</f>
        <v>#VALUE!</v>
      </c>
      <c r="L50" t="e">
        <f>IF(AND(LEFT(tblPassengerNames[[#This Row],[InParentheses]], 1) = "'", RIGHT(tblPassengerNames[[#This Row],[InParentheses]], 1) = "'"),
    #VALUE!,
    tblPassengerNames[[#This Row],[InParentheses]]
)</f>
        <v>#VALUE!</v>
      </c>
      <c r="M50" t="e">
        <f>LEN(tblPassengerNames[[#This Row],[InParenthesesCleaned]]) - LEN(SUBSTITUTE(tblPassengerNames[[#This Row],[InParenthesesCleaned]], " ", ""))</f>
        <v>#VALUE!</v>
      </c>
      <c r="N50" t="e">
        <f>FIND("@", SUBSTITUTE(tblPassengerNames[[#This Row],[InParenthesesCleaned]], " ", "@", tblPassengerNames[[#This Row],[P_NSpaces]]))</f>
        <v>#VALUE!</v>
      </c>
      <c r="O50" t="e">
        <f>IF(tblPassengerNames[[#This Row],[P_NSpaces]] = 0,
    tblPassengerNames[[#This Row],[InParenthesesCleaned]],
    LEFT(tblPassengerNames[[#This Row],[InParenthesesCleaned]], tblPassengerNames[[#This Row],[P_FinalSpacePos]] - 1)
)</f>
        <v>#VALUE!</v>
      </c>
      <c r="P50" t="str">
        <f>IFERROR(tblPassengerNames[[#This Row],[P_Forenames]], tblPassengerNames[[#This Row],[ConvForenames]])</f>
        <v>Edward Pennington</v>
      </c>
      <c r="Q50" t="str">
        <f>MID(tblPassengerNames[[#This Row],[Name]], tblPassengerNames[[#This Row],[CommaPos]] + 2, tblPassengerNames[[#This Row],[DotPos]] - tblPassengerNames[[#This Row],[CommaPos]] - 1)</f>
        <v>Mr.</v>
      </c>
      <c r="R50" t="str">
        <f>LEFT(tblPassengerNames[[#This Row],[Name]], tblPassengerNames[[#This Row],[CommaPos]] - 1)</f>
        <v>Calderhead</v>
      </c>
    </row>
    <row r="51" spans="2:18" x14ac:dyDescent="0.25">
      <c r="B51" s="21">
        <v>49</v>
      </c>
      <c r="C51" s="21" t="s">
        <v>185</v>
      </c>
      <c r="D51" s="21" t="s">
        <v>136</v>
      </c>
      <c r="E51">
        <f>FIND(",", tblPassengerNames[[#This Row],[Name]])</f>
        <v>7</v>
      </c>
      <c r="F51">
        <f>FIND(".", tblPassengerNames[[#This Row],[Name]])</f>
        <v>12</v>
      </c>
      <c r="G51">
        <f>FIND("(", tblPassengerNames[[#This Row],[Name]])</f>
        <v>21</v>
      </c>
      <c r="H51">
        <f>FIND(")", tblPassengerNames[[#This Row],[Name]])</f>
        <v>48</v>
      </c>
      <c r="I51">
        <f>IFERROR(tblPassengerNames[[#This Row],[OpenParPos]] - 2, LEN(tblPassengerNames[[#This Row],[Name]]))</f>
        <v>19</v>
      </c>
      <c r="J51" t="str">
        <f>MID(tblPassengerNames[[#This Row],[Name]], tblPassengerNames[[#This Row],[DotPos]] + 2, tblPassengerNames[[#This Row],[EndOfConvFNPos]] - tblPassengerNames[[#This Row],[DotPos]] - 1)</f>
        <v>Edward</v>
      </c>
      <c r="K51" t="str">
        <f>MID(tblPassengerNames[[#This Row],[Name]], tblPassengerNames[[#This Row],[OpenParPos]] + 1, tblPassengerNames[[#This Row],[CloseParPos]] - tblPassengerNames[[#This Row],[OpenParPos]] - 1)</f>
        <v>Helen Churchill Hungerford</v>
      </c>
      <c r="L51" t="str">
        <f>IF(AND(LEFT(tblPassengerNames[[#This Row],[InParentheses]], 1) = "'", RIGHT(tblPassengerNames[[#This Row],[InParentheses]], 1) = "'"),
    #VALUE!,
    tblPassengerNames[[#This Row],[InParentheses]]
)</f>
        <v>Helen Churchill Hungerford</v>
      </c>
      <c r="M51">
        <f>LEN(tblPassengerNames[[#This Row],[InParenthesesCleaned]]) - LEN(SUBSTITUTE(tblPassengerNames[[#This Row],[InParenthesesCleaned]], " ", ""))</f>
        <v>2</v>
      </c>
      <c r="N51">
        <f>FIND("@", SUBSTITUTE(tblPassengerNames[[#This Row],[InParenthesesCleaned]], " ", "@", tblPassengerNames[[#This Row],[P_NSpaces]]))</f>
        <v>16</v>
      </c>
      <c r="O51" t="str">
        <f>IF(tblPassengerNames[[#This Row],[P_NSpaces]] = 0,
    tblPassengerNames[[#This Row],[InParenthesesCleaned]],
    LEFT(tblPassengerNames[[#This Row],[InParenthesesCleaned]], tblPassengerNames[[#This Row],[P_FinalSpacePos]] - 1)
)</f>
        <v>Helen Churchill</v>
      </c>
      <c r="P51" t="str">
        <f>IFERROR(tblPassengerNames[[#This Row],[P_Forenames]], tblPassengerNames[[#This Row],[ConvForenames]])</f>
        <v>Helen Churchill</v>
      </c>
      <c r="Q51" t="str">
        <f>MID(tblPassengerNames[[#This Row],[Name]], tblPassengerNames[[#This Row],[CommaPos]] + 2, tblPassengerNames[[#This Row],[DotPos]] - tblPassengerNames[[#This Row],[CommaPos]] - 1)</f>
        <v>Mrs.</v>
      </c>
      <c r="R51" t="str">
        <f>LEFT(tblPassengerNames[[#This Row],[Name]], tblPassengerNames[[#This Row],[CommaPos]] - 1)</f>
        <v>Candee</v>
      </c>
    </row>
    <row r="52" spans="2:18" x14ac:dyDescent="0.25">
      <c r="B52" s="21">
        <v>50</v>
      </c>
      <c r="C52" s="21" t="s">
        <v>186</v>
      </c>
      <c r="D52" s="21" t="s">
        <v>138</v>
      </c>
      <c r="E52">
        <f>FIND(",", tblPassengerNames[[#This Row],[Name]])</f>
        <v>8</v>
      </c>
      <c r="F52">
        <f>FIND(".", tblPassengerNames[[#This Row],[Name]])</f>
        <v>12</v>
      </c>
      <c r="G52" t="e">
        <f>FIND("(", tblPassengerNames[[#This Row],[Name]])</f>
        <v>#VALUE!</v>
      </c>
      <c r="H52" t="e">
        <f>FIND(")", tblPassengerNames[[#This Row],[Name]])</f>
        <v>#VALUE!</v>
      </c>
      <c r="I52">
        <f>IFERROR(tblPassengerNames[[#This Row],[OpenParPos]] - 2, LEN(tblPassengerNames[[#This Row],[Name]]))</f>
        <v>34</v>
      </c>
      <c r="J52" t="str">
        <f>MID(tblPassengerNames[[#This Row],[Name]], tblPassengerNames[[#This Row],[DotPos]] + 2, tblPassengerNames[[#This Row],[EndOfConvFNPos]] - tblPassengerNames[[#This Row],[DotPos]] - 1)</f>
        <v>Thomas Drake Martinez</v>
      </c>
      <c r="K52" t="e">
        <f>MID(tblPassengerNames[[#This Row],[Name]], tblPassengerNames[[#This Row],[OpenParPos]] + 1, tblPassengerNames[[#This Row],[CloseParPos]] - tblPassengerNames[[#This Row],[OpenParPos]] - 1)</f>
        <v>#VALUE!</v>
      </c>
      <c r="L52" t="e">
        <f>IF(AND(LEFT(tblPassengerNames[[#This Row],[InParentheses]], 1) = "'", RIGHT(tblPassengerNames[[#This Row],[InParentheses]], 1) = "'"),
    #VALUE!,
    tblPassengerNames[[#This Row],[InParentheses]]
)</f>
        <v>#VALUE!</v>
      </c>
      <c r="M52" t="e">
        <f>LEN(tblPassengerNames[[#This Row],[InParenthesesCleaned]]) - LEN(SUBSTITUTE(tblPassengerNames[[#This Row],[InParenthesesCleaned]], " ", ""))</f>
        <v>#VALUE!</v>
      </c>
      <c r="N52" t="e">
        <f>FIND("@", SUBSTITUTE(tblPassengerNames[[#This Row],[InParenthesesCleaned]], " ", "@", tblPassengerNames[[#This Row],[P_NSpaces]]))</f>
        <v>#VALUE!</v>
      </c>
      <c r="O52" t="e">
        <f>IF(tblPassengerNames[[#This Row],[P_NSpaces]] = 0,
    tblPassengerNames[[#This Row],[InParenthesesCleaned]],
    LEFT(tblPassengerNames[[#This Row],[InParenthesesCleaned]], tblPassengerNames[[#This Row],[P_FinalSpacePos]] - 1)
)</f>
        <v>#VALUE!</v>
      </c>
      <c r="P52" t="str">
        <f>IFERROR(tblPassengerNames[[#This Row],[P_Forenames]], tblPassengerNames[[#This Row],[ConvForenames]])</f>
        <v>Thomas Drake Martinez</v>
      </c>
      <c r="Q52" t="str">
        <f>MID(tblPassengerNames[[#This Row],[Name]], tblPassengerNames[[#This Row],[CommaPos]] + 2, tblPassengerNames[[#This Row],[DotPos]] - tblPassengerNames[[#This Row],[CommaPos]] - 1)</f>
        <v>Mr.</v>
      </c>
      <c r="R52" t="str">
        <f>LEFT(tblPassengerNames[[#This Row],[Name]], tblPassengerNames[[#This Row],[CommaPos]] - 1)</f>
        <v>Cardeza</v>
      </c>
    </row>
    <row r="53" spans="2:18" x14ac:dyDescent="0.25">
      <c r="B53" s="21">
        <v>51</v>
      </c>
      <c r="C53" s="21" t="s">
        <v>187</v>
      </c>
      <c r="D53" s="21" t="s">
        <v>136</v>
      </c>
      <c r="E53">
        <f>FIND(",", tblPassengerNames[[#This Row],[Name]])</f>
        <v>8</v>
      </c>
      <c r="F53">
        <f>FIND(".", tblPassengerNames[[#This Row],[Name]])</f>
        <v>13</v>
      </c>
      <c r="G53">
        <f>FIND("(", tblPassengerNames[[#This Row],[Name]])</f>
        <v>40</v>
      </c>
      <c r="H53">
        <f>FIND(")", tblPassengerNames[[#This Row],[Name]])</f>
        <v>63</v>
      </c>
      <c r="I53">
        <f>IFERROR(tblPassengerNames[[#This Row],[OpenParPos]] - 2, LEN(tblPassengerNames[[#This Row],[Name]]))</f>
        <v>38</v>
      </c>
      <c r="J53" t="str">
        <f>MID(tblPassengerNames[[#This Row],[Name]], tblPassengerNames[[#This Row],[DotPos]] + 2, tblPassengerNames[[#This Row],[EndOfConvFNPos]] - tblPassengerNames[[#This Row],[DotPos]] - 1)</f>
        <v>James Warburton Martinez</v>
      </c>
      <c r="K53" t="str">
        <f>MID(tblPassengerNames[[#This Row],[Name]], tblPassengerNames[[#This Row],[OpenParPos]] + 1, tblPassengerNames[[#This Row],[CloseParPos]] - tblPassengerNames[[#This Row],[OpenParPos]] - 1)</f>
        <v>Charlotte Wardle Drake</v>
      </c>
      <c r="L53" t="str">
        <f>IF(AND(LEFT(tblPassengerNames[[#This Row],[InParentheses]], 1) = "'", RIGHT(tblPassengerNames[[#This Row],[InParentheses]], 1) = "'"),
    #VALUE!,
    tblPassengerNames[[#This Row],[InParentheses]]
)</f>
        <v>Charlotte Wardle Drake</v>
      </c>
      <c r="M53">
        <f>LEN(tblPassengerNames[[#This Row],[InParenthesesCleaned]]) - LEN(SUBSTITUTE(tblPassengerNames[[#This Row],[InParenthesesCleaned]], " ", ""))</f>
        <v>2</v>
      </c>
      <c r="N53">
        <f>FIND("@", SUBSTITUTE(tblPassengerNames[[#This Row],[InParenthesesCleaned]], " ", "@", tblPassengerNames[[#This Row],[P_NSpaces]]))</f>
        <v>17</v>
      </c>
      <c r="O53" t="str">
        <f>IF(tblPassengerNames[[#This Row],[P_NSpaces]] = 0,
    tblPassengerNames[[#This Row],[InParenthesesCleaned]],
    LEFT(tblPassengerNames[[#This Row],[InParenthesesCleaned]], tblPassengerNames[[#This Row],[P_FinalSpacePos]] - 1)
)</f>
        <v>Charlotte Wardle</v>
      </c>
      <c r="P53" t="str">
        <f>IFERROR(tblPassengerNames[[#This Row],[P_Forenames]], tblPassengerNames[[#This Row],[ConvForenames]])</f>
        <v>Charlotte Wardle</v>
      </c>
      <c r="Q53" t="str">
        <f>MID(tblPassengerNames[[#This Row],[Name]], tblPassengerNames[[#This Row],[CommaPos]] + 2, tblPassengerNames[[#This Row],[DotPos]] - tblPassengerNames[[#This Row],[CommaPos]] - 1)</f>
        <v>Mrs.</v>
      </c>
      <c r="R53" t="str">
        <f>LEFT(tblPassengerNames[[#This Row],[Name]], tblPassengerNames[[#This Row],[CommaPos]] - 1)</f>
        <v>Cardeza</v>
      </c>
    </row>
    <row r="54" spans="2:18" x14ac:dyDescent="0.25">
      <c r="B54" s="21">
        <v>52</v>
      </c>
      <c r="C54" s="21" t="s">
        <v>188</v>
      </c>
      <c r="D54" s="21" t="s">
        <v>138</v>
      </c>
      <c r="E54">
        <f>FIND(",", tblPassengerNames[[#This Row],[Name]])</f>
        <v>9</v>
      </c>
      <c r="F54">
        <f>FIND(".", tblPassengerNames[[#This Row],[Name]])</f>
        <v>13</v>
      </c>
      <c r="G54" t="e">
        <f>FIND("(", tblPassengerNames[[#This Row],[Name]])</f>
        <v>#VALUE!</v>
      </c>
      <c r="H54" t="e">
        <f>FIND(")", tblPassengerNames[[#This Row],[Name]])</f>
        <v>#VALUE!</v>
      </c>
      <c r="I54">
        <f>IFERROR(tblPassengerNames[[#This Row],[OpenParPos]] - 2, LEN(tblPassengerNames[[#This Row],[Name]]))</f>
        <v>24</v>
      </c>
      <c r="J54" t="str">
        <f>MID(tblPassengerNames[[#This Row],[Name]], tblPassengerNames[[#This Row],[DotPos]] + 2, tblPassengerNames[[#This Row],[EndOfConvFNPos]] - tblPassengerNames[[#This Row],[DotPos]] - 1)</f>
        <v>Frans Olof</v>
      </c>
      <c r="K54" t="e">
        <f>MID(tblPassengerNames[[#This Row],[Name]], tblPassengerNames[[#This Row],[OpenParPos]] + 1, tblPassengerNames[[#This Row],[CloseParPos]] - tblPassengerNames[[#This Row],[OpenParPos]] - 1)</f>
        <v>#VALUE!</v>
      </c>
      <c r="L54" t="e">
        <f>IF(AND(LEFT(tblPassengerNames[[#This Row],[InParentheses]], 1) = "'", RIGHT(tblPassengerNames[[#This Row],[InParentheses]], 1) = "'"),
    #VALUE!,
    tblPassengerNames[[#This Row],[InParentheses]]
)</f>
        <v>#VALUE!</v>
      </c>
      <c r="M54" t="e">
        <f>LEN(tblPassengerNames[[#This Row],[InParenthesesCleaned]]) - LEN(SUBSTITUTE(tblPassengerNames[[#This Row],[InParenthesesCleaned]], " ", ""))</f>
        <v>#VALUE!</v>
      </c>
      <c r="N54" t="e">
        <f>FIND("@", SUBSTITUTE(tblPassengerNames[[#This Row],[InParenthesesCleaned]], " ", "@", tblPassengerNames[[#This Row],[P_NSpaces]]))</f>
        <v>#VALUE!</v>
      </c>
      <c r="O54" t="e">
        <f>IF(tblPassengerNames[[#This Row],[P_NSpaces]] = 0,
    tblPassengerNames[[#This Row],[InParenthesesCleaned]],
    LEFT(tblPassengerNames[[#This Row],[InParenthesesCleaned]], tblPassengerNames[[#This Row],[P_FinalSpacePos]] - 1)
)</f>
        <v>#VALUE!</v>
      </c>
      <c r="P54" t="str">
        <f>IFERROR(tblPassengerNames[[#This Row],[P_Forenames]], tblPassengerNames[[#This Row],[ConvForenames]])</f>
        <v>Frans Olof</v>
      </c>
      <c r="Q54" t="str">
        <f>MID(tblPassengerNames[[#This Row],[Name]], tblPassengerNames[[#This Row],[CommaPos]] + 2, tblPassengerNames[[#This Row],[DotPos]] - tblPassengerNames[[#This Row],[CommaPos]] - 1)</f>
        <v>Mr.</v>
      </c>
      <c r="R54" t="str">
        <f>LEFT(tblPassengerNames[[#This Row],[Name]], tblPassengerNames[[#This Row],[CommaPos]] - 1)</f>
        <v>Carlsson</v>
      </c>
    </row>
    <row r="55" spans="2:18" x14ac:dyDescent="0.25">
      <c r="B55" s="21">
        <v>53</v>
      </c>
      <c r="C55" s="21" t="s">
        <v>189</v>
      </c>
      <c r="D55" s="21" t="s">
        <v>138</v>
      </c>
      <c r="E55">
        <f>FIND(",", tblPassengerNames[[#This Row],[Name]])</f>
        <v>7</v>
      </c>
      <c r="F55">
        <f>FIND(".", tblPassengerNames[[#This Row],[Name]])</f>
        <v>11</v>
      </c>
      <c r="G55" t="e">
        <f>FIND("(", tblPassengerNames[[#This Row],[Name]])</f>
        <v>#VALUE!</v>
      </c>
      <c r="H55" t="e">
        <f>FIND(")", tblPassengerNames[[#This Row],[Name]])</f>
        <v>#VALUE!</v>
      </c>
      <c r="I55">
        <f>IFERROR(tblPassengerNames[[#This Row],[OpenParPos]] - 2, LEN(tblPassengerNames[[#This Row],[Name]]))</f>
        <v>23</v>
      </c>
      <c r="J55" t="str">
        <f>MID(tblPassengerNames[[#This Row],[Name]], tblPassengerNames[[#This Row],[DotPos]] + 2, tblPassengerNames[[#This Row],[EndOfConvFNPos]] - tblPassengerNames[[#This Row],[DotPos]] - 1)</f>
        <v>Francisco M</v>
      </c>
      <c r="K55" t="e">
        <f>MID(tblPassengerNames[[#This Row],[Name]], tblPassengerNames[[#This Row],[OpenParPos]] + 1, tblPassengerNames[[#This Row],[CloseParPos]] - tblPassengerNames[[#This Row],[OpenParPos]] - 1)</f>
        <v>#VALUE!</v>
      </c>
      <c r="L55" t="e">
        <f>IF(AND(LEFT(tblPassengerNames[[#This Row],[InParentheses]], 1) = "'", RIGHT(tblPassengerNames[[#This Row],[InParentheses]], 1) = "'"),
    #VALUE!,
    tblPassengerNames[[#This Row],[InParentheses]]
)</f>
        <v>#VALUE!</v>
      </c>
      <c r="M55" t="e">
        <f>LEN(tblPassengerNames[[#This Row],[InParenthesesCleaned]]) - LEN(SUBSTITUTE(tblPassengerNames[[#This Row],[InParenthesesCleaned]], " ", ""))</f>
        <v>#VALUE!</v>
      </c>
      <c r="N55" t="e">
        <f>FIND("@", SUBSTITUTE(tblPassengerNames[[#This Row],[InParenthesesCleaned]], " ", "@", tblPassengerNames[[#This Row],[P_NSpaces]]))</f>
        <v>#VALUE!</v>
      </c>
      <c r="O55" t="e">
        <f>IF(tblPassengerNames[[#This Row],[P_NSpaces]] = 0,
    tblPassengerNames[[#This Row],[InParenthesesCleaned]],
    LEFT(tblPassengerNames[[#This Row],[InParenthesesCleaned]], tblPassengerNames[[#This Row],[P_FinalSpacePos]] - 1)
)</f>
        <v>#VALUE!</v>
      </c>
      <c r="P55" t="str">
        <f>IFERROR(tblPassengerNames[[#This Row],[P_Forenames]], tblPassengerNames[[#This Row],[ConvForenames]])</f>
        <v>Francisco M</v>
      </c>
      <c r="Q55" t="str">
        <f>MID(tblPassengerNames[[#This Row],[Name]], tblPassengerNames[[#This Row],[CommaPos]] + 2, tblPassengerNames[[#This Row],[DotPos]] - tblPassengerNames[[#This Row],[CommaPos]] - 1)</f>
        <v>Mr.</v>
      </c>
      <c r="R55" t="str">
        <f>LEFT(tblPassengerNames[[#This Row],[Name]], tblPassengerNames[[#This Row],[CommaPos]] - 1)</f>
        <v>Carrau</v>
      </c>
    </row>
    <row r="56" spans="2:18" x14ac:dyDescent="0.25">
      <c r="B56" s="21">
        <v>54</v>
      </c>
      <c r="C56" s="21" t="s">
        <v>190</v>
      </c>
      <c r="D56" s="21" t="s">
        <v>138</v>
      </c>
      <c r="E56">
        <f>FIND(",", tblPassengerNames[[#This Row],[Name]])</f>
        <v>7</v>
      </c>
      <c r="F56">
        <f>FIND(".", tblPassengerNames[[#This Row],[Name]])</f>
        <v>11</v>
      </c>
      <c r="G56" t="e">
        <f>FIND("(", tblPassengerNames[[#This Row],[Name]])</f>
        <v>#VALUE!</v>
      </c>
      <c r="H56" t="e">
        <f>FIND(")", tblPassengerNames[[#This Row],[Name]])</f>
        <v>#VALUE!</v>
      </c>
      <c r="I56">
        <f>IFERROR(tblPassengerNames[[#This Row],[OpenParPos]] - 2, LEN(tblPassengerNames[[#This Row],[Name]]))</f>
        <v>22</v>
      </c>
      <c r="J56" t="str">
        <f>MID(tblPassengerNames[[#This Row],[Name]], tblPassengerNames[[#This Row],[DotPos]] + 2, tblPassengerNames[[#This Row],[EndOfConvFNPos]] - tblPassengerNames[[#This Row],[DotPos]] - 1)</f>
        <v>Jose Pedro</v>
      </c>
      <c r="K56" t="e">
        <f>MID(tblPassengerNames[[#This Row],[Name]], tblPassengerNames[[#This Row],[OpenParPos]] + 1, tblPassengerNames[[#This Row],[CloseParPos]] - tblPassengerNames[[#This Row],[OpenParPos]] - 1)</f>
        <v>#VALUE!</v>
      </c>
      <c r="L56" t="e">
        <f>IF(AND(LEFT(tblPassengerNames[[#This Row],[InParentheses]], 1) = "'", RIGHT(tblPassengerNames[[#This Row],[InParentheses]], 1) = "'"),
    #VALUE!,
    tblPassengerNames[[#This Row],[InParentheses]]
)</f>
        <v>#VALUE!</v>
      </c>
      <c r="M56" t="e">
        <f>LEN(tblPassengerNames[[#This Row],[InParenthesesCleaned]]) - LEN(SUBSTITUTE(tblPassengerNames[[#This Row],[InParenthesesCleaned]], " ", ""))</f>
        <v>#VALUE!</v>
      </c>
      <c r="N56" t="e">
        <f>FIND("@", SUBSTITUTE(tblPassengerNames[[#This Row],[InParenthesesCleaned]], " ", "@", tblPassengerNames[[#This Row],[P_NSpaces]]))</f>
        <v>#VALUE!</v>
      </c>
      <c r="O56" t="e">
        <f>IF(tblPassengerNames[[#This Row],[P_NSpaces]] = 0,
    tblPassengerNames[[#This Row],[InParenthesesCleaned]],
    LEFT(tblPassengerNames[[#This Row],[InParenthesesCleaned]], tblPassengerNames[[#This Row],[P_FinalSpacePos]] - 1)
)</f>
        <v>#VALUE!</v>
      </c>
      <c r="P56" t="str">
        <f>IFERROR(tblPassengerNames[[#This Row],[P_Forenames]], tblPassengerNames[[#This Row],[ConvForenames]])</f>
        <v>Jose Pedro</v>
      </c>
      <c r="Q56" t="str">
        <f>MID(tblPassengerNames[[#This Row],[Name]], tblPassengerNames[[#This Row],[CommaPos]] + 2, tblPassengerNames[[#This Row],[DotPos]] - tblPassengerNames[[#This Row],[CommaPos]] - 1)</f>
        <v>Mr.</v>
      </c>
      <c r="R56" t="str">
        <f>LEFT(tblPassengerNames[[#This Row],[Name]], tblPassengerNames[[#This Row],[CommaPos]] - 1)</f>
        <v>Carrau</v>
      </c>
    </row>
    <row r="57" spans="2:18" x14ac:dyDescent="0.25">
      <c r="B57" s="21">
        <v>55</v>
      </c>
      <c r="C57" s="21" t="s">
        <v>191</v>
      </c>
      <c r="D57" s="21" t="s">
        <v>138</v>
      </c>
      <c r="E57">
        <f>FIND(",", tblPassengerNames[[#This Row],[Name]])</f>
        <v>7</v>
      </c>
      <c r="F57">
        <f>FIND(".", tblPassengerNames[[#This Row],[Name]])</f>
        <v>15</v>
      </c>
      <c r="G57" t="e">
        <f>FIND("(", tblPassengerNames[[#This Row],[Name]])</f>
        <v>#VALUE!</v>
      </c>
      <c r="H57" t="e">
        <f>FIND(")", tblPassengerNames[[#This Row],[Name]])</f>
        <v>#VALUE!</v>
      </c>
      <c r="I57">
        <f>IFERROR(tblPassengerNames[[#This Row],[OpenParPos]] - 2, LEN(tblPassengerNames[[#This Row],[Name]]))</f>
        <v>35</v>
      </c>
      <c r="J57" t="str">
        <f>MID(tblPassengerNames[[#This Row],[Name]], tblPassengerNames[[#This Row],[DotPos]] + 2, tblPassengerNames[[#This Row],[EndOfConvFNPos]] - tblPassengerNames[[#This Row],[DotPos]] - 1)</f>
        <v>William Thornton II</v>
      </c>
      <c r="K57" t="e">
        <f>MID(tblPassengerNames[[#This Row],[Name]], tblPassengerNames[[#This Row],[OpenParPos]] + 1, tblPassengerNames[[#This Row],[CloseParPos]] - tblPassengerNames[[#This Row],[OpenParPos]] - 1)</f>
        <v>#VALUE!</v>
      </c>
      <c r="L57" t="e">
        <f>IF(AND(LEFT(tblPassengerNames[[#This Row],[InParentheses]], 1) = "'", RIGHT(tblPassengerNames[[#This Row],[InParentheses]], 1) = "'"),
    #VALUE!,
    tblPassengerNames[[#This Row],[InParentheses]]
)</f>
        <v>#VALUE!</v>
      </c>
      <c r="M57" t="e">
        <f>LEN(tblPassengerNames[[#This Row],[InParenthesesCleaned]]) - LEN(SUBSTITUTE(tblPassengerNames[[#This Row],[InParenthesesCleaned]], " ", ""))</f>
        <v>#VALUE!</v>
      </c>
      <c r="N57" t="e">
        <f>FIND("@", SUBSTITUTE(tblPassengerNames[[#This Row],[InParenthesesCleaned]], " ", "@", tblPassengerNames[[#This Row],[P_NSpaces]]))</f>
        <v>#VALUE!</v>
      </c>
      <c r="O57" t="e">
        <f>IF(tblPassengerNames[[#This Row],[P_NSpaces]] = 0,
    tblPassengerNames[[#This Row],[InParenthesesCleaned]],
    LEFT(tblPassengerNames[[#This Row],[InParenthesesCleaned]], tblPassengerNames[[#This Row],[P_FinalSpacePos]] - 1)
)</f>
        <v>#VALUE!</v>
      </c>
      <c r="P57" t="str">
        <f>IFERROR(tblPassengerNames[[#This Row],[P_Forenames]], tblPassengerNames[[#This Row],[ConvForenames]])</f>
        <v>William Thornton II</v>
      </c>
      <c r="Q57" t="str">
        <f>MID(tblPassengerNames[[#This Row],[Name]], tblPassengerNames[[#This Row],[CommaPos]] + 2, tblPassengerNames[[#This Row],[DotPos]] - tblPassengerNames[[#This Row],[CommaPos]] - 1)</f>
        <v>Master.</v>
      </c>
      <c r="R57" t="str">
        <f>LEFT(tblPassengerNames[[#This Row],[Name]], tblPassengerNames[[#This Row],[CommaPos]] - 1)</f>
        <v>Carter</v>
      </c>
    </row>
    <row r="58" spans="2:18" x14ac:dyDescent="0.25">
      <c r="B58" s="21">
        <v>56</v>
      </c>
      <c r="C58" s="21" t="s">
        <v>192</v>
      </c>
      <c r="D58" s="21" t="s">
        <v>136</v>
      </c>
      <c r="E58">
        <f>FIND(",", tblPassengerNames[[#This Row],[Name]])</f>
        <v>7</v>
      </c>
      <c r="F58">
        <f>FIND(".", tblPassengerNames[[#This Row],[Name]])</f>
        <v>13</v>
      </c>
      <c r="G58" t="e">
        <f>FIND("(", tblPassengerNames[[#This Row],[Name]])</f>
        <v>#VALUE!</v>
      </c>
      <c r="H58" t="e">
        <f>FIND(")", tblPassengerNames[[#This Row],[Name]])</f>
        <v>#VALUE!</v>
      </c>
      <c r="I58">
        <f>IFERROR(tblPassengerNames[[#This Row],[OpenParPos]] - 2, LEN(tblPassengerNames[[#This Row],[Name]]))</f>
        <v>25</v>
      </c>
      <c r="J58" t="str">
        <f>MID(tblPassengerNames[[#This Row],[Name]], tblPassengerNames[[#This Row],[DotPos]] + 2, tblPassengerNames[[#This Row],[EndOfConvFNPos]] - tblPassengerNames[[#This Row],[DotPos]] - 1)</f>
        <v>Lucile Polk</v>
      </c>
      <c r="K58" t="e">
        <f>MID(tblPassengerNames[[#This Row],[Name]], tblPassengerNames[[#This Row],[OpenParPos]] + 1, tblPassengerNames[[#This Row],[CloseParPos]] - tblPassengerNames[[#This Row],[OpenParPos]] - 1)</f>
        <v>#VALUE!</v>
      </c>
      <c r="L58" t="e">
        <f>IF(AND(LEFT(tblPassengerNames[[#This Row],[InParentheses]], 1) = "'", RIGHT(tblPassengerNames[[#This Row],[InParentheses]], 1) = "'"),
    #VALUE!,
    tblPassengerNames[[#This Row],[InParentheses]]
)</f>
        <v>#VALUE!</v>
      </c>
      <c r="M58" t="e">
        <f>LEN(tblPassengerNames[[#This Row],[InParenthesesCleaned]]) - LEN(SUBSTITUTE(tblPassengerNames[[#This Row],[InParenthesesCleaned]], " ", ""))</f>
        <v>#VALUE!</v>
      </c>
      <c r="N58" t="e">
        <f>FIND("@", SUBSTITUTE(tblPassengerNames[[#This Row],[InParenthesesCleaned]], " ", "@", tblPassengerNames[[#This Row],[P_NSpaces]]))</f>
        <v>#VALUE!</v>
      </c>
      <c r="O58" t="e">
        <f>IF(tblPassengerNames[[#This Row],[P_NSpaces]] = 0,
    tblPassengerNames[[#This Row],[InParenthesesCleaned]],
    LEFT(tblPassengerNames[[#This Row],[InParenthesesCleaned]], tblPassengerNames[[#This Row],[P_FinalSpacePos]] - 1)
)</f>
        <v>#VALUE!</v>
      </c>
      <c r="P58" t="str">
        <f>IFERROR(tblPassengerNames[[#This Row],[P_Forenames]], tblPassengerNames[[#This Row],[ConvForenames]])</f>
        <v>Lucile Polk</v>
      </c>
      <c r="Q58" t="str">
        <f>MID(tblPassengerNames[[#This Row],[Name]], tblPassengerNames[[#This Row],[CommaPos]] + 2, tblPassengerNames[[#This Row],[DotPos]] - tblPassengerNames[[#This Row],[CommaPos]] - 1)</f>
        <v>Miss.</v>
      </c>
      <c r="R58" t="str">
        <f>LEFT(tblPassengerNames[[#This Row],[Name]], tblPassengerNames[[#This Row],[CommaPos]] - 1)</f>
        <v>Carter</v>
      </c>
    </row>
    <row r="59" spans="2:18" x14ac:dyDescent="0.25">
      <c r="B59" s="21">
        <v>57</v>
      </c>
      <c r="C59" s="21" t="s">
        <v>193</v>
      </c>
      <c r="D59" s="21" t="s">
        <v>138</v>
      </c>
      <c r="E59">
        <f>FIND(",", tblPassengerNames[[#This Row],[Name]])</f>
        <v>7</v>
      </c>
      <c r="F59">
        <f>FIND(".", tblPassengerNames[[#This Row],[Name]])</f>
        <v>11</v>
      </c>
      <c r="G59" t="e">
        <f>FIND("(", tblPassengerNames[[#This Row],[Name]])</f>
        <v>#VALUE!</v>
      </c>
      <c r="H59" t="e">
        <f>FIND(")", tblPassengerNames[[#This Row],[Name]])</f>
        <v>#VALUE!</v>
      </c>
      <c r="I59">
        <f>IFERROR(tblPassengerNames[[#This Row],[OpenParPos]] - 2, LEN(tblPassengerNames[[#This Row],[Name]]))</f>
        <v>26</v>
      </c>
      <c r="J59" t="str">
        <f>MID(tblPassengerNames[[#This Row],[Name]], tblPassengerNames[[#This Row],[DotPos]] + 2, tblPassengerNames[[#This Row],[EndOfConvFNPos]] - tblPassengerNames[[#This Row],[DotPos]] - 1)</f>
        <v>William Ernest</v>
      </c>
      <c r="K59" t="e">
        <f>MID(tblPassengerNames[[#This Row],[Name]], tblPassengerNames[[#This Row],[OpenParPos]] + 1, tblPassengerNames[[#This Row],[CloseParPos]] - tblPassengerNames[[#This Row],[OpenParPos]] - 1)</f>
        <v>#VALUE!</v>
      </c>
      <c r="L59" t="e">
        <f>IF(AND(LEFT(tblPassengerNames[[#This Row],[InParentheses]], 1) = "'", RIGHT(tblPassengerNames[[#This Row],[InParentheses]], 1) = "'"),
    #VALUE!,
    tblPassengerNames[[#This Row],[InParentheses]]
)</f>
        <v>#VALUE!</v>
      </c>
      <c r="M59" t="e">
        <f>LEN(tblPassengerNames[[#This Row],[InParenthesesCleaned]]) - LEN(SUBSTITUTE(tblPassengerNames[[#This Row],[InParenthesesCleaned]], " ", ""))</f>
        <v>#VALUE!</v>
      </c>
      <c r="N59" t="e">
        <f>FIND("@", SUBSTITUTE(tblPassengerNames[[#This Row],[InParenthesesCleaned]], " ", "@", tblPassengerNames[[#This Row],[P_NSpaces]]))</f>
        <v>#VALUE!</v>
      </c>
      <c r="O59" t="e">
        <f>IF(tblPassengerNames[[#This Row],[P_NSpaces]] = 0,
    tblPassengerNames[[#This Row],[InParenthesesCleaned]],
    LEFT(tblPassengerNames[[#This Row],[InParenthesesCleaned]], tblPassengerNames[[#This Row],[P_FinalSpacePos]] - 1)
)</f>
        <v>#VALUE!</v>
      </c>
      <c r="P59" t="str">
        <f>IFERROR(tblPassengerNames[[#This Row],[P_Forenames]], tblPassengerNames[[#This Row],[ConvForenames]])</f>
        <v>William Ernest</v>
      </c>
      <c r="Q59" t="str">
        <f>MID(tblPassengerNames[[#This Row],[Name]], tblPassengerNames[[#This Row],[CommaPos]] + 2, tblPassengerNames[[#This Row],[DotPos]] - tblPassengerNames[[#This Row],[CommaPos]] - 1)</f>
        <v>Mr.</v>
      </c>
      <c r="R59" t="str">
        <f>LEFT(tblPassengerNames[[#This Row],[Name]], tblPassengerNames[[#This Row],[CommaPos]] - 1)</f>
        <v>Carter</v>
      </c>
    </row>
    <row r="60" spans="2:18" x14ac:dyDescent="0.25">
      <c r="B60" s="21">
        <v>58</v>
      </c>
      <c r="C60" s="21" t="s">
        <v>194</v>
      </c>
      <c r="D60" s="21" t="s">
        <v>136</v>
      </c>
      <c r="E60">
        <f>FIND(",", tblPassengerNames[[#This Row],[Name]])</f>
        <v>7</v>
      </c>
      <c r="F60">
        <f>FIND(".", tblPassengerNames[[#This Row],[Name]])</f>
        <v>12</v>
      </c>
      <c r="G60">
        <f>FIND("(", tblPassengerNames[[#This Row],[Name]])</f>
        <v>29</v>
      </c>
      <c r="H60">
        <f>FIND(")", tblPassengerNames[[#This Row],[Name]])</f>
        <v>41</v>
      </c>
      <c r="I60">
        <f>IFERROR(tblPassengerNames[[#This Row],[OpenParPos]] - 2, LEN(tblPassengerNames[[#This Row],[Name]]))</f>
        <v>27</v>
      </c>
      <c r="J60" t="str">
        <f>MID(tblPassengerNames[[#This Row],[Name]], tblPassengerNames[[#This Row],[DotPos]] + 2, tblPassengerNames[[#This Row],[EndOfConvFNPos]] - tblPassengerNames[[#This Row],[DotPos]] - 1)</f>
        <v>William Ernest</v>
      </c>
      <c r="K60" t="str">
        <f>MID(tblPassengerNames[[#This Row],[Name]], tblPassengerNames[[#This Row],[OpenParPos]] + 1, tblPassengerNames[[#This Row],[CloseParPos]] - tblPassengerNames[[#This Row],[OpenParPos]] - 1)</f>
        <v>Lucile Polk</v>
      </c>
      <c r="L60" t="str">
        <f>IF(AND(LEFT(tblPassengerNames[[#This Row],[InParentheses]], 1) = "'", RIGHT(tblPassengerNames[[#This Row],[InParentheses]], 1) = "'"),
    #VALUE!,
    tblPassengerNames[[#This Row],[InParentheses]]
)</f>
        <v>Lucile Polk</v>
      </c>
      <c r="M60">
        <f>LEN(tblPassengerNames[[#This Row],[InParenthesesCleaned]]) - LEN(SUBSTITUTE(tblPassengerNames[[#This Row],[InParenthesesCleaned]], " ", ""))</f>
        <v>1</v>
      </c>
      <c r="N60">
        <f>FIND("@", SUBSTITUTE(tblPassengerNames[[#This Row],[InParenthesesCleaned]], " ", "@", tblPassengerNames[[#This Row],[P_NSpaces]]))</f>
        <v>7</v>
      </c>
      <c r="O60" t="str">
        <f>IF(tblPassengerNames[[#This Row],[P_NSpaces]] = 0,
    tblPassengerNames[[#This Row],[InParenthesesCleaned]],
    LEFT(tblPassengerNames[[#This Row],[InParenthesesCleaned]], tblPassengerNames[[#This Row],[P_FinalSpacePos]] - 1)
)</f>
        <v>Lucile</v>
      </c>
      <c r="P60" t="str">
        <f>IFERROR(tblPassengerNames[[#This Row],[P_Forenames]], tblPassengerNames[[#This Row],[ConvForenames]])</f>
        <v>Lucile</v>
      </c>
      <c r="Q60" t="str">
        <f>MID(tblPassengerNames[[#This Row],[Name]], tblPassengerNames[[#This Row],[CommaPos]] + 2, tblPassengerNames[[#This Row],[DotPos]] - tblPassengerNames[[#This Row],[CommaPos]] - 1)</f>
        <v>Mrs.</v>
      </c>
      <c r="R60" t="str">
        <f>LEFT(tblPassengerNames[[#This Row],[Name]], tblPassengerNames[[#This Row],[CommaPos]] - 1)</f>
        <v>Carter</v>
      </c>
    </row>
    <row r="61" spans="2:18" x14ac:dyDescent="0.25">
      <c r="B61" s="21">
        <v>59</v>
      </c>
      <c r="C61" s="21" t="s">
        <v>195</v>
      </c>
      <c r="D61" s="21" t="s">
        <v>138</v>
      </c>
      <c r="E61">
        <f>FIND(",", tblPassengerNames[[#This Row],[Name]])</f>
        <v>5</v>
      </c>
      <c r="F61">
        <f>FIND(".", tblPassengerNames[[#This Row],[Name]])</f>
        <v>9</v>
      </c>
      <c r="G61" t="e">
        <f>FIND("(", tblPassengerNames[[#This Row],[Name]])</f>
        <v>#VALUE!</v>
      </c>
      <c r="H61" t="e">
        <f>FIND(")", tblPassengerNames[[#This Row],[Name]])</f>
        <v>#VALUE!</v>
      </c>
      <c r="I61">
        <f>IFERROR(tblPassengerNames[[#This Row],[OpenParPos]] - 2, LEN(tblPassengerNames[[#This Row],[Name]]))</f>
        <v>22</v>
      </c>
      <c r="J61" t="str">
        <f>MID(tblPassengerNames[[#This Row],[Name]], tblPassengerNames[[#This Row],[DotPos]] + 2, tblPassengerNames[[#This Row],[EndOfConvFNPos]] - tblPassengerNames[[#This Row],[DotPos]] - 1)</f>
        <v>Howard Brown</v>
      </c>
      <c r="K61" t="e">
        <f>MID(tblPassengerNames[[#This Row],[Name]], tblPassengerNames[[#This Row],[OpenParPos]] + 1, tblPassengerNames[[#This Row],[CloseParPos]] - tblPassengerNames[[#This Row],[OpenParPos]] - 1)</f>
        <v>#VALUE!</v>
      </c>
      <c r="L61" t="e">
        <f>IF(AND(LEFT(tblPassengerNames[[#This Row],[InParentheses]], 1) = "'", RIGHT(tblPassengerNames[[#This Row],[InParentheses]], 1) = "'"),
    #VALUE!,
    tblPassengerNames[[#This Row],[InParentheses]]
)</f>
        <v>#VALUE!</v>
      </c>
      <c r="M61" t="e">
        <f>LEN(tblPassengerNames[[#This Row],[InParenthesesCleaned]]) - LEN(SUBSTITUTE(tblPassengerNames[[#This Row],[InParenthesesCleaned]], " ", ""))</f>
        <v>#VALUE!</v>
      </c>
      <c r="N61" t="e">
        <f>FIND("@", SUBSTITUTE(tblPassengerNames[[#This Row],[InParenthesesCleaned]], " ", "@", tblPassengerNames[[#This Row],[P_NSpaces]]))</f>
        <v>#VALUE!</v>
      </c>
      <c r="O61" t="e">
        <f>IF(tblPassengerNames[[#This Row],[P_NSpaces]] = 0,
    tblPassengerNames[[#This Row],[InParenthesesCleaned]],
    LEFT(tblPassengerNames[[#This Row],[InParenthesesCleaned]], tblPassengerNames[[#This Row],[P_FinalSpacePos]] - 1)
)</f>
        <v>#VALUE!</v>
      </c>
      <c r="P61" t="str">
        <f>IFERROR(tblPassengerNames[[#This Row],[P_Forenames]], tblPassengerNames[[#This Row],[ConvForenames]])</f>
        <v>Howard Brown</v>
      </c>
      <c r="Q61" t="str">
        <f>MID(tblPassengerNames[[#This Row],[Name]], tblPassengerNames[[#This Row],[CommaPos]] + 2, tblPassengerNames[[#This Row],[DotPos]] - tblPassengerNames[[#This Row],[CommaPos]] - 1)</f>
        <v>Mr.</v>
      </c>
      <c r="R61" t="str">
        <f>LEFT(tblPassengerNames[[#This Row],[Name]], tblPassengerNames[[#This Row],[CommaPos]] - 1)</f>
        <v>Case</v>
      </c>
    </row>
    <row r="62" spans="2:18" x14ac:dyDescent="0.25">
      <c r="B62" s="21">
        <v>60</v>
      </c>
      <c r="C62" s="21" t="s">
        <v>196</v>
      </c>
      <c r="D62" s="21" t="s">
        <v>136</v>
      </c>
      <c r="E62">
        <f>FIND(",", tblPassengerNames[[#This Row],[Name]])</f>
        <v>10</v>
      </c>
      <c r="F62">
        <f>FIND(".", tblPassengerNames[[#This Row],[Name]])</f>
        <v>15</v>
      </c>
      <c r="G62">
        <f>FIND("(", tblPassengerNames[[#This Row],[Name]])</f>
        <v>33</v>
      </c>
      <c r="H62">
        <f>FIND(")", tblPassengerNames[[#This Row],[Name]])</f>
        <v>59</v>
      </c>
      <c r="I62">
        <f>IFERROR(tblPassengerNames[[#This Row],[OpenParPos]] - 2, LEN(tblPassengerNames[[#This Row],[Name]]))</f>
        <v>31</v>
      </c>
      <c r="J62" t="str">
        <f>MID(tblPassengerNames[[#This Row],[Name]], tblPassengerNames[[#This Row],[DotPos]] + 2, tblPassengerNames[[#This Row],[EndOfConvFNPos]] - tblPassengerNames[[#This Row],[DotPos]] - 1)</f>
        <v>Henry Arthur Jr</v>
      </c>
      <c r="K62" t="str">
        <f>MID(tblPassengerNames[[#This Row],[Name]], tblPassengerNames[[#This Row],[OpenParPos]] + 1, tblPassengerNames[[#This Row],[CloseParPos]] - tblPassengerNames[[#This Row],[OpenParPos]] - 1)</f>
        <v>Eleanor Genevieve Fosdick</v>
      </c>
      <c r="L62" t="str">
        <f>IF(AND(LEFT(tblPassengerNames[[#This Row],[InParentheses]], 1) = "'", RIGHT(tblPassengerNames[[#This Row],[InParentheses]], 1) = "'"),
    #VALUE!,
    tblPassengerNames[[#This Row],[InParentheses]]
)</f>
        <v>Eleanor Genevieve Fosdick</v>
      </c>
      <c r="M62">
        <f>LEN(tblPassengerNames[[#This Row],[InParenthesesCleaned]]) - LEN(SUBSTITUTE(tblPassengerNames[[#This Row],[InParenthesesCleaned]], " ", ""))</f>
        <v>2</v>
      </c>
      <c r="N62">
        <f>FIND("@", SUBSTITUTE(tblPassengerNames[[#This Row],[InParenthesesCleaned]], " ", "@", tblPassengerNames[[#This Row],[P_NSpaces]]))</f>
        <v>18</v>
      </c>
      <c r="O62" t="str">
        <f>IF(tblPassengerNames[[#This Row],[P_NSpaces]] = 0,
    tblPassengerNames[[#This Row],[InParenthesesCleaned]],
    LEFT(tblPassengerNames[[#This Row],[InParenthesesCleaned]], tblPassengerNames[[#This Row],[P_FinalSpacePos]] - 1)
)</f>
        <v>Eleanor Genevieve</v>
      </c>
      <c r="P62" t="str">
        <f>IFERROR(tblPassengerNames[[#This Row],[P_Forenames]], tblPassengerNames[[#This Row],[ConvForenames]])</f>
        <v>Eleanor Genevieve</v>
      </c>
      <c r="Q62" t="str">
        <f>MID(tblPassengerNames[[#This Row],[Name]], tblPassengerNames[[#This Row],[CommaPos]] + 2, tblPassengerNames[[#This Row],[DotPos]] - tblPassengerNames[[#This Row],[CommaPos]] - 1)</f>
        <v>Mrs.</v>
      </c>
      <c r="R62" t="str">
        <f>LEFT(tblPassengerNames[[#This Row],[Name]], tblPassengerNames[[#This Row],[CommaPos]] - 1)</f>
        <v>Cassebeer</v>
      </c>
    </row>
    <row r="63" spans="2:18" x14ac:dyDescent="0.25">
      <c r="B63" s="21">
        <v>61</v>
      </c>
      <c r="C63" s="21" t="s">
        <v>197</v>
      </c>
      <c r="D63" s="21" t="s">
        <v>138</v>
      </c>
      <c r="E63">
        <f>FIND(",", tblPassengerNames[[#This Row],[Name]])</f>
        <v>10</v>
      </c>
      <c r="F63">
        <f>FIND(".", tblPassengerNames[[#This Row],[Name]])</f>
        <v>14</v>
      </c>
      <c r="G63" t="e">
        <f>FIND("(", tblPassengerNames[[#This Row],[Name]])</f>
        <v>#VALUE!</v>
      </c>
      <c r="H63" t="e">
        <f>FIND(")", tblPassengerNames[[#This Row],[Name]])</f>
        <v>#VALUE!</v>
      </c>
      <c r="I63">
        <f>IFERROR(tblPassengerNames[[#This Row],[OpenParPos]] - 2, LEN(tblPassengerNames[[#This Row],[Name]]))</f>
        <v>29</v>
      </c>
      <c r="J63" t="str">
        <f>MID(tblPassengerNames[[#This Row],[Name]], tblPassengerNames[[#This Row],[DotPos]] + 2, tblPassengerNames[[#This Row],[EndOfConvFNPos]] - tblPassengerNames[[#This Row],[DotPos]] - 1)</f>
        <v>Tyrell William</v>
      </c>
      <c r="K63" t="e">
        <f>MID(tblPassengerNames[[#This Row],[Name]], tblPassengerNames[[#This Row],[OpenParPos]] + 1, tblPassengerNames[[#This Row],[CloseParPos]] - tblPassengerNames[[#This Row],[OpenParPos]] - 1)</f>
        <v>#VALUE!</v>
      </c>
      <c r="L63" t="e">
        <f>IF(AND(LEFT(tblPassengerNames[[#This Row],[InParentheses]], 1) = "'", RIGHT(tblPassengerNames[[#This Row],[InParentheses]], 1) = "'"),
    #VALUE!,
    tblPassengerNames[[#This Row],[InParentheses]]
)</f>
        <v>#VALUE!</v>
      </c>
      <c r="M63" t="e">
        <f>LEN(tblPassengerNames[[#This Row],[InParenthesesCleaned]]) - LEN(SUBSTITUTE(tblPassengerNames[[#This Row],[InParenthesesCleaned]], " ", ""))</f>
        <v>#VALUE!</v>
      </c>
      <c r="N63" t="e">
        <f>FIND("@", SUBSTITUTE(tblPassengerNames[[#This Row],[InParenthesesCleaned]], " ", "@", tblPassengerNames[[#This Row],[P_NSpaces]]))</f>
        <v>#VALUE!</v>
      </c>
      <c r="O63" t="e">
        <f>IF(tblPassengerNames[[#This Row],[P_NSpaces]] = 0,
    tblPassengerNames[[#This Row],[InParenthesesCleaned]],
    LEFT(tblPassengerNames[[#This Row],[InParenthesesCleaned]], tblPassengerNames[[#This Row],[P_FinalSpacePos]] - 1)
)</f>
        <v>#VALUE!</v>
      </c>
      <c r="P63" t="str">
        <f>IFERROR(tblPassengerNames[[#This Row],[P_Forenames]], tblPassengerNames[[#This Row],[ConvForenames]])</f>
        <v>Tyrell William</v>
      </c>
      <c r="Q63" t="str">
        <f>MID(tblPassengerNames[[#This Row],[Name]], tblPassengerNames[[#This Row],[CommaPos]] + 2, tblPassengerNames[[#This Row],[DotPos]] - tblPassengerNames[[#This Row],[CommaPos]] - 1)</f>
        <v>Mr.</v>
      </c>
      <c r="R63" t="str">
        <f>LEFT(tblPassengerNames[[#This Row],[Name]], tblPassengerNames[[#This Row],[CommaPos]] - 1)</f>
        <v>Cavendish</v>
      </c>
    </row>
    <row r="64" spans="2:18" x14ac:dyDescent="0.25">
      <c r="B64" s="21">
        <v>62</v>
      </c>
      <c r="C64" s="21" t="s">
        <v>198</v>
      </c>
      <c r="D64" s="21" t="s">
        <v>136</v>
      </c>
      <c r="E64">
        <f>FIND(",", tblPassengerNames[[#This Row],[Name]])</f>
        <v>10</v>
      </c>
      <c r="F64">
        <f>FIND(".", tblPassengerNames[[#This Row],[Name]])</f>
        <v>15</v>
      </c>
      <c r="G64">
        <f>FIND("(", tblPassengerNames[[#This Row],[Name]])</f>
        <v>32</v>
      </c>
      <c r="H64">
        <f>FIND(")", tblPassengerNames[[#This Row],[Name]])</f>
        <v>54</v>
      </c>
      <c r="I64">
        <f>IFERROR(tblPassengerNames[[#This Row],[OpenParPos]] - 2, LEN(tblPassengerNames[[#This Row],[Name]]))</f>
        <v>30</v>
      </c>
      <c r="J64" t="str">
        <f>MID(tblPassengerNames[[#This Row],[Name]], tblPassengerNames[[#This Row],[DotPos]] + 2, tblPassengerNames[[#This Row],[EndOfConvFNPos]] - tblPassengerNames[[#This Row],[DotPos]] - 1)</f>
        <v>Tyrell William</v>
      </c>
      <c r="K64" t="str">
        <f>MID(tblPassengerNames[[#This Row],[Name]], tblPassengerNames[[#This Row],[OpenParPos]] + 1, tblPassengerNames[[#This Row],[CloseParPos]] - tblPassengerNames[[#This Row],[OpenParPos]] - 1)</f>
        <v>Julia Florence Siegel</v>
      </c>
      <c r="L64" t="str">
        <f>IF(AND(LEFT(tblPassengerNames[[#This Row],[InParentheses]], 1) = "'", RIGHT(tblPassengerNames[[#This Row],[InParentheses]], 1) = "'"),
    #VALUE!,
    tblPassengerNames[[#This Row],[InParentheses]]
)</f>
        <v>Julia Florence Siegel</v>
      </c>
      <c r="M64">
        <f>LEN(tblPassengerNames[[#This Row],[InParenthesesCleaned]]) - LEN(SUBSTITUTE(tblPassengerNames[[#This Row],[InParenthesesCleaned]], " ", ""))</f>
        <v>2</v>
      </c>
      <c r="N64">
        <f>FIND("@", SUBSTITUTE(tblPassengerNames[[#This Row],[InParenthesesCleaned]], " ", "@", tblPassengerNames[[#This Row],[P_NSpaces]]))</f>
        <v>15</v>
      </c>
      <c r="O64" t="str">
        <f>IF(tblPassengerNames[[#This Row],[P_NSpaces]] = 0,
    tblPassengerNames[[#This Row],[InParenthesesCleaned]],
    LEFT(tblPassengerNames[[#This Row],[InParenthesesCleaned]], tblPassengerNames[[#This Row],[P_FinalSpacePos]] - 1)
)</f>
        <v>Julia Florence</v>
      </c>
      <c r="P64" t="str">
        <f>IFERROR(tblPassengerNames[[#This Row],[P_Forenames]], tblPassengerNames[[#This Row],[ConvForenames]])</f>
        <v>Julia Florence</v>
      </c>
      <c r="Q64" t="str">
        <f>MID(tblPassengerNames[[#This Row],[Name]], tblPassengerNames[[#This Row],[CommaPos]] + 2, tblPassengerNames[[#This Row],[DotPos]] - tblPassengerNames[[#This Row],[CommaPos]] - 1)</f>
        <v>Mrs.</v>
      </c>
      <c r="R64" t="str">
        <f>LEFT(tblPassengerNames[[#This Row],[Name]], tblPassengerNames[[#This Row],[CommaPos]] - 1)</f>
        <v>Cavendish</v>
      </c>
    </row>
    <row r="65" spans="2:18" x14ac:dyDescent="0.25">
      <c r="B65" s="21">
        <v>63</v>
      </c>
      <c r="C65" s="21" t="s">
        <v>199</v>
      </c>
      <c r="D65" s="21" t="s">
        <v>138</v>
      </c>
      <c r="E65">
        <f>FIND(",", tblPassengerNames[[#This Row],[Name]])</f>
        <v>8</v>
      </c>
      <c r="F65">
        <f>FIND(".", tblPassengerNames[[#This Row],[Name]])</f>
        <v>12</v>
      </c>
      <c r="G65" t="e">
        <f>FIND("(", tblPassengerNames[[#This Row],[Name]])</f>
        <v>#VALUE!</v>
      </c>
      <c r="H65" t="e">
        <f>FIND(")", tblPassengerNames[[#This Row],[Name]])</f>
        <v>#VALUE!</v>
      </c>
      <c r="I65">
        <f>IFERROR(tblPassengerNames[[#This Row],[OpenParPos]] - 2, LEN(tblPassengerNames[[#This Row],[Name]]))</f>
        <v>27</v>
      </c>
      <c r="J65" t="str">
        <f>MID(tblPassengerNames[[#This Row],[Name]], tblPassengerNames[[#This Row],[DotPos]] + 2, tblPassengerNames[[#This Row],[EndOfConvFNPos]] - tblPassengerNames[[#This Row],[DotPos]] - 1)</f>
        <v>Herbert Fuller</v>
      </c>
      <c r="K65" t="e">
        <f>MID(tblPassengerNames[[#This Row],[Name]], tblPassengerNames[[#This Row],[OpenParPos]] + 1, tblPassengerNames[[#This Row],[CloseParPos]] - tblPassengerNames[[#This Row],[OpenParPos]] - 1)</f>
        <v>#VALUE!</v>
      </c>
      <c r="L65" t="e">
        <f>IF(AND(LEFT(tblPassengerNames[[#This Row],[InParentheses]], 1) = "'", RIGHT(tblPassengerNames[[#This Row],[InParentheses]], 1) = "'"),
    #VALUE!,
    tblPassengerNames[[#This Row],[InParentheses]]
)</f>
        <v>#VALUE!</v>
      </c>
      <c r="M65" t="e">
        <f>LEN(tblPassengerNames[[#This Row],[InParenthesesCleaned]]) - LEN(SUBSTITUTE(tblPassengerNames[[#This Row],[InParenthesesCleaned]], " ", ""))</f>
        <v>#VALUE!</v>
      </c>
      <c r="N65" t="e">
        <f>FIND("@", SUBSTITUTE(tblPassengerNames[[#This Row],[InParenthesesCleaned]], " ", "@", tblPassengerNames[[#This Row],[P_NSpaces]]))</f>
        <v>#VALUE!</v>
      </c>
      <c r="O65" t="e">
        <f>IF(tblPassengerNames[[#This Row],[P_NSpaces]] = 0,
    tblPassengerNames[[#This Row],[InParenthesesCleaned]],
    LEFT(tblPassengerNames[[#This Row],[InParenthesesCleaned]], tblPassengerNames[[#This Row],[P_FinalSpacePos]] - 1)
)</f>
        <v>#VALUE!</v>
      </c>
      <c r="P65" t="str">
        <f>IFERROR(tblPassengerNames[[#This Row],[P_Forenames]], tblPassengerNames[[#This Row],[ConvForenames]])</f>
        <v>Herbert Fuller</v>
      </c>
      <c r="Q65" t="str">
        <f>MID(tblPassengerNames[[#This Row],[Name]], tblPassengerNames[[#This Row],[CommaPos]] + 2, tblPassengerNames[[#This Row],[DotPos]] - tblPassengerNames[[#This Row],[CommaPos]] - 1)</f>
        <v>Mr.</v>
      </c>
      <c r="R65" t="str">
        <f>LEFT(tblPassengerNames[[#This Row],[Name]], tblPassengerNames[[#This Row],[CommaPos]] - 1)</f>
        <v>Chaffee</v>
      </c>
    </row>
    <row r="66" spans="2:18" x14ac:dyDescent="0.25">
      <c r="B66" s="21">
        <v>64</v>
      </c>
      <c r="C66" s="21" t="s">
        <v>200</v>
      </c>
      <c r="D66" s="21" t="s">
        <v>136</v>
      </c>
      <c r="E66">
        <f>FIND(",", tblPassengerNames[[#This Row],[Name]])</f>
        <v>8</v>
      </c>
      <c r="F66">
        <f>FIND(".", tblPassengerNames[[#This Row],[Name]])</f>
        <v>13</v>
      </c>
      <c r="G66">
        <f>FIND("(", tblPassengerNames[[#This Row],[Name]])</f>
        <v>30</v>
      </c>
      <c r="H66">
        <f>FIND(")", tblPassengerNames[[#This Row],[Name]])</f>
        <v>55</v>
      </c>
      <c r="I66">
        <f>IFERROR(tblPassengerNames[[#This Row],[OpenParPos]] - 2, LEN(tblPassengerNames[[#This Row],[Name]]))</f>
        <v>28</v>
      </c>
      <c r="J66" t="str">
        <f>MID(tblPassengerNames[[#This Row],[Name]], tblPassengerNames[[#This Row],[DotPos]] + 2, tblPassengerNames[[#This Row],[EndOfConvFNPos]] - tblPassengerNames[[#This Row],[DotPos]] - 1)</f>
        <v>Herbert Fuller</v>
      </c>
      <c r="K66" t="str">
        <f>MID(tblPassengerNames[[#This Row],[Name]], tblPassengerNames[[#This Row],[OpenParPos]] + 1, tblPassengerNames[[#This Row],[CloseParPos]] - tblPassengerNames[[#This Row],[OpenParPos]] - 1)</f>
        <v>Carrie Constance Toogood</v>
      </c>
      <c r="L66" t="str">
        <f>IF(AND(LEFT(tblPassengerNames[[#This Row],[InParentheses]], 1) = "'", RIGHT(tblPassengerNames[[#This Row],[InParentheses]], 1) = "'"),
    #VALUE!,
    tblPassengerNames[[#This Row],[InParentheses]]
)</f>
        <v>Carrie Constance Toogood</v>
      </c>
      <c r="M66">
        <f>LEN(tblPassengerNames[[#This Row],[InParenthesesCleaned]]) - LEN(SUBSTITUTE(tblPassengerNames[[#This Row],[InParenthesesCleaned]], " ", ""))</f>
        <v>2</v>
      </c>
      <c r="N66">
        <f>FIND("@", SUBSTITUTE(tblPassengerNames[[#This Row],[InParenthesesCleaned]], " ", "@", tblPassengerNames[[#This Row],[P_NSpaces]]))</f>
        <v>17</v>
      </c>
      <c r="O66" t="str">
        <f>IF(tblPassengerNames[[#This Row],[P_NSpaces]] = 0,
    tblPassengerNames[[#This Row],[InParenthesesCleaned]],
    LEFT(tblPassengerNames[[#This Row],[InParenthesesCleaned]], tblPassengerNames[[#This Row],[P_FinalSpacePos]] - 1)
)</f>
        <v>Carrie Constance</v>
      </c>
      <c r="P66" t="str">
        <f>IFERROR(tblPassengerNames[[#This Row],[P_Forenames]], tblPassengerNames[[#This Row],[ConvForenames]])</f>
        <v>Carrie Constance</v>
      </c>
      <c r="Q66" t="str">
        <f>MID(tblPassengerNames[[#This Row],[Name]], tblPassengerNames[[#This Row],[CommaPos]] + 2, tblPassengerNames[[#This Row],[DotPos]] - tblPassengerNames[[#This Row],[CommaPos]] - 1)</f>
        <v>Mrs.</v>
      </c>
      <c r="R66" t="str">
        <f>LEFT(tblPassengerNames[[#This Row],[Name]], tblPassengerNames[[#This Row],[CommaPos]] - 1)</f>
        <v>Chaffee</v>
      </c>
    </row>
    <row r="67" spans="2:18" x14ac:dyDescent="0.25">
      <c r="B67" s="21">
        <v>65</v>
      </c>
      <c r="C67" s="21" t="s">
        <v>201</v>
      </c>
      <c r="D67" s="21" t="s">
        <v>138</v>
      </c>
      <c r="E67">
        <f>FIND(",", tblPassengerNames[[#This Row],[Name]])</f>
        <v>9</v>
      </c>
      <c r="F67">
        <f>FIND(".", tblPassengerNames[[#This Row],[Name]])</f>
        <v>13</v>
      </c>
      <c r="G67" t="e">
        <f>FIND("(", tblPassengerNames[[#This Row],[Name]])</f>
        <v>#VALUE!</v>
      </c>
      <c r="H67" t="e">
        <f>FIND(")", tblPassengerNames[[#This Row],[Name]])</f>
        <v>#VALUE!</v>
      </c>
      <c r="I67">
        <f>IFERROR(tblPassengerNames[[#This Row],[OpenParPos]] - 2, LEN(tblPassengerNames[[#This Row],[Name]]))</f>
        <v>29</v>
      </c>
      <c r="J67" t="str">
        <f>MID(tblPassengerNames[[#This Row],[Name]], tblPassengerNames[[#This Row],[DotPos]] + 2, tblPassengerNames[[#This Row],[EndOfConvFNPos]] - tblPassengerNames[[#This Row],[DotPos]] - 1)</f>
        <v>Norman Campbell</v>
      </c>
      <c r="K67" t="e">
        <f>MID(tblPassengerNames[[#This Row],[Name]], tblPassengerNames[[#This Row],[OpenParPos]] + 1, tblPassengerNames[[#This Row],[CloseParPos]] - tblPassengerNames[[#This Row],[OpenParPos]] - 1)</f>
        <v>#VALUE!</v>
      </c>
      <c r="L67" t="e">
        <f>IF(AND(LEFT(tblPassengerNames[[#This Row],[InParentheses]], 1) = "'", RIGHT(tblPassengerNames[[#This Row],[InParentheses]], 1) = "'"),
    #VALUE!,
    tblPassengerNames[[#This Row],[InParentheses]]
)</f>
        <v>#VALUE!</v>
      </c>
      <c r="M67" t="e">
        <f>LEN(tblPassengerNames[[#This Row],[InParenthesesCleaned]]) - LEN(SUBSTITUTE(tblPassengerNames[[#This Row],[InParenthesesCleaned]], " ", ""))</f>
        <v>#VALUE!</v>
      </c>
      <c r="N67" t="e">
        <f>FIND("@", SUBSTITUTE(tblPassengerNames[[#This Row],[InParenthesesCleaned]], " ", "@", tblPassengerNames[[#This Row],[P_NSpaces]]))</f>
        <v>#VALUE!</v>
      </c>
      <c r="O67" t="e">
        <f>IF(tblPassengerNames[[#This Row],[P_NSpaces]] = 0,
    tblPassengerNames[[#This Row],[InParenthesesCleaned]],
    LEFT(tblPassengerNames[[#This Row],[InParenthesesCleaned]], tblPassengerNames[[#This Row],[P_FinalSpacePos]] - 1)
)</f>
        <v>#VALUE!</v>
      </c>
      <c r="P67" t="str">
        <f>IFERROR(tblPassengerNames[[#This Row],[P_Forenames]], tblPassengerNames[[#This Row],[ConvForenames]])</f>
        <v>Norman Campbell</v>
      </c>
      <c r="Q67" t="str">
        <f>MID(tblPassengerNames[[#This Row],[Name]], tblPassengerNames[[#This Row],[CommaPos]] + 2, tblPassengerNames[[#This Row],[DotPos]] - tblPassengerNames[[#This Row],[CommaPos]] - 1)</f>
        <v>Mr.</v>
      </c>
      <c r="R67" t="str">
        <f>LEFT(tblPassengerNames[[#This Row],[Name]], tblPassengerNames[[#This Row],[CommaPos]] - 1)</f>
        <v>Chambers</v>
      </c>
    </row>
    <row r="68" spans="2:18" x14ac:dyDescent="0.25">
      <c r="B68" s="21">
        <v>66</v>
      </c>
      <c r="C68" s="21" t="s">
        <v>202</v>
      </c>
      <c r="D68" s="21" t="s">
        <v>136</v>
      </c>
      <c r="E68">
        <f>FIND(",", tblPassengerNames[[#This Row],[Name]])</f>
        <v>9</v>
      </c>
      <c r="F68">
        <f>FIND(".", tblPassengerNames[[#This Row],[Name]])</f>
        <v>14</v>
      </c>
      <c r="G68">
        <f>FIND("(", tblPassengerNames[[#This Row],[Name]])</f>
        <v>32</v>
      </c>
      <c r="H68">
        <f>FIND(")", tblPassengerNames[[#This Row],[Name]])</f>
        <v>46</v>
      </c>
      <c r="I68">
        <f>IFERROR(tblPassengerNames[[#This Row],[OpenParPos]] - 2, LEN(tblPassengerNames[[#This Row],[Name]]))</f>
        <v>30</v>
      </c>
      <c r="J68" t="str">
        <f>MID(tblPassengerNames[[#This Row],[Name]], tblPassengerNames[[#This Row],[DotPos]] + 2, tblPassengerNames[[#This Row],[EndOfConvFNPos]] - tblPassengerNames[[#This Row],[DotPos]] - 1)</f>
        <v>Norman Campbell</v>
      </c>
      <c r="K68" t="str">
        <f>MID(tblPassengerNames[[#This Row],[Name]], tblPassengerNames[[#This Row],[OpenParPos]] + 1, tblPassengerNames[[#This Row],[CloseParPos]] - tblPassengerNames[[#This Row],[OpenParPos]] - 1)</f>
        <v>Bertha Griggs</v>
      </c>
      <c r="L68" t="str">
        <f>IF(AND(LEFT(tblPassengerNames[[#This Row],[InParentheses]], 1) = "'", RIGHT(tblPassengerNames[[#This Row],[InParentheses]], 1) = "'"),
    #VALUE!,
    tblPassengerNames[[#This Row],[InParentheses]]
)</f>
        <v>Bertha Griggs</v>
      </c>
      <c r="M68">
        <f>LEN(tblPassengerNames[[#This Row],[InParenthesesCleaned]]) - LEN(SUBSTITUTE(tblPassengerNames[[#This Row],[InParenthesesCleaned]], " ", ""))</f>
        <v>1</v>
      </c>
      <c r="N68">
        <f>FIND("@", SUBSTITUTE(tblPassengerNames[[#This Row],[InParenthesesCleaned]], " ", "@", tblPassengerNames[[#This Row],[P_NSpaces]]))</f>
        <v>7</v>
      </c>
      <c r="O68" t="str">
        <f>IF(tblPassengerNames[[#This Row],[P_NSpaces]] = 0,
    tblPassengerNames[[#This Row],[InParenthesesCleaned]],
    LEFT(tblPassengerNames[[#This Row],[InParenthesesCleaned]], tblPassengerNames[[#This Row],[P_FinalSpacePos]] - 1)
)</f>
        <v>Bertha</v>
      </c>
      <c r="P68" t="str">
        <f>IFERROR(tblPassengerNames[[#This Row],[P_Forenames]], tblPassengerNames[[#This Row],[ConvForenames]])</f>
        <v>Bertha</v>
      </c>
      <c r="Q68" t="str">
        <f>MID(tblPassengerNames[[#This Row],[Name]], tblPassengerNames[[#This Row],[CommaPos]] + 2, tblPassengerNames[[#This Row],[DotPos]] - tblPassengerNames[[#This Row],[CommaPos]] - 1)</f>
        <v>Mrs.</v>
      </c>
      <c r="R68" t="str">
        <f>LEFT(tblPassengerNames[[#This Row],[Name]], tblPassengerNames[[#This Row],[CommaPos]] - 1)</f>
        <v>Chambers</v>
      </c>
    </row>
    <row r="69" spans="2:18" x14ac:dyDescent="0.25">
      <c r="B69" s="21">
        <v>67</v>
      </c>
      <c r="C69" s="21" t="s">
        <v>203</v>
      </c>
      <c r="D69" s="21" t="s">
        <v>136</v>
      </c>
      <c r="E69">
        <f>FIND(",", tblPassengerNames[[#This Row],[Name]])</f>
        <v>11</v>
      </c>
      <c r="F69">
        <f>FIND(".", tblPassengerNames[[#This Row],[Name]])</f>
        <v>17</v>
      </c>
      <c r="G69" t="e">
        <f>FIND("(", tblPassengerNames[[#This Row],[Name]])</f>
        <v>#VALUE!</v>
      </c>
      <c r="H69" t="e">
        <f>FIND(")", tblPassengerNames[[#This Row],[Name]])</f>
        <v>#VALUE!</v>
      </c>
      <c r="I69">
        <f>IFERROR(tblPassengerNames[[#This Row],[OpenParPos]] - 2, LEN(tblPassengerNames[[#This Row],[Name]]))</f>
        <v>27</v>
      </c>
      <c r="J69" t="str">
        <f>MID(tblPassengerNames[[#This Row],[Name]], tblPassengerNames[[#This Row],[DotPos]] + 2, tblPassengerNames[[#This Row],[EndOfConvFNPos]] - tblPassengerNames[[#This Row],[DotPos]] - 1)</f>
        <v>Victorine</v>
      </c>
      <c r="K69" t="e">
        <f>MID(tblPassengerNames[[#This Row],[Name]], tblPassengerNames[[#This Row],[OpenParPos]] + 1, tblPassengerNames[[#This Row],[CloseParPos]] - tblPassengerNames[[#This Row],[OpenParPos]] - 1)</f>
        <v>#VALUE!</v>
      </c>
      <c r="L69" t="e">
        <f>IF(AND(LEFT(tblPassengerNames[[#This Row],[InParentheses]], 1) = "'", RIGHT(tblPassengerNames[[#This Row],[InParentheses]], 1) = "'"),
    #VALUE!,
    tblPassengerNames[[#This Row],[InParentheses]]
)</f>
        <v>#VALUE!</v>
      </c>
      <c r="M69" t="e">
        <f>LEN(tblPassengerNames[[#This Row],[InParenthesesCleaned]]) - LEN(SUBSTITUTE(tblPassengerNames[[#This Row],[InParenthesesCleaned]], " ", ""))</f>
        <v>#VALUE!</v>
      </c>
      <c r="N69" t="e">
        <f>FIND("@", SUBSTITUTE(tblPassengerNames[[#This Row],[InParenthesesCleaned]], " ", "@", tblPassengerNames[[#This Row],[P_NSpaces]]))</f>
        <v>#VALUE!</v>
      </c>
      <c r="O69" t="e">
        <f>IF(tblPassengerNames[[#This Row],[P_NSpaces]] = 0,
    tblPassengerNames[[#This Row],[InParenthesesCleaned]],
    LEFT(tblPassengerNames[[#This Row],[InParenthesesCleaned]], tblPassengerNames[[#This Row],[P_FinalSpacePos]] - 1)
)</f>
        <v>#VALUE!</v>
      </c>
      <c r="P69" t="str">
        <f>IFERROR(tblPassengerNames[[#This Row],[P_Forenames]], tblPassengerNames[[#This Row],[ConvForenames]])</f>
        <v>Victorine</v>
      </c>
      <c r="Q69" t="str">
        <f>MID(tblPassengerNames[[#This Row],[Name]], tblPassengerNames[[#This Row],[CommaPos]] + 2, tblPassengerNames[[#This Row],[DotPos]] - tblPassengerNames[[#This Row],[CommaPos]] - 1)</f>
        <v>Miss.</v>
      </c>
      <c r="R69" t="str">
        <f>LEFT(tblPassengerNames[[#This Row],[Name]], tblPassengerNames[[#This Row],[CommaPos]] - 1)</f>
        <v>Chaudanson</v>
      </c>
    </row>
    <row r="70" spans="2:18" x14ac:dyDescent="0.25">
      <c r="B70" s="21">
        <v>68</v>
      </c>
      <c r="C70" s="21" t="s">
        <v>204</v>
      </c>
      <c r="D70" s="21" t="s">
        <v>136</v>
      </c>
      <c r="E70">
        <f>FIND(",", tblPassengerNames[[#This Row],[Name]])</f>
        <v>7</v>
      </c>
      <c r="F70">
        <f>FIND(".", tblPassengerNames[[#This Row],[Name]])</f>
        <v>13</v>
      </c>
      <c r="G70" t="e">
        <f>FIND("(", tblPassengerNames[[#This Row],[Name]])</f>
        <v>#VALUE!</v>
      </c>
      <c r="H70" t="e">
        <f>FIND(")", tblPassengerNames[[#This Row],[Name]])</f>
        <v>#VALUE!</v>
      </c>
      <c r="I70">
        <f>IFERROR(tblPassengerNames[[#This Row],[OpenParPos]] - 2, LEN(tblPassengerNames[[#This Row],[Name]]))</f>
        <v>20</v>
      </c>
      <c r="J70" t="str">
        <f>MID(tblPassengerNames[[#This Row],[Name]], tblPassengerNames[[#This Row],[DotPos]] + 2, tblPassengerNames[[#This Row],[EndOfConvFNPos]] - tblPassengerNames[[#This Row],[DotPos]] - 1)</f>
        <v>Gladys</v>
      </c>
      <c r="K70" t="e">
        <f>MID(tblPassengerNames[[#This Row],[Name]], tblPassengerNames[[#This Row],[OpenParPos]] + 1, tblPassengerNames[[#This Row],[CloseParPos]] - tblPassengerNames[[#This Row],[OpenParPos]] - 1)</f>
        <v>#VALUE!</v>
      </c>
      <c r="L70" t="e">
        <f>IF(AND(LEFT(tblPassengerNames[[#This Row],[InParentheses]], 1) = "'", RIGHT(tblPassengerNames[[#This Row],[InParentheses]], 1) = "'"),
    #VALUE!,
    tblPassengerNames[[#This Row],[InParentheses]]
)</f>
        <v>#VALUE!</v>
      </c>
      <c r="M70" t="e">
        <f>LEN(tblPassengerNames[[#This Row],[InParenthesesCleaned]]) - LEN(SUBSTITUTE(tblPassengerNames[[#This Row],[InParenthesesCleaned]], " ", ""))</f>
        <v>#VALUE!</v>
      </c>
      <c r="N70" t="e">
        <f>FIND("@", SUBSTITUTE(tblPassengerNames[[#This Row],[InParenthesesCleaned]], " ", "@", tblPassengerNames[[#This Row],[P_NSpaces]]))</f>
        <v>#VALUE!</v>
      </c>
      <c r="O70" t="e">
        <f>IF(tblPassengerNames[[#This Row],[P_NSpaces]] = 0,
    tblPassengerNames[[#This Row],[InParenthesesCleaned]],
    LEFT(tblPassengerNames[[#This Row],[InParenthesesCleaned]], tblPassengerNames[[#This Row],[P_FinalSpacePos]] - 1)
)</f>
        <v>#VALUE!</v>
      </c>
      <c r="P70" t="str">
        <f>IFERROR(tblPassengerNames[[#This Row],[P_Forenames]], tblPassengerNames[[#This Row],[ConvForenames]])</f>
        <v>Gladys</v>
      </c>
      <c r="Q70" t="str">
        <f>MID(tblPassengerNames[[#This Row],[Name]], tblPassengerNames[[#This Row],[CommaPos]] + 2, tblPassengerNames[[#This Row],[DotPos]] - tblPassengerNames[[#This Row],[CommaPos]] - 1)</f>
        <v>Miss.</v>
      </c>
      <c r="R70" t="str">
        <f>LEFT(tblPassengerNames[[#This Row],[Name]], tblPassengerNames[[#This Row],[CommaPos]] - 1)</f>
        <v>Cherry</v>
      </c>
    </row>
    <row r="71" spans="2:18" x14ac:dyDescent="0.25">
      <c r="B71" s="21">
        <v>69</v>
      </c>
      <c r="C71" s="21" t="s">
        <v>205</v>
      </c>
      <c r="D71" s="21" t="s">
        <v>138</v>
      </c>
      <c r="E71">
        <f>FIND(",", tblPassengerNames[[#This Row],[Name]])</f>
        <v>7</v>
      </c>
      <c r="F71">
        <f>FIND(".", tblPassengerNames[[#This Row],[Name]])</f>
        <v>11</v>
      </c>
      <c r="G71" t="e">
        <f>FIND("(", tblPassengerNames[[#This Row],[Name]])</f>
        <v>#VALUE!</v>
      </c>
      <c r="H71" t="e">
        <f>FIND(")", tblPassengerNames[[#This Row],[Name]])</f>
        <v>#VALUE!</v>
      </c>
      <c r="I71">
        <f>IFERROR(tblPassengerNames[[#This Row],[OpenParPos]] - 2, LEN(tblPassengerNames[[#This Row],[Name]]))</f>
        <v>24</v>
      </c>
      <c r="J71" t="str">
        <f>MID(tblPassengerNames[[#This Row],[Name]], tblPassengerNames[[#This Row],[DotPos]] + 2, tblPassengerNames[[#This Row],[EndOfConvFNPos]] - tblPassengerNames[[#This Row],[DotPos]] - 1)</f>
        <v>Paul Romaine</v>
      </c>
      <c r="K71" t="e">
        <f>MID(tblPassengerNames[[#This Row],[Name]], tblPassengerNames[[#This Row],[OpenParPos]] + 1, tblPassengerNames[[#This Row],[CloseParPos]] - tblPassengerNames[[#This Row],[OpenParPos]] - 1)</f>
        <v>#VALUE!</v>
      </c>
      <c r="L71" t="e">
        <f>IF(AND(LEFT(tblPassengerNames[[#This Row],[InParentheses]], 1) = "'", RIGHT(tblPassengerNames[[#This Row],[InParentheses]], 1) = "'"),
    #VALUE!,
    tblPassengerNames[[#This Row],[InParentheses]]
)</f>
        <v>#VALUE!</v>
      </c>
      <c r="M71" t="e">
        <f>LEN(tblPassengerNames[[#This Row],[InParenthesesCleaned]]) - LEN(SUBSTITUTE(tblPassengerNames[[#This Row],[InParenthesesCleaned]], " ", ""))</f>
        <v>#VALUE!</v>
      </c>
      <c r="N71" t="e">
        <f>FIND("@", SUBSTITUTE(tblPassengerNames[[#This Row],[InParenthesesCleaned]], " ", "@", tblPassengerNames[[#This Row],[P_NSpaces]]))</f>
        <v>#VALUE!</v>
      </c>
      <c r="O71" t="e">
        <f>IF(tblPassengerNames[[#This Row],[P_NSpaces]] = 0,
    tblPassengerNames[[#This Row],[InParenthesesCleaned]],
    LEFT(tblPassengerNames[[#This Row],[InParenthesesCleaned]], tblPassengerNames[[#This Row],[P_FinalSpacePos]] - 1)
)</f>
        <v>#VALUE!</v>
      </c>
      <c r="P71" t="str">
        <f>IFERROR(tblPassengerNames[[#This Row],[P_Forenames]], tblPassengerNames[[#This Row],[ConvForenames]])</f>
        <v>Paul Romaine</v>
      </c>
      <c r="Q71" t="str">
        <f>MID(tblPassengerNames[[#This Row],[Name]], tblPassengerNames[[#This Row],[CommaPos]] + 2, tblPassengerNames[[#This Row],[DotPos]] - tblPassengerNames[[#This Row],[CommaPos]] - 1)</f>
        <v>Mr.</v>
      </c>
      <c r="R71" t="str">
        <f>LEFT(tblPassengerNames[[#This Row],[Name]], tblPassengerNames[[#This Row],[CommaPos]] - 1)</f>
        <v>Chevre</v>
      </c>
    </row>
    <row r="72" spans="2:18" x14ac:dyDescent="0.25">
      <c r="B72" s="21">
        <v>70</v>
      </c>
      <c r="C72" s="21" t="s">
        <v>206</v>
      </c>
      <c r="D72" s="21" t="s">
        <v>136</v>
      </c>
      <c r="E72">
        <f>FIND(",", tblPassengerNames[[#This Row],[Name]])</f>
        <v>9</v>
      </c>
      <c r="F72">
        <f>FIND(".", tblPassengerNames[[#This Row],[Name]])</f>
        <v>14</v>
      </c>
      <c r="G72">
        <f>FIND("(", tblPassengerNames[[#This Row],[Name]])</f>
        <v>16</v>
      </c>
      <c r="H72">
        <f>FIND(")", tblPassengerNames[[#This Row],[Name]])</f>
        <v>38</v>
      </c>
      <c r="I72">
        <f>IFERROR(tblPassengerNames[[#This Row],[OpenParPos]] - 2, LEN(tblPassengerNames[[#This Row],[Name]]))</f>
        <v>14</v>
      </c>
      <c r="J72" t="e">
        <f>MID(tblPassengerNames[[#This Row],[Name]], tblPassengerNames[[#This Row],[DotPos]] + 2, tblPassengerNames[[#This Row],[EndOfConvFNPos]] - tblPassengerNames[[#This Row],[DotPos]] - 1)</f>
        <v>#VALUE!</v>
      </c>
      <c r="K72" t="str">
        <f>MID(tblPassengerNames[[#This Row],[Name]], tblPassengerNames[[#This Row],[OpenParPos]] + 1, tblPassengerNames[[#This Row],[CloseParPos]] - tblPassengerNames[[#This Row],[OpenParPos]] - 1)</f>
        <v>Edith Martha Bowerman</v>
      </c>
      <c r="L72" t="str">
        <f>IF(AND(LEFT(tblPassengerNames[[#This Row],[InParentheses]], 1) = "'", RIGHT(tblPassengerNames[[#This Row],[InParentheses]], 1) = "'"),
    #VALUE!,
    tblPassengerNames[[#This Row],[InParentheses]]
)</f>
        <v>Edith Martha Bowerman</v>
      </c>
      <c r="M72">
        <f>LEN(tblPassengerNames[[#This Row],[InParenthesesCleaned]]) - LEN(SUBSTITUTE(tblPassengerNames[[#This Row],[InParenthesesCleaned]], " ", ""))</f>
        <v>2</v>
      </c>
      <c r="N72">
        <f>FIND("@", SUBSTITUTE(tblPassengerNames[[#This Row],[InParenthesesCleaned]], " ", "@", tblPassengerNames[[#This Row],[P_NSpaces]]))</f>
        <v>13</v>
      </c>
      <c r="O72" t="str">
        <f>IF(tblPassengerNames[[#This Row],[P_NSpaces]] = 0,
    tblPassengerNames[[#This Row],[InParenthesesCleaned]],
    LEFT(tblPassengerNames[[#This Row],[InParenthesesCleaned]], tblPassengerNames[[#This Row],[P_FinalSpacePos]] - 1)
)</f>
        <v>Edith Martha</v>
      </c>
      <c r="P72" t="str">
        <f>IFERROR(tblPassengerNames[[#This Row],[P_Forenames]], tblPassengerNames[[#This Row],[ConvForenames]])</f>
        <v>Edith Martha</v>
      </c>
      <c r="Q72" t="str">
        <f>MID(tblPassengerNames[[#This Row],[Name]], tblPassengerNames[[#This Row],[CommaPos]] + 2, tblPassengerNames[[#This Row],[DotPos]] - tblPassengerNames[[#This Row],[CommaPos]] - 1)</f>
        <v>Mrs.</v>
      </c>
      <c r="R72" t="str">
        <f>LEFT(tblPassengerNames[[#This Row],[Name]], tblPassengerNames[[#This Row],[CommaPos]] - 1)</f>
        <v>Chibnall</v>
      </c>
    </row>
    <row r="73" spans="2:18" x14ac:dyDescent="0.25">
      <c r="B73" s="21">
        <v>71</v>
      </c>
      <c r="C73" s="21" t="s">
        <v>207</v>
      </c>
      <c r="D73" s="21" t="s">
        <v>138</v>
      </c>
      <c r="E73">
        <f>FIND(",", tblPassengerNames[[#This Row],[Name]])</f>
        <v>9</v>
      </c>
      <c r="F73">
        <f>FIND(".", tblPassengerNames[[#This Row],[Name]])</f>
        <v>13</v>
      </c>
      <c r="G73" t="e">
        <f>FIND("(", tblPassengerNames[[#This Row],[Name]])</f>
        <v>#VALUE!</v>
      </c>
      <c r="H73" t="e">
        <f>FIND(")", tblPassengerNames[[#This Row],[Name]])</f>
        <v>#VALUE!</v>
      </c>
      <c r="I73">
        <f>IFERROR(tblPassengerNames[[#This Row],[OpenParPos]] - 2, LEN(tblPassengerNames[[#This Row],[Name]]))</f>
        <v>37</v>
      </c>
      <c r="J73" t="str">
        <f>MID(tblPassengerNames[[#This Row],[Name]], tblPassengerNames[[#This Row],[DotPos]] + 2, tblPassengerNames[[#This Row],[EndOfConvFNPos]] - tblPassengerNames[[#This Row],[DotPos]] - 1)</f>
        <v>Roderick Robert Crispin</v>
      </c>
      <c r="K73" t="e">
        <f>MID(tblPassengerNames[[#This Row],[Name]], tblPassengerNames[[#This Row],[OpenParPos]] + 1, tblPassengerNames[[#This Row],[CloseParPos]] - tblPassengerNames[[#This Row],[OpenParPos]] - 1)</f>
        <v>#VALUE!</v>
      </c>
      <c r="L73" t="e">
        <f>IF(AND(LEFT(tblPassengerNames[[#This Row],[InParentheses]], 1) = "'", RIGHT(tblPassengerNames[[#This Row],[InParentheses]], 1) = "'"),
    #VALUE!,
    tblPassengerNames[[#This Row],[InParentheses]]
)</f>
        <v>#VALUE!</v>
      </c>
      <c r="M73" t="e">
        <f>LEN(tblPassengerNames[[#This Row],[InParenthesesCleaned]]) - LEN(SUBSTITUTE(tblPassengerNames[[#This Row],[InParenthesesCleaned]], " ", ""))</f>
        <v>#VALUE!</v>
      </c>
      <c r="N73" t="e">
        <f>FIND("@", SUBSTITUTE(tblPassengerNames[[#This Row],[InParenthesesCleaned]], " ", "@", tblPassengerNames[[#This Row],[P_NSpaces]]))</f>
        <v>#VALUE!</v>
      </c>
      <c r="O73" t="e">
        <f>IF(tblPassengerNames[[#This Row],[P_NSpaces]] = 0,
    tblPassengerNames[[#This Row],[InParenthesesCleaned]],
    LEFT(tblPassengerNames[[#This Row],[InParenthesesCleaned]], tblPassengerNames[[#This Row],[P_FinalSpacePos]] - 1)
)</f>
        <v>#VALUE!</v>
      </c>
      <c r="P73" t="str">
        <f>IFERROR(tblPassengerNames[[#This Row],[P_Forenames]], tblPassengerNames[[#This Row],[ConvForenames]])</f>
        <v>Roderick Robert Crispin</v>
      </c>
      <c r="Q73" t="str">
        <f>MID(tblPassengerNames[[#This Row],[Name]], tblPassengerNames[[#This Row],[CommaPos]] + 2, tblPassengerNames[[#This Row],[DotPos]] - tblPassengerNames[[#This Row],[CommaPos]] - 1)</f>
        <v>Mr.</v>
      </c>
      <c r="R73" t="str">
        <f>LEFT(tblPassengerNames[[#This Row],[Name]], tblPassengerNames[[#This Row],[CommaPos]] - 1)</f>
        <v>Chisholm</v>
      </c>
    </row>
    <row r="74" spans="2:18" x14ac:dyDescent="0.25">
      <c r="B74" s="21">
        <v>72</v>
      </c>
      <c r="C74" s="21" t="s">
        <v>208</v>
      </c>
      <c r="D74" s="21" t="s">
        <v>138</v>
      </c>
      <c r="E74">
        <f>FIND(",", tblPassengerNames[[#This Row],[Name]])</f>
        <v>6</v>
      </c>
      <c r="F74">
        <f>FIND(".", tblPassengerNames[[#This Row],[Name]])</f>
        <v>10</v>
      </c>
      <c r="G74" t="e">
        <f>FIND("(", tblPassengerNames[[#This Row],[Name]])</f>
        <v>#VALUE!</v>
      </c>
      <c r="H74" t="e">
        <f>FIND(")", tblPassengerNames[[#This Row],[Name]])</f>
        <v>#VALUE!</v>
      </c>
      <c r="I74">
        <f>IFERROR(tblPassengerNames[[#This Row],[OpenParPos]] - 2, LEN(tblPassengerNames[[#This Row],[Name]]))</f>
        <v>24</v>
      </c>
      <c r="J74" t="str">
        <f>MID(tblPassengerNames[[#This Row],[Name]], tblPassengerNames[[#This Row],[DotPos]] + 2, tblPassengerNames[[#This Row],[EndOfConvFNPos]] - tblPassengerNames[[#This Row],[DotPos]] - 1)</f>
        <v>Walter Miller</v>
      </c>
      <c r="K74" t="e">
        <f>MID(tblPassengerNames[[#This Row],[Name]], tblPassengerNames[[#This Row],[OpenParPos]] + 1, tblPassengerNames[[#This Row],[CloseParPos]] - tblPassengerNames[[#This Row],[OpenParPos]] - 1)</f>
        <v>#VALUE!</v>
      </c>
      <c r="L74" t="e">
        <f>IF(AND(LEFT(tblPassengerNames[[#This Row],[InParentheses]], 1) = "'", RIGHT(tblPassengerNames[[#This Row],[InParentheses]], 1) = "'"),
    #VALUE!,
    tblPassengerNames[[#This Row],[InParentheses]]
)</f>
        <v>#VALUE!</v>
      </c>
      <c r="M74" t="e">
        <f>LEN(tblPassengerNames[[#This Row],[InParenthesesCleaned]]) - LEN(SUBSTITUTE(tblPassengerNames[[#This Row],[InParenthesesCleaned]], " ", ""))</f>
        <v>#VALUE!</v>
      </c>
      <c r="N74" t="e">
        <f>FIND("@", SUBSTITUTE(tblPassengerNames[[#This Row],[InParenthesesCleaned]], " ", "@", tblPassengerNames[[#This Row],[P_NSpaces]]))</f>
        <v>#VALUE!</v>
      </c>
      <c r="O74" t="e">
        <f>IF(tblPassengerNames[[#This Row],[P_NSpaces]] = 0,
    tblPassengerNames[[#This Row],[InParenthesesCleaned]],
    LEFT(tblPassengerNames[[#This Row],[InParenthesesCleaned]], tblPassengerNames[[#This Row],[P_FinalSpacePos]] - 1)
)</f>
        <v>#VALUE!</v>
      </c>
      <c r="P74" t="str">
        <f>IFERROR(tblPassengerNames[[#This Row],[P_Forenames]], tblPassengerNames[[#This Row],[ConvForenames]])</f>
        <v>Walter Miller</v>
      </c>
      <c r="Q74" t="str">
        <f>MID(tblPassengerNames[[#This Row],[Name]], tblPassengerNames[[#This Row],[CommaPos]] + 2, tblPassengerNames[[#This Row],[DotPos]] - tblPassengerNames[[#This Row],[CommaPos]] - 1)</f>
        <v>Mr.</v>
      </c>
      <c r="R74" t="str">
        <f>LEFT(tblPassengerNames[[#This Row],[Name]], tblPassengerNames[[#This Row],[CommaPos]] - 1)</f>
        <v>Clark</v>
      </c>
    </row>
    <row r="75" spans="2:18" x14ac:dyDescent="0.25">
      <c r="B75" s="21">
        <v>73</v>
      </c>
      <c r="C75" s="21" t="s">
        <v>209</v>
      </c>
      <c r="D75" s="21" t="s">
        <v>136</v>
      </c>
      <c r="E75">
        <f>FIND(",", tblPassengerNames[[#This Row],[Name]])</f>
        <v>6</v>
      </c>
      <c r="F75">
        <f>FIND(".", tblPassengerNames[[#This Row],[Name]])</f>
        <v>11</v>
      </c>
      <c r="G75">
        <f>FIND("(", tblPassengerNames[[#This Row],[Name]])</f>
        <v>27</v>
      </c>
      <c r="H75">
        <f>FIND(")", tblPassengerNames[[#This Row],[Name]])</f>
        <v>45</v>
      </c>
      <c r="I75">
        <f>IFERROR(tblPassengerNames[[#This Row],[OpenParPos]] - 2, LEN(tblPassengerNames[[#This Row],[Name]]))</f>
        <v>25</v>
      </c>
      <c r="J75" t="str">
        <f>MID(tblPassengerNames[[#This Row],[Name]], tblPassengerNames[[#This Row],[DotPos]] + 2, tblPassengerNames[[#This Row],[EndOfConvFNPos]] - tblPassengerNames[[#This Row],[DotPos]] - 1)</f>
        <v>Walter Miller</v>
      </c>
      <c r="K75" t="str">
        <f>MID(tblPassengerNames[[#This Row],[Name]], tblPassengerNames[[#This Row],[OpenParPos]] + 1, tblPassengerNames[[#This Row],[CloseParPos]] - tblPassengerNames[[#This Row],[OpenParPos]] - 1)</f>
        <v>Virginia McDowell</v>
      </c>
      <c r="L75" t="str">
        <f>IF(AND(LEFT(tblPassengerNames[[#This Row],[InParentheses]], 1) = "'", RIGHT(tblPassengerNames[[#This Row],[InParentheses]], 1) = "'"),
    #VALUE!,
    tblPassengerNames[[#This Row],[InParentheses]]
)</f>
        <v>Virginia McDowell</v>
      </c>
      <c r="M75">
        <f>LEN(tblPassengerNames[[#This Row],[InParenthesesCleaned]]) - LEN(SUBSTITUTE(tblPassengerNames[[#This Row],[InParenthesesCleaned]], " ", ""))</f>
        <v>1</v>
      </c>
      <c r="N75">
        <f>FIND("@", SUBSTITUTE(tblPassengerNames[[#This Row],[InParenthesesCleaned]], " ", "@", tblPassengerNames[[#This Row],[P_NSpaces]]))</f>
        <v>9</v>
      </c>
      <c r="O75" t="str">
        <f>IF(tblPassengerNames[[#This Row],[P_NSpaces]] = 0,
    tblPassengerNames[[#This Row],[InParenthesesCleaned]],
    LEFT(tblPassengerNames[[#This Row],[InParenthesesCleaned]], tblPassengerNames[[#This Row],[P_FinalSpacePos]] - 1)
)</f>
        <v>Virginia</v>
      </c>
      <c r="P75" t="str">
        <f>IFERROR(tblPassengerNames[[#This Row],[P_Forenames]], tblPassengerNames[[#This Row],[ConvForenames]])</f>
        <v>Virginia</v>
      </c>
      <c r="Q75" t="str">
        <f>MID(tblPassengerNames[[#This Row],[Name]], tblPassengerNames[[#This Row],[CommaPos]] + 2, tblPassengerNames[[#This Row],[DotPos]] - tblPassengerNames[[#This Row],[CommaPos]] - 1)</f>
        <v>Mrs.</v>
      </c>
      <c r="R75" t="str">
        <f>LEFT(tblPassengerNames[[#This Row],[Name]], tblPassengerNames[[#This Row],[CommaPos]] - 1)</f>
        <v>Clark</v>
      </c>
    </row>
    <row r="76" spans="2:18" x14ac:dyDescent="0.25">
      <c r="B76" s="21">
        <v>74</v>
      </c>
      <c r="C76" s="21" t="s">
        <v>210</v>
      </c>
      <c r="D76" s="21" t="s">
        <v>136</v>
      </c>
      <c r="E76">
        <f>FIND(",", tblPassengerNames[[#This Row],[Name]])</f>
        <v>8</v>
      </c>
      <c r="F76">
        <f>FIND(".", tblPassengerNames[[#This Row],[Name]])</f>
        <v>14</v>
      </c>
      <c r="G76" t="e">
        <f>FIND("(", tblPassengerNames[[#This Row],[Name]])</f>
        <v>#VALUE!</v>
      </c>
      <c r="H76" t="e">
        <f>FIND(")", tblPassengerNames[[#This Row],[Name]])</f>
        <v>#VALUE!</v>
      </c>
      <c r="I76">
        <f>IFERROR(tblPassengerNames[[#This Row],[OpenParPos]] - 2, LEN(tblPassengerNames[[#This Row],[Name]]))</f>
        <v>20</v>
      </c>
      <c r="J76" t="str">
        <f>MID(tblPassengerNames[[#This Row],[Name]], tblPassengerNames[[#This Row],[DotPos]] + 2, tblPassengerNames[[#This Row],[EndOfConvFNPos]] - tblPassengerNames[[#This Row],[DotPos]] - 1)</f>
        <v>Alice</v>
      </c>
      <c r="K76" t="e">
        <f>MID(tblPassengerNames[[#This Row],[Name]], tblPassengerNames[[#This Row],[OpenParPos]] + 1, tblPassengerNames[[#This Row],[CloseParPos]] - tblPassengerNames[[#This Row],[OpenParPos]] - 1)</f>
        <v>#VALUE!</v>
      </c>
      <c r="L76" t="e">
        <f>IF(AND(LEFT(tblPassengerNames[[#This Row],[InParentheses]], 1) = "'", RIGHT(tblPassengerNames[[#This Row],[InParentheses]], 1) = "'"),
    #VALUE!,
    tblPassengerNames[[#This Row],[InParentheses]]
)</f>
        <v>#VALUE!</v>
      </c>
      <c r="M76" t="e">
        <f>LEN(tblPassengerNames[[#This Row],[InParenthesesCleaned]]) - LEN(SUBSTITUTE(tblPassengerNames[[#This Row],[InParenthesesCleaned]], " ", ""))</f>
        <v>#VALUE!</v>
      </c>
      <c r="N76" t="e">
        <f>FIND("@", SUBSTITUTE(tblPassengerNames[[#This Row],[InParenthesesCleaned]], " ", "@", tblPassengerNames[[#This Row],[P_NSpaces]]))</f>
        <v>#VALUE!</v>
      </c>
      <c r="O76" t="e">
        <f>IF(tblPassengerNames[[#This Row],[P_NSpaces]] = 0,
    tblPassengerNames[[#This Row],[InParenthesesCleaned]],
    LEFT(tblPassengerNames[[#This Row],[InParenthesesCleaned]], tblPassengerNames[[#This Row],[P_FinalSpacePos]] - 1)
)</f>
        <v>#VALUE!</v>
      </c>
      <c r="P76" t="str">
        <f>IFERROR(tblPassengerNames[[#This Row],[P_Forenames]], tblPassengerNames[[#This Row],[ConvForenames]])</f>
        <v>Alice</v>
      </c>
      <c r="Q76" t="str">
        <f>MID(tblPassengerNames[[#This Row],[Name]], tblPassengerNames[[#This Row],[CommaPos]] + 2, tblPassengerNames[[#This Row],[DotPos]] - tblPassengerNames[[#This Row],[CommaPos]] - 1)</f>
        <v>Miss.</v>
      </c>
      <c r="R76" t="str">
        <f>LEFT(tblPassengerNames[[#This Row],[Name]], tblPassengerNames[[#This Row],[CommaPos]] - 1)</f>
        <v>Cleaver</v>
      </c>
    </row>
    <row r="77" spans="2:18" x14ac:dyDescent="0.25">
      <c r="B77" s="21">
        <v>75</v>
      </c>
      <c r="C77" s="21" t="s">
        <v>211</v>
      </c>
      <c r="D77" s="21" t="s">
        <v>138</v>
      </c>
      <c r="E77">
        <f>FIND(",", tblPassengerNames[[#This Row],[Name]])</f>
        <v>9</v>
      </c>
      <c r="F77">
        <f>FIND(".", tblPassengerNames[[#This Row],[Name]])</f>
        <v>13</v>
      </c>
      <c r="G77" t="e">
        <f>FIND("(", tblPassengerNames[[#This Row],[Name]])</f>
        <v>#VALUE!</v>
      </c>
      <c r="H77" t="e">
        <f>FIND(")", tblPassengerNames[[#This Row],[Name]])</f>
        <v>#VALUE!</v>
      </c>
      <c r="I77">
        <f>IFERROR(tblPassengerNames[[#This Row],[OpenParPos]] - 2, LEN(tblPassengerNames[[#This Row],[Name]]))</f>
        <v>27</v>
      </c>
      <c r="J77" t="str">
        <f>MID(tblPassengerNames[[#This Row],[Name]], tblPassengerNames[[#This Row],[DotPos]] + 2, tblPassengerNames[[#This Row],[EndOfConvFNPos]] - tblPassengerNames[[#This Row],[DotPos]] - 1)</f>
        <v>George Quincy</v>
      </c>
      <c r="K77" t="e">
        <f>MID(tblPassengerNames[[#This Row],[Name]], tblPassengerNames[[#This Row],[OpenParPos]] + 1, tblPassengerNames[[#This Row],[CloseParPos]] - tblPassengerNames[[#This Row],[OpenParPos]] - 1)</f>
        <v>#VALUE!</v>
      </c>
      <c r="L77" t="e">
        <f>IF(AND(LEFT(tblPassengerNames[[#This Row],[InParentheses]], 1) = "'", RIGHT(tblPassengerNames[[#This Row],[InParentheses]], 1) = "'"),
    #VALUE!,
    tblPassengerNames[[#This Row],[InParentheses]]
)</f>
        <v>#VALUE!</v>
      </c>
      <c r="M77" t="e">
        <f>LEN(tblPassengerNames[[#This Row],[InParenthesesCleaned]]) - LEN(SUBSTITUTE(tblPassengerNames[[#This Row],[InParenthesesCleaned]], " ", ""))</f>
        <v>#VALUE!</v>
      </c>
      <c r="N77" t="e">
        <f>FIND("@", SUBSTITUTE(tblPassengerNames[[#This Row],[InParenthesesCleaned]], " ", "@", tblPassengerNames[[#This Row],[P_NSpaces]]))</f>
        <v>#VALUE!</v>
      </c>
      <c r="O77" t="e">
        <f>IF(tblPassengerNames[[#This Row],[P_NSpaces]] = 0,
    tblPassengerNames[[#This Row],[InParenthesesCleaned]],
    LEFT(tblPassengerNames[[#This Row],[InParenthesesCleaned]], tblPassengerNames[[#This Row],[P_FinalSpacePos]] - 1)
)</f>
        <v>#VALUE!</v>
      </c>
      <c r="P77" t="str">
        <f>IFERROR(tblPassengerNames[[#This Row],[P_Forenames]], tblPassengerNames[[#This Row],[ConvForenames]])</f>
        <v>George Quincy</v>
      </c>
      <c r="Q77" t="str">
        <f>MID(tblPassengerNames[[#This Row],[Name]], tblPassengerNames[[#This Row],[CommaPos]] + 2, tblPassengerNames[[#This Row],[DotPos]] - tblPassengerNames[[#This Row],[CommaPos]] - 1)</f>
        <v>Mr.</v>
      </c>
      <c r="R77" t="str">
        <f>LEFT(tblPassengerNames[[#This Row],[Name]], tblPassengerNames[[#This Row],[CommaPos]] - 1)</f>
        <v>Clifford</v>
      </c>
    </row>
    <row r="78" spans="2:18" x14ac:dyDescent="0.25">
      <c r="B78" s="21">
        <v>76</v>
      </c>
      <c r="C78" s="21" t="s">
        <v>212</v>
      </c>
      <c r="D78" s="21" t="s">
        <v>138</v>
      </c>
      <c r="E78">
        <f>FIND(",", tblPassengerNames[[#This Row],[Name]])</f>
        <v>7</v>
      </c>
      <c r="F78">
        <f>FIND(".", tblPassengerNames[[#This Row],[Name]])</f>
        <v>11</v>
      </c>
      <c r="G78" t="e">
        <f>FIND("(", tblPassengerNames[[#This Row],[Name]])</f>
        <v>#VALUE!</v>
      </c>
      <c r="H78" t="e">
        <f>FIND(")", tblPassengerNames[[#This Row],[Name]])</f>
        <v>#VALUE!</v>
      </c>
      <c r="I78">
        <f>IFERROR(tblPassengerNames[[#This Row],[OpenParPos]] - 2, LEN(tblPassengerNames[[#This Row],[Name]]))</f>
        <v>26</v>
      </c>
      <c r="J78" t="str">
        <f>MID(tblPassengerNames[[#This Row],[Name]], tblPassengerNames[[#This Row],[DotPos]] + 2, tblPassengerNames[[#This Row],[EndOfConvFNPos]] - tblPassengerNames[[#This Row],[DotPos]] - 1)</f>
        <v>Edward Pomeroy</v>
      </c>
      <c r="K78" t="e">
        <f>MID(tblPassengerNames[[#This Row],[Name]], tblPassengerNames[[#This Row],[OpenParPos]] + 1, tblPassengerNames[[#This Row],[CloseParPos]] - tblPassengerNames[[#This Row],[OpenParPos]] - 1)</f>
        <v>#VALUE!</v>
      </c>
      <c r="L78" t="e">
        <f>IF(AND(LEFT(tblPassengerNames[[#This Row],[InParentheses]], 1) = "'", RIGHT(tblPassengerNames[[#This Row],[InParentheses]], 1) = "'"),
    #VALUE!,
    tblPassengerNames[[#This Row],[InParentheses]]
)</f>
        <v>#VALUE!</v>
      </c>
      <c r="M78" t="e">
        <f>LEN(tblPassengerNames[[#This Row],[InParenthesesCleaned]]) - LEN(SUBSTITUTE(tblPassengerNames[[#This Row],[InParenthesesCleaned]], " ", ""))</f>
        <v>#VALUE!</v>
      </c>
      <c r="N78" t="e">
        <f>FIND("@", SUBSTITUTE(tblPassengerNames[[#This Row],[InParenthesesCleaned]], " ", "@", tblPassengerNames[[#This Row],[P_NSpaces]]))</f>
        <v>#VALUE!</v>
      </c>
      <c r="O78" t="e">
        <f>IF(tblPassengerNames[[#This Row],[P_NSpaces]] = 0,
    tblPassengerNames[[#This Row],[InParenthesesCleaned]],
    LEFT(tblPassengerNames[[#This Row],[InParenthesesCleaned]], tblPassengerNames[[#This Row],[P_FinalSpacePos]] - 1)
)</f>
        <v>#VALUE!</v>
      </c>
      <c r="P78" t="str">
        <f>IFERROR(tblPassengerNames[[#This Row],[P_Forenames]], tblPassengerNames[[#This Row],[ConvForenames]])</f>
        <v>Edward Pomeroy</v>
      </c>
      <c r="Q78" t="str">
        <f>MID(tblPassengerNames[[#This Row],[Name]], tblPassengerNames[[#This Row],[CommaPos]] + 2, tblPassengerNames[[#This Row],[DotPos]] - tblPassengerNames[[#This Row],[CommaPos]] - 1)</f>
        <v>Mr.</v>
      </c>
      <c r="R78" t="str">
        <f>LEFT(tblPassengerNames[[#This Row],[Name]], tblPassengerNames[[#This Row],[CommaPos]] - 1)</f>
        <v>Colley</v>
      </c>
    </row>
    <row r="79" spans="2:18" x14ac:dyDescent="0.25">
      <c r="B79" s="21">
        <v>77</v>
      </c>
      <c r="C79" s="21" t="s">
        <v>213</v>
      </c>
      <c r="D79" s="21" t="s">
        <v>136</v>
      </c>
      <c r="E79">
        <f>FIND(",", tblPassengerNames[[#This Row],[Name]])</f>
        <v>8</v>
      </c>
      <c r="F79">
        <f>FIND(".", tblPassengerNames[[#This Row],[Name]])</f>
        <v>14</v>
      </c>
      <c r="G79" t="e">
        <f>FIND("(", tblPassengerNames[[#This Row],[Name]])</f>
        <v>#VALUE!</v>
      </c>
      <c r="H79" t="e">
        <f>FIND(")", tblPassengerNames[[#This Row],[Name]])</f>
        <v>#VALUE!</v>
      </c>
      <c r="I79">
        <f>IFERROR(tblPassengerNames[[#This Row],[OpenParPos]] - 2, LEN(tblPassengerNames[[#This Row],[Name]]))</f>
        <v>27</v>
      </c>
      <c r="J79" t="str">
        <f>MID(tblPassengerNames[[#This Row],[Name]], tblPassengerNames[[#This Row],[DotPos]] + 2, tblPassengerNames[[#This Row],[EndOfConvFNPos]] - tblPassengerNames[[#This Row],[DotPos]] - 1)</f>
        <v>Sara Rebecca</v>
      </c>
      <c r="K79" t="e">
        <f>MID(tblPassengerNames[[#This Row],[Name]], tblPassengerNames[[#This Row],[OpenParPos]] + 1, tblPassengerNames[[#This Row],[CloseParPos]] - tblPassengerNames[[#This Row],[OpenParPos]] - 1)</f>
        <v>#VALUE!</v>
      </c>
      <c r="L79" t="e">
        <f>IF(AND(LEFT(tblPassengerNames[[#This Row],[InParentheses]], 1) = "'", RIGHT(tblPassengerNames[[#This Row],[InParentheses]], 1) = "'"),
    #VALUE!,
    tblPassengerNames[[#This Row],[InParentheses]]
)</f>
        <v>#VALUE!</v>
      </c>
      <c r="M79" t="e">
        <f>LEN(tblPassengerNames[[#This Row],[InParenthesesCleaned]]) - LEN(SUBSTITUTE(tblPassengerNames[[#This Row],[InParenthesesCleaned]], " ", ""))</f>
        <v>#VALUE!</v>
      </c>
      <c r="N79" t="e">
        <f>FIND("@", SUBSTITUTE(tblPassengerNames[[#This Row],[InParenthesesCleaned]], " ", "@", tblPassengerNames[[#This Row],[P_NSpaces]]))</f>
        <v>#VALUE!</v>
      </c>
      <c r="O79" t="e">
        <f>IF(tblPassengerNames[[#This Row],[P_NSpaces]] = 0,
    tblPassengerNames[[#This Row],[InParenthesesCleaned]],
    LEFT(tblPassengerNames[[#This Row],[InParenthesesCleaned]], tblPassengerNames[[#This Row],[P_FinalSpacePos]] - 1)
)</f>
        <v>#VALUE!</v>
      </c>
      <c r="P79" t="str">
        <f>IFERROR(tblPassengerNames[[#This Row],[P_Forenames]], tblPassengerNames[[#This Row],[ConvForenames]])</f>
        <v>Sara Rebecca</v>
      </c>
      <c r="Q79" t="str">
        <f>MID(tblPassengerNames[[#This Row],[Name]], tblPassengerNames[[#This Row],[CommaPos]] + 2, tblPassengerNames[[#This Row],[DotPos]] - tblPassengerNames[[#This Row],[CommaPos]] - 1)</f>
        <v>Miss.</v>
      </c>
      <c r="R79" t="str">
        <f>LEFT(tblPassengerNames[[#This Row],[Name]], tblPassengerNames[[#This Row],[CommaPos]] - 1)</f>
        <v>Compton</v>
      </c>
    </row>
    <row r="80" spans="2:18" x14ac:dyDescent="0.25">
      <c r="B80" s="21">
        <v>78</v>
      </c>
      <c r="C80" s="21" t="s">
        <v>214</v>
      </c>
      <c r="D80" s="21" t="s">
        <v>138</v>
      </c>
      <c r="E80">
        <f>FIND(",", tblPassengerNames[[#This Row],[Name]])</f>
        <v>8</v>
      </c>
      <c r="F80">
        <f>FIND(".", tblPassengerNames[[#This Row],[Name]])</f>
        <v>12</v>
      </c>
      <c r="G80" t="e">
        <f>FIND("(", tblPassengerNames[[#This Row],[Name]])</f>
        <v>#VALUE!</v>
      </c>
      <c r="H80" t="e">
        <f>FIND(")", tblPassengerNames[[#This Row],[Name]])</f>
        <v>#VALUE!</v>
      </c>
      <c r="I80">
        <f>IFERROR(tblPassengerNames[[#This Row],[OpenParPos]] - 2, LEN(tblPassengerNames[[#This Row],[Name]]))</f>
        <v>32</v>
      </c>
      <c r="J80" t="str">
        <f>MID(tblPassengerNames[[#This Row],[Name]], tblPassengerNames[[#This Row],[DotPos]] + 2, tblPassengerNames[[#This Row],[EndOfConvFNPos]] - tblPassengerNames[[#This Row],[DotPos]] - 1)</f>
        <v>Alexander Taylor Jr</v>
      </c>
      <c r="K80" t="e">
        <f>MID(tblPassengerNames[[#This Row],[Name]], tblPassengerNames[[#This Row],[OpenParPos]] + 1, tblPassengerNames[[#This Row],[CloseParPos]] - tblPassengerNames[[#This Row],[OpenParPos]] - 1)</f>
        <v>#VALUE!</v>
      </c>
      <c r="L80" t="e">
        <f>IF(AND(LEFT(tblPassengerNames[[#This Row],[InParentheses]], 1) = "'", RIGHT(tblPassengerNames[[#This Row],[InParentheses]], 1) = "'"),
    #VALUE!,
    tblPassengerNames[[#This Row],[InParentheses]]
)</f>
        <v>#VALUE!</v>
      </c>
      <c r="M80" t="e">
        <f>LEN(tblPassengerNames[[#This Row],[InParenthesesCleaned]]) - LEN(SUBSTITUTE(tblPassengerNames[[#This Row],[InParenthesesCleaned]], " ", ""))</f>
        <v>#VALUE!</v>
      </c>
      <c r="N80" t="e">
        <f>FIND("@", SUBSTITUTE(tblPassengerNames[[#This Row],[InParenthesesCleaned]], " ", "@", tblPassengerNames[[#This Row],[P_NSpaces]]))</f>
        <v>#VALUE!</v>
      </c>
      <c r="O80" t="e">
        <f>IF(tblPassengerNames[[#This Row],[P_NSpaces]] = 0,
    tblPassengerNames[[#This Row],[InParenthesesCleaned]],
    LEFT(tblPassengerNames[[#This Row],[InParenthesesCleaned]], tblPassengerNames[[#This Row],[P_FinalSpacePos]] - 1)
)</f>
        <v>#VALUE!</v>
      </c>
      <c r="P80" t="str">
        <f>IFERROR(tblPassengerNames[[#This Row],[P_Forenames]], tblPassengerNames[[#This Row],[ConvForenames]])</f>
        <v>Alexander Taylor Jr</v>
      </c>
      <c r="Q80" t="str">
        <f>MID(tblPassengerNames[[#This Row],[Name]], tblPassengerNames[[#This Row],[CommaPos]] + 2, tblPassengerNames[[#This Row],[DotPos]] - tblPassengerNames[[#This Row],[CommaPos]] - 1)</f>
        <v>Mr.</v>
      </c>
      <c r="R80" t="str">
        <f>LEFT(tblPassengerNames[[#This Row],[Name]], tblPassengerNames[[#This Row],[CommaPos]] - 1)</f>
        <v>Compton</v>
      </c>
    </row>
    <row r="81" spans="2:18" x14ac:dyDescent="0.25">
      <c r="B81" s="21">
        <v>79</v>
      </c>
      <c r="C81" s="21" t="s">
        <v>215</v>
      </c>
      <c r="D81" s="21" t="s">
        <v>136</v>
      </c>
      <c r="E81">
        <f>FIND(",", tblPassengerNames[[#This Row],[Name]])</f>
        <v>8</v>
      </c>
      <c r="F81">
        <f>FIND(".", tblPassengerNames[[#This Row],[Name]])</f>
        <v>13</v>
      </c>
      <c r="G81">
        <f>FIND("(", tblPassengerNames[[#This Row],[Name]])</f>
        <v>32</v>
      </c>
      <c r="H81">
        <f>FIND(")", tblPassengerNames[[#This Row],[Name]])</f>
        <v>53</v>
      </c>
      <c r="I81">
        <f>IFERROR(tblPassengerNames[[#This Row],[OpenParPos]] - 2, LEN(tblPassengerNames[[#This Row],[Name]]))</f>
        <v>30</v>
      </c>
      <c r="J81" t="str">
        <f>MID(tblPassengerNames[[#This Row],[Name]], tblPassengerNames[[#This Row],[DotPos]] + 2, tblPassengerNames[[#This Row],[EndOfConvFNPos]] - tblPassengerNames[[#This Row],[DotPos]] - 1)</f>
        <v>Alexander Taylor</v>
      </c>
      <c r="K81" t="str">
        <f>MID(tblPassengerNames[[#This Row],[Name]], tblPassengerNames[[#This Row],[OpenParPos]] + 1, tblPassengerNames[[#This Row],[CloseParPos]] - tblPassengerNames[[#This Row],[OpenParPos]] - 1)</f>
        <v>Mary Eliza Ingersoll</v>
      </c>
      <c r="L81" t="str">
        <f>IF(AND(LEFT(tblPassengerNames[[#This Row],[InParentheses]], 1) = "'", RIGHT(tblPassengerNames[[#This Row],[InParentheses]], 1) = "'"),
    #VALUE!,
    tblPassengerNames[[#This Row],[InParentheses]]
)</f>
        <v>Mary Eliza Ingersoll</v>
      </c>
      <c r="M81">
        <f>LEN(tblPassengerNames[[#This Row],[InParenthesesCleaned]]) - LEN(SUBSTITUTE(tblPassengerNames[[#This Row],[InParenthesesCleaned]], " ", ""))</f>
        <v>2</v>
      </c>
      <c r="N81">
        <f>FIND("@", SUBSTITUTE(tblPassengerNames[[#This Row],[InParenthesesCleaned]], " ", "@", tblPassengerNames[[#This Row],[P_NSpaces]]))</f>
        <v>11</v>
      </c>
      <c r="O81" t="str">
        <f>IF(tblPassengerNames[[#This Row],[P_NSpaces]] = 0,
    tblPassengerNames[[#This Row],[InParenthesesCleaned]],
    LEFT(tblPassengerNames[[#This Row],[InParenthesesCleaned]], tblPassengerNames[[#This Row],[P_FinalSpacePos]] - 1)
)</f>
        <v>Mary Eliza</v>
      </c>
      <c r="P81" t="str">
        <f>IFERROR(tblPassengerNames[[#This Row],[P_Forenames]], tblPassengerNames[[#This Row],[ConvForenames]])</f>
        <v>Mary Eliza</v>
      </c>
      <c r="Q81" t="str">
        <f>MID(tblPassengerNames[[#This Row],[Name]], tblPassengerNames[[#This Row],[CommaPos]] + 2, tblPassengerNames[[#This Row],[DotPos]] - tblPassengerNames[[#This Row],[CommaPos]] - 1)</f>
        <v>Mrs.</v>
      </c>
      <c r="R81" t="str">
        <f>LEFT(tblPassengerNames[[#This Row],[Name]], tblPassengerNames[[#This Row],[CommaPos]] - 1)</f>
        <v>Compton</v>
      </c>
    </row>
    <row r="82" spans="2:18" x14ac:dyDescent="0.25">
      <c r="B82" s="21">
        <v>80</v>
      </c>
      <c r="C82" s="21" t="s">
        <v>216</v>
      </c>
      <c r="D82" s="21" t="s">
        <v>136</v>
      </c>
      <c r="E82">
        <f>FIND(",", tblPassengerNames[[#This Row],[Name]])</f>
        <v>8</v>
      </c>
      <c r="F82">
        <f>FIND(".", tblPassengerNames[[#This Row],[Name]])</f>
        <v>13</v>
      </c>
      <c r="G82">
        <f>FIND("(", tblPassengerNames[[#This Row],[Name]])</f>
        <v>31</v>
      </c>
      <c r="H82">
        <f>FIND(")", tblPassengerNames[[#This Row],[Name]])</f>
        <v>52</v>
      </c>
      <c r="I82">
        <f>IFERROR(tblPassengerNames[[#This Row],[OpenParPos]] - 2, LEN(tblPassengerNames[[#This Row],[Name]]))</f>
        <v>29</v>
      </c>
      <c r="J82" t="str">
        <f>MID(tblPassengerNames[[#This Row],[Name]], tblPassengerNames[[#This Row],[DotPos]] + 2, tblPassengerNames[[#This Row],[EndOfConvFNPos]] - tblPassengerNames[[#This Row],[DotPos]] - 1)</f>
        <v>Robert Clifford</v>
      </c>
      <c r="K82" t="str">
        <f>MID(tblPassengerNames[[#This Row],[Name]], tblPassengerNames[[#This Row],[OpenParPos]] + 1, tblPassengerNames[[#This Row],[CloseParPos]] - tblPassengerNames[[#This Row],[OpenParPos]] - 1)</f>
        <v>Malvina Helen Lamson</v>
      </c>
      <c r="L82" t="str">
        <f>IF(AND(LEFT(tblPassengerNames[[#This Row],[InParentheses]], 1) = "'", RIGHT(tblPassengerNames[[#This Row],[InParentheses]], 1) = "'"),
    #VALUE!,
    tblPassengerNames[[#This Row],[InParentheses]]
)</f>
        <v>Malvina Helen Lamson</v>
      </c>
      <c r="M82">
        <f>LEN(tblPassengerNames[[#This Row],[InParenthesesCleaned]]) - LEN(SUBSTITUTE(tblPassengerNames[[#This Row],[InParenthesesCleaned]], " ", ""))</f>
        <v>2</v>
      </c>
      <c r="N82">
        <f>FIND("@", SUBSTITUTE(tblPassengerNames[[#This Row],[InParenthesesCleaned]], " ", "@", tblPassengerNames[[#This Row],[P_NSpaces]]))</f>
        <v>14</v>
      </c>
      <c r="O82" t="str">
        <f>IF(tblPassengerNames[[#This Row],[P_NSpaces]] = 0,
    tblPassengerNames[[#This Row],[InParenthesesCleaned]],
    LEFT(tblPassengerNames[[#This Row],[InParenthesesCleaned]], tblPassengerNames[[#This Row],[P_FinalSpacePos]] - 1)
)</f>
        <v>Malvina Helen</v>
      </c>
      <c r="P82" t="str">
        <f>IFERROR(tblPassengerNames[[#This Row],[P_Forenames]], tblPassengerNames[[#This Row],[ConvForenames]])</f>
        <v>Malvina Helen</v>
      </c>
      <c r="Q82" t="str">
        <f>MID(tblPassengerNames[[#This Row],[Name]], tblPassengerNames[[#This Row],[CommaPos]] + 2, tblPassengerNames[[#This Row],[DotPos]] - tblPassengerNames[[#This Row],[CommaPos]] - 1)</f>
        <v>Mrs.</v>
      </c>
      <c r="R82" t="str">
        <f>LEFT(tblPassengerNames[[#This Row],[Name]], tblPassengerNames[[#This Row],[CommaPos]] - 1)</f>
        <v>Cornell</v>
      </c>
    </row>
    <row r="83" spans="2:18" x14ac:dyDescent="0.25">
      <c r="B83" s="21">
        <v>81</v>
      </c>
      <c r="C83" s="21" t="s">
        <v>217</v>
      </c>
      <c r="D83" s="21" t="s">
        <v>138</v>
      </c>
      <c r="E83">
        <f>FIND(",", tblPassengerNames[[#This Row],[Name]])</f>
        <v>8</v>
      </c>
      <c r="F83">
        <f>FIND(".", tblPassengerNames[[#This Row],[Name]])</f>
        <v>12</v>
      </c>
      <c r="G83" t="e">
        <f>FIND("(", tblPassengerNames[[#This Row],[Name]])</f>
        <v>#VALUE!</v>
      </c>
      <c r="H83" t="e">
        <f>FIND(")", tblPassengerNames[[#This Row],[Name]])</f>
        <v>#VALUE!</v>
      </c>
      <c r="I83">
        <f>IFERROR(tblPassengerNames[[#This Row],[OpenParPos]] - 2, LEN(tblPassengerNames[[#This Row],[Name]]))</f>
        <v>25</v>
      </c>
      <c r="J83" t="str">
        <f>MID(tblPassengerNames[[#This Row],[Name]], tblPassengerNames[[#This Row],[DotPos]] + 2, tblPassengerNames[[#This Row],[EndOfConvFNPos]] - tblPassengerNames[[#This Row],[DotPos]] - 1)</f>
        <v>John Bertram</v>
      </c>
      <c r="K83" t="e">
        <f>MID(tblPassengerNames[[#This Row],[Name]], tblPassengerNames[[#This Row],[OpenParPos]] + 1, tblPassengerNames[[#This Row],[CloseParPos]] - tblPassengerNames[[#This Row],[OpenParPos]] - 1)</f>
        <v>#VALUE!</v>
      </c>
      <c r="L83" t="e">
        <f>IF(AND(LEFT(tblPassengerNames[[#This Row],[InParentheses]], 1) = "'", RIGHT(tblPassengerNames[[#This Row],[InParentheses]], 1) = "'"),
    #VALUE!,
    tblPassengerNames[[#This Row],[InParentheses]]
)</f>
        <v>#VALUE!</v>
      </c>
      <c r="M83" t="e">
        <f>LEN(tblPassengerNames[[#This Row],[InParenthesesCleaned]]) - LEN(SUBSTITUTE(tblPassengerNames[[#This Row],[InParenthesesCleaned]], " ", ""))</f>
        <v>#VALUE!</v>
      </c>
      <c r="N83" t="e">
        <f>FIND("@", SUBSTITUTE(tblPassengerNames[[#This Row],[InParenthesesCleaned]], " ", "@", tblPassengerNames[[#This Row],[P_NSpaces]]))</f>
        <v>#VALUE!</v>
      </c>
      <c r="O83" t="e">
        <f>IF(tblPassengerNames[[#This Row],[P_NSpaces]] = 0,
    tblPassengerNames[[#This Row],[InParenthesesCleaned]],
    LEFT(tblPassengerNames[[#This Row],[InParenthesesCleaned]], tblPassengerNames[[#This Row],[P_FinalSpacePos]] - 1)
)</f>
        <v>#VALUE!</v>
      </c>
      <c r="P83" t="str">
        <f>IFERROR(tblPassengerNames[[#This Row],[P_Forenames]], tblPassengerNames[[#This Row],[ConvForenames]])</f>
        <v>John Bertram</v>
      </c>
      <c r="Q83" t="str">
        <f>MID(tblPassengerNames[[#This Row],[Name]], tblPassengerNames[[#This Row],[CommaPos]] + 2, tblPassengerNames[[#This Row],[DotPos]] - tblPassengerNames[[#This Row],[CommaPos]] - 1)</f>
        <v>Mr.</v>
      </c>
      <c r="R83" t="str">
        <f>LEFT(tblPassengerNames[[#This Row],[Name]], tblPassengerNames[[#This Row],[CommaPos]] - 1)</f>
        <v>Crafton</v>
      </c>
    </row>
    <row r="84" spans="2:18" x14ac:dyDescent="0.25">
      <c r="B84" s="21">
        <v>82</v>
      </c>
      <c r="C84" s="21" t="s">
        <v>218</v>
      </c>
      <c r="D84" s="21" t="s">
        <v>138</v>
      </c>
      <c r="E84">
        <f>FIND(",", tblPassengerNames[[#This Row],[Name]])</f>
        <v>7</v>
      </c>
      <c r="F84">
        <f>FIND(".", tblPassengerNames[[#This Row],[Name]])</f>
        <v>13</v>
      </c>
      <c r="G84" t="e">
        <f>FIND("(", tblPassengerNames[[#This Row],[Name]])</f>
        <v>#VALUE!</v>
      </c>
      <c r="H84" t="e">
        <f>FIND(")", tblPassengerNames[[#This Row],[Name]])</f>
        <v>#VALUE!</v>
      </c>
      <c r="I84">
        <f>IFERROR(tblPassengerNames[[#This Row],[OpenParPos]] - 2, LEN(tblPassengerNames[[#This Row],[Name]]))</f>
        <v>28</v>
      </c>
      <c r="J84" t="str">
        <f>MID(tblPassengerNames[[#This Row],[Name]], tblPassengerNames[[#This Row],[DotPos]] + 2, tblPassengerNames[[#This Row],[EndOfConvFNPos]] - tblPassengerNames[[#This Row],[DotPos]] - 1)</f>
        <v>Edward Gifford</v>
      </c>
      <c r="K84" t="e">
        <f>MID(tblPassengerNames[[#This Row],[Name]], tblPassengerNames[[#This Row],[OpenParPos]] + 1, tblPassengerNames[[#This Row],[CloseParPos]] - tblPassengerNames[[#This Row],[OpenParPos]] - 1)</f>
        <v>#VALUE!</v>
      </c>
      <c r="L84" t="e">
        <f>IF(AND(LEFT(tblPassengerNames[[#This Row],[InParentheses]], 1) = "'", RIGHT(tblPassengerNames[[#This Row],[InParentheses]], 1) = "'"),
    #VALUE!,
    tblPassengerNames[[#This Row],[InParentheses]]
)</f>
        <v>#VALUE!</v>
      </c>
      <c r="M84" t="e">
        <f>LEN(tblPassengerNames[[#This Row],[InParenthesesCleaned]]) - LEN(SUBSTITUTE(tblPassengerNames[[#This Row],[InParenthesesCleaned]], " ", ""))</f>
        <v>#VALUE!</v>
      </c>
      <c r="N84" t="e">
        <f>FIND("@", SUBSTITUTE(tblPassengerNames[[#This Row],[InParenthesesCleaned]], " ", "@", tblPassengerNames[[#This Row],[P_NSpaces]]))</f>
        <v>#VALUE!</v>
      </c>
      <c r="O84" t="e">
        <f>IF(tblPassengerNames[[#This Row],[P_NSpaces]] = 0,
    tblPassengerNames[[#This Row],[InParenthesesCleaned]],
    LEFT(tblPassengerNames[[#This Row],[InParenthesesCleaned]], tblPassengerNames[[#This Row],[P_FinalSpacePos]] - 1)
)</f>
        <v>#VALUE!</v>
      </c>
      <c r="P84" t="str">
        <f>IFERROR(tblPassengerNames[[#This Row],[P_Forenames]], tblPassengerNames[[#This Row],[ConvForenames]])</f>
        <v>Edward Gifford</v>
      </c>
      <c r="Q84" t="str">
        <f>MID(tblPassengerNames[[#This Row],[Name]], tblPassengerNames[[#This Row],[CommaPos]] + 2, tblPassengerNames[[#This Row],[DotPos]] - tblPassengerNames[[#This Row],[CommaPos]] - 1)</f>
        <v>Capt.</v>
      </c>
      <c r="R84" t="str">
        <f>LEFT(tblPassengerNames[[#This Row],[Name]], tblPassengerNames[[#This Row],[CommaPos]] - 1)</f>
        <v>Crosby</v>
      </c>
    </row>
    <row r="85" spans="2:18" x14ac:dyDescent="0.25">
      <c r="B85" s="21">
        <v>83</v>
      </c>
      <c r="C85" s="21" t="s">
        <v>219</v>
      </c>
      <c r="D85" s="21" t="s">
        <v>136</v>
      </c>
      <c r="E85">
        <f>FIND(",", tblPassengerNames[[#This Row],[Name]])</f>
        <v>7</v>
      </c>
      <c r="F85">
        <f>FIND(".", tblPassengerNames[[#This Row],[Name]])</f>
        <v>13</v>
      </c>
      <c r="G85" t="e">
        <f>FIND("(", tblPassengerNames[[#This Row],[Name]])</f>
        <v>#VALUE!</v>
      </c>
      <c r="H85" t="e">
        <f>FIND(")", tblPassengerNames[[#This Row],[Name]])</f>
        <v>#VALUE!</v>
      </c>
      <c r="I85">
        <f>IFERROR(tblPassengerNames[[#This Row],[OpenParPos]] - 2, LEN(tblPassengerNames[[#This Row],[Name]]))</f>
        <v>23</v>
      </c>
      <c r="J85" t="str">
        <f>MID(tblPassengerNames[[#This Row],[Name]], tblPassengerNames[[#This Row],[DotPos]] + 2, tblPassengerNames[[#This Row],[EndOfConvFNPos]] - tblPassengerNames[[#This Row],[DotPos]] - 1)</f>
        <v>Harriet R</v>
      </c>
      <c r="K85" t="e">
        <f>MID(tblPassengerNames[[#This Row],[Name]], tblPassengerNames[[#This Row],[OpenParPos]] + 1, tblPassengerNames[[#This Row],[CloseParPos]] - tblPassengerNames[[#This Row],[OpenParPos]] - 1)</f>
        <v>#VALUE!</v>
      </c>
      <c r="L85" t="e">
        <f>IF(AND(LEFT(tblPassengerNames[[#This Row],[InParentheses]], 1) = "'", RIGHT(tblPassengerNames[[#This Row],[InParentheses]], 1) = "'"),
    #VALUE!,
    tblPassengerNames[[#This Row],[InParentheses]]
)</f>
        <v>#VALUE!</v>
      </c>
      <c r="M85" t="e">
        <f>LEN(tblPassengerNames[[#This Row],[InParenthesesCleaned]]) - LEN(SUBSTITUTE(tblPassengerNames[[#This Row],[InParenthesesCleaned]], " ", ""))</f>
        <v>#VALUE!</v>
      </c>
      <c r="N85" t="e">
        <f>FIND("@", SUBSTITUTE(tblPassengerNames[[#This Row],[InParenthesesCleaned]], " ", "@", tblPassengerNames[[#This Row],[P_NSpaces]]))</f>
        <v>#VALUE!</v>
      </c>
      <c r="O85" t="e">
        <f>IF(tblPassengerNames[[#This Row],[P_NSpaces]] = 0,
    tblPassengerNames[[#This Row],[InParenthesesCleaned]],
    LEFT(tblPassengerNames[[#This Row],[InParenthesesCleaned]], tblPassengerNames[[#This Row],[P_FinalSpacePos]] - 1)
)</f>
        <v>#VALUE!</v>
      </c>
      <c r="P85" t="str">
        <f>IFERROR(tblPassengerNames[[#This Row],[P_Forenames]], tblPassengerNames[[#This Row],[ConvForenames]])</f>
        <v>Harriet R</v>
      </c>
      <c r="Q85" t="str">
        <f>MID(tblPassengerNames[[#This Row],[Name]], tblPassengerNames[[#This Row],[CommaPos]] + 2, tblPassengerNames[[#This Row],[DotPos]] - tblPassengerNames[[#This Row],[CommaPos]] - 1)</f>
        <v>Miss.</v>
      </c>
      <c r="R85" t="str">
        <f>LEFT(tblPassengerNames[[#This Row],[Name]], tblPassengerNames[[#This Row],[CommaPos]] - 1)</f>
        <v>Crosby</v>
      </c>
    </row>
    <row r="86" spans="2:18" x14ac:dyDescent="0.25">
      <c r="B86" s="21">
        <v>84</v>
      </c>
      <c r="C86" s="21" t="s">
        <v>220</v>
      </c>
      <c r="D86" s="21" t="s">
        <v>136</v>
      </c>
      <c r="E86">
        <f>FIND(",", tblPassengerNames[[#This Row],[Name]])</f>
        <v>7</v>
      </c>
      <c r="F86">
        <f>FIND(".", tblPassengerNames[[#This Row],[Name]])</f>
        <v>12</v>
      </c>
      <c r="G86">
        <f>FIND("(", tblPassengerNames[[#This Row],[Name]])</f>
        <v>29</v>
      </c>
      <c r="H86">
        <f>FIND(")", tblPassengerNames[[#This Row],[Name]])</f>
        <v>58</v>
      </c>
      <c r="I86">
        <f>IFERROR(tblPassengerNames[[#This Row],[OpenParPos]] - 2, LEN(tblPassengerNames[[#This Row],[Name]]))</f>
        <v>27</v>
      </c>
      <c r="J86" t="str">
        <f>MID(tblPassengerNames[[#This Row],[Name]], tblPassengerNames[[#This Row],[DotPos]] + 2, tblPassengerNames[[#This Row],[EndOfConvFNPos]] - tblPassengerNames[[#This Row],[DotPos]] - 1)</f>
        <v>Edward Gifford</v>
      </c>
      <c r="K86" t="str">
        <f>MID(tblPassengerNames[[#This Row],[Name]], tblPassengerNames[[#This Row],[OpenParPos]] + 1, tblPassengerNames[[#This Row],[CloseParPos]] - tblPassengerNames[[#This Row],[OpenParPos]] - 1)</f>
        <v>Catherine Elizabeth Halstead</v>
      </c>
      <c r="L86" t="str">
        <f>IF(AND(LEFT(tblPassengerNames[[#This Row],[InParentheses]], 1) = "'", RIGHT(tblPassengerNames[[#This Row],[InParentheses]], 1) = "'"),
    #VALUE!,
    tblPassengerNames[[#This Row],[InParentheses]]
)</f>
        <v>Catherine Elizabeth Halstead</v>
      </c>
      <c r="M86">
        <f>LEN(tblPassengerNames[[#This Row],[InParenthesesCleaned]]) - LEN(SUBSTITUTE(tblPassengerNames[[#This Row],[InParenthesesCleaned]], " ", ""))</f>
        <v>2</v>
      </c>
      <c r="N86">
        <f>FIND("@", SUBSTITUTE(tblPassengerNames[[#This Row],[InParenthesesCleaned]], " ", "@", tblPassengerNames[[#This Row],[P_NSpaces]]))</f>
        <v>20</v>
      </c>
      <c r="O86" t="str">
        <f>IF(tblPassengerNames[[#This Row],[P_NSpaces]] = 0,
    tblPassengerNames[[#This Row],[InParenthesesCleaned]],
    LEFT(tblPassengerNames[[#This Row],[InParenthesesCleaned]], tblPassengerNames[[#This Row],[P_FinalSpacePos]] - 1)
)</f>
        <v>Catherine Elizabeth</v>
      </c>
      <c r="P86" t="str">
        <f>IFERROR(tblPassengerNames[[#This Row],[P_Forenames]], tblPassengerNames[[#This Row],[ConvForenames]])</f>
        <v>Catherine Elizabeth</v>
      </c>
      <c r="Q86" t="str">
        <f>MID(tblPassengerNames[[#This Row],[Name]], tblPassengerNames[[#This Row],[CommaPos]] + 2, tblPassengerNames[[#This Row],[DotPos]] - tblPassengerNames[[#This Row],[CommaPos]] - 1)</f>
        <v>Mrs.</v>
      </c>
      <c r="R86" t="str">
        <f>LEFT(tblPassengerNames[[#This Row],[Name]], tblPassengerNames[[#This Row],[CommaPos]] - 1)</f>
        <v>Crosby</v>
      </c>
    </row>
    <row r="87" spans="2:18" x14ac:dyDescent="0.25">
      <c r="B87" s="21">
        <v>85</v>
      </c>
      <c r="C87" s="21" t="s">
        <v>221</v>
      </c>
      <c r="D87" s="21" t="s">
        <v>138</v>
      </c>
      <c r="E87">
        <f>FIND(",", tblPassengerNames[[#This Row],[Name]])</f>
        <v>8</v>
      </c>
      <c r="F87">
        <f>FIND(".", tblPassengerNames[[#This Row],[Name]])</f>
        <v>12</v>
      </c>
      <c r="G87" t="e">
        <f>FIND("(", tblPassengerNames[[#This Row],[Name]])</f>
        <v>#VALUE!</v>
      </c>
      <c r="H87" t="e">
        <f>FIND(")", tblPassengerNames[[#This Row],[Name]])</f>
        <v>#VALUE!</v>
      </c>
      <c r="I87">
        <f>IFERROR(tblPassengerNames[[#This Row],[OpenParPos]] - 2, LEN(tblPassengerNames[[#This Row],[Name]]))</f>
        <v>25</v>
      </c>
      <c r="J87" t="str">
        <f>MID(tblPassengerNames[[#This Row],[Name]], tblPassengerNames[[#This Row],[DotPos]] + 2, tblPassengerNames[[#This Row],[EndOfConvFNPos]] - tblPassengerNames[[#This Row],[DotPos]] - 1)</f>
        <v>John Bradley</v>
      </c>
      <c r="K87" t="e">
        <f>MID(tblPassengerNames[[#This Row],[Name]], tblPassengerNames[[#This Row],[OpenParPos]] + 1, tblPassengerNames[[#This Row],[CloseParPos]] - tblPassengerNames[[#This Row],[OpenParPos]] - 1)</f>
        <v>#VALUE!</v>
      </c>
      <c r="L87" t="e">
        <f>IF(AND(LEFT(tblPassengerNames[[#This Row],[InParentheses]], 1) = "'", RIGHT(tblPassengerNames[[#This Row],[InParentheses]], 1) = "'"),
    #VALUE!,
    tblPassengerNames[[#This Row],[InParentheses]]
)</f>
        <v>#VALUE!</v>
      </c>
      <c r="M87" t="e">
        <f>LEN(tblPassengerNames[[#This Row],[InParenthesesCleaned]]) - LEN(SUBSTITUTE(tblPassengerNames[[#This Row],[InParenthesesCleaned]], " ", ""))</f>
        <v>#VALUE!</v>
      </c>
      <c r="N87" t="e">
        <f>FIND("@", SUBSTITUTE(tblPassengerNames[[#This Row],[InParenthesesCleaned]], " ", "@", tblPassengerNames[[#This Row],[P_NSpaces]]))</f>
        <v>#VALUE!</v>
      </c>
      <c r="O87" t="e">
        <f>IF(tblPassengerNames[[#This Row],[P_NSpaces]] = 0,
    tblPassengerNames[[#This Row],[InParenthesesCleaned]],
    LEFT(tblPassengerNames[[#This Row],[InParenthesesCleaned]], tblPassengerNames[[#This Row],[P_FinalSpacePos]] - 1)
)</f>
        <v>#VALUE!</v>
      </c>
      <c r="P87" t="str">
        <f>IFERROR(tblPassengerNames[[#This Row],[P_Forenames]], tblPassengerNames[[#This Row],[ConvForenames]])</f>
        <v>John Bradley</v>
      </c>
      <c r="Q87" t="str">
        <f>MID(tblPassengerNames[[#This Row],[Name]], tblPassengerNames[[#This Row],[CommaPos]] + 2, tblPassengerNames[[#This Row],[DotPos]] - tblPassengerNames[[#This Row],[CommaPos]] - 1)</f>
        <v>Mr.</v>
      </c>
      <c r="R87" t="str">
        <f>LEFT(tblPassengerNames[[#This Row],[Name]], tblPassengerNames[[#This Row],[CommaPos]] - 1)</f>
        <v>Cumings</v>
      </c>
    </row>
    <row r="88" spans="2:18" x14ac:dyDescent="0.25">
      <c r="B88" s="21">
        <v>86</v>
      </c>
      <c r="C88" s="21" t="s">
        <v>222</v>
      </c>
      <c r="D88" s="21" t="s">
        <v>136</v>
      </c>
      <c r="E88">
        <f>FIND(",", tblPassengerNames[[#This Row],[Name]])</f>
        <v>8</v>
      </c>
      <c r="F88">
        <f>FIND(".", tblPassengerNames[[#This Row],[Name]])</f>
        <v>13</v>
      </c>
      <c r="G88">
        <f>FIND("(", tblPassengerNames[[#This Row],[Name]])</f>
        <v>28</v>
      </c>
      <c r="H88">
        <f>FIND(")", tblPassengerNames[[#This Row],[Name]])</f>
        <v>51</v>
      </c>
      <c r="I88">
        <f>IFERROR(tblPassengerNames[[#This Row],[OpenParPos]] - 2, LEN(tblPassengerNames[[#This Row],[Name]]))</f>
        <v>26</v>
      </c>
      <c r="J88" t="str">
        <f>MID(tblPassengerNames[[#This Row],[Name]], tblPassengerNames[[#This Row],[DotPos]] + 2, tblPassengerNames[[#This Row],[EndOfConvFNPos]] - tblPassengerNames[[#This Row],[DotPos]] - 1)</f>
        <v>John Bradley</v>
      </c>
      <c r="K88" t="str">
        <f>MID(tblPassengerNames[[#This Row],[Name]], tblPassengerNames[[#This Row],[OpenParPos]] + 1, tblPassengerNames[[#This Row],[CloseParPos]] - tblPassengerNames[[#This Row],[OpenParPos]] - 1)</f>
        <v>Florence Briggs Thayer</v>
      </c>
      <c r="L88" t="str">
        <f>IF(AND(LEFT(tblPassengerNames[[#This Row],[InParentheses]], 1) = "'", RIGHT(tblPassengerNames[[#This Row],[InParentheses]], 1) = "'"),
    #VALUE!,
    tblPassengerNames[[#This Row],[InParentheses]]
)</f>
        <v>Florence Briggs Thayer</v>
      </c>
      <c r="M88">
        <f>LEN(tblPassengerNames[[#This Row],[InParenthesesCleaned]]) - LEN(SUBSTITUTE(tblPassengerNames[[#This Row],[InParenthesesCleaned]], " ", ""))</f>
        <v>2</v>
      </c>
      <c r="N88">
        <f>FIND("@", SUBSTITUTE(tblPassengerNames[[#This Row],[InParenthesesCleaned]], " ", "@", tblPassengerNames[[#This Row],[P_NSpaces]]))</f>
        <v>16</v>
      </c>
      <c r="O88" t="str">
        <f>IF(tblPassengerNames[[#This Row],[P_NSpaces]] = 0,
    tblPassengerNames[[#This Row],[InParenthesesCleaned]],
    LEFT(tblPassengerNames[[#This Row],[InParenthesesCleaned]], tblPassengerNames[[#This Row],[P_FinalSpacePos]] - 1)
)</f>
        <v>Florence Briggs</v>
      </c>
      <c r="P88" t="str">
        <f>IFERROR(tblPassengerNames[[#This Row],[P_Forenames]], tblPassengerNames[[#This Row],[ConvForenames]])</f>
        <v>Florence Briggs</v>
      </c>
      <c r="Q88" t="str">
        <f>MID(tblPassengerNames[[#This Row],[Name]], tblPassengerNames[[#This Row],[CommaPos]] + 2, tblPassengerNames[[#This Row],[DotPos]] - tblPassengerNames[[#This Row],[CommaPos]] - 1)</f>
        <v>Mrs.</v>
      </c>
      <c r="R88" t="str">
        <f>LEFT(tblPassengerNames[[#This Row],[Name]], tblPassengerNames[[#This Row],[CommaPos]] - 1)</f>
        <v>Cumings</v>
      </c>
    </row>
    <row r="89" spans="2:18" x14ac:dyDescent="0.25">
      <c r="B89" s="21">
        <v>87</v>
      </c>
      <c r="C89" s="21" t="s">
        <v>223</v>
      </c>
      <c r="D89" s="21" t="s">
        <v>138</v>
      </c>
      <c r="E89">
        <f>FIND(",", tblPassengerNames[[#This Row],[Name]])</f>
        <v>5</v>
      </c>
      <c r="F89">
        <f>FIND(".", tblPassengerNames[[#This Row],[Name]])</f>
        <v>9</v>
      </c>
      <c r="G89" t="e">
        <f>FIND("(", tblPassengerNames[[#This Row],[Name]])</f>
        <v>#VALUE!</v>
      </c>
      <c r="H89" t="e">
        <f>FIND(")", tblPassengerNames[[#This Row],[Name]])</f>
        <v>#VALUE!</v>
      </c>
      <c r="I89">
        <f>IFERROR(tblPassengerNames[[#This Row],[OpenParPos]] - 2, LEN(tblPassengerNames[[#This Row],[Name]]))</f>
        <v>21</v>
      </c>
      <c r="J89" t="str">
        <f>MID(tblPassengerNames[[#This Row],[Name]], tblPassengerNames[[#This Row],[DotPos]] + 2, tblPassengerNames[[#This Row],[EndOfConvFNPos]] - tblPassengerNames[[#This Row],[DotPos]] - 1)</f>
        <v>Peter Denis</v>
      </c>
      <c r="K89" t="e">
        <f>MID(tblPassengerNames[[#This Row],[Name]], tblPassengerNames[[#This Row],[OpenParPos]] + 1, tblPassengerNames[[#This Row],[CloseParPos]] - tblPassengerNames[[#This Row],[OpenParPos]] - 1)</f>
        <v>#VALUE!</v>
      </c>
      <c r="L89" t="e">
        <f>IF(AND(LEFT(tblPassengerNames[[#This Row],[InParentheses]], 1) = "'", RIGHT(tblPassengerNames[[#This Row],[InParentheses]], 1) = "'"),
    #VALUE!,
    tblPassengerNames[[#This Row],[InParentheses]]
)</f>
        <v>#VALUE!</v>
      </c>
      <c r="M89" t="e">
        <f>LEN(tblPassengerNames[[#This Row],[InParenthesesCleaned]]) - LEN(SUBSTITUTE(tblPassengerNames[[#This Row],[InParenthesesCleaned]], " ", ""))</f>
        <v>#VALUE!</v>
      </c>
      <c r="N89" t="e">
        <f>FIND("@", SUBSTITUTE(tblPassengerNames[[#This Row],[InParenthesesCleaned]], " ", "@", tblPassengerNames[[#This Row],[P_NSpaces]]))</f>
        <v>#VALUE!</v>
      </c>
      <c r="O89" t="e">
        <f>IF(tblPassengerNames[[#This Row],[P_NSpaces]] = 0,
    tblPassengerNames[[#This Row],[InParenthesesCleaned]],
    LEFT(tblPassengerNames[[#This Row],[InParenthesesCleaned]], tblPassengerNames[[#This Row],[P_FinalSpacePos]] - 1)
)</f>
        <v>#VALUE!</v>
      </c>
      <c r="P89" t="str">
        <f>IFERROR(tblPassengerNames[[#This Row],[P_Forenames]], tblPassengerNames[[#This Row],[ConvForenames]])</f>
        <v>Peter Denis</v>
      </c>
      <c r="Q89" t="str">
        <f>MID(tblPassengerNames[[#This Row],[Name]], tblPassengerNames[[#This Row],[CommaPos]] + 2, tblPassengerNames[[#This Row],[DotPos]] - tblPassengerNames[[#This Row],[CommaPos]] - 1)</f>
        <v>Mr.</v>
      </c>
      <c r="R89" t="str">
        <f>LEFT(tblPassengerNames[[#This Row],[Name]], tblPassengerNames[[#This Row],[CommaPos]] - 1)</f>
        <v>Daly</v>
      </c>
    </row>
    <row r="90" spans="2:18" x14ac:dyDescent="0.25">
      <c r="B90" s="21">
        <v>88</v>
      </c>
      <c r="C90" s="21" t="s">
        <v>224</v>
      </c>
      <c r="D90" s="21" t="s">
        <v>138</v>
      </c>
      <c r="E90">
        <f>FIND(",", tblPassengerNames[[#This Row],[Name]])</f>
        <v>7</v>
      </c>
      <c r="F90">
        <f>FIND(".", tblPassengerNames[[#This Row],[Name]])</f>
        <v>11</v>
      </c>
      <c r="G90" t="e">
        <f>FIND("(", tblPassengerNames[[#This Row],[Name]])</f>
        <v>#VALUE!</v>
      </c>
      <c r="H90" t="e">
        <f>FIND(")", tblPassengerNames[[#This Row],[Name]])</f>
        <v>#VALUE!</v>
      </c>
      <c r="I90">
        <f>IFERROR(tblPassengerNames[[#This Row],[OpenParPos]] - 2, LEN(tblPassengerNames[[#This Row],[Name]]))</f>
        <v>27</v>
      </c>
      <c r="J90" t="str">
        <f>MID(tblPassengerNames[[#This Row],[Name]], tblPassengerNames[[#This Row],[DotPos]] + 2, tblPassengerNames[[#This Row],[EndOfConvFNPos]] - tblPassengerNames[[#This Row],[DotPos]] - 1)</f>
        <v>Robert Williams</v>
      </c>
      <c r="K90" t="e">
        <f>MID(tblPassengerNames[[#This Row],[Name]], tblPassengerNames[[#This Row],[OpenParPos]] + 1, tblPassengerNames[[#This Row],[CloseParPos]] - tblPassengerNames[[#This Row],[OpenParPos]] - 1)</f>
        <v>#VALUE!</v>
      </c>
      <c r="L90" t="e">
        <f>IF(AND(LEFT(tblPassengerNames[[#This Row],[InParentheses]], 1) = "'", RIGHT(tblPassengerNames[[#This Row],[InParentheses]], 1) = "'"),
    #VALUE!,
    tblPassengerNames[[#This Row],[InParentheses]]
)</f>
        <v>#VALUE!</v>
      </c>
      <c r="M90" t="e">
        <f>LEN(tblPassengerNames[[#This Row],[InParenthesesCleaned]]) - LEN(SUBSTITUTE(tblPassengerNames[[#This Row],[InParenthesesCleaned]], " ", ""))</f>
        <v>#VALUE!</v>
      </c>
      <c r="N90" t="e">
        <f>FIND("@", SUBSTITUTE(tblPassengerNames[[#This Row],[InParenthesesCleaned]], " ", "@", tblPassengerNames[[#This Row],[P_NSpaces]]))</f>
        <v>#VALUE!</v>
      </c>
      <c r="O90" t="e">
        <f>IF(tblPassengerNames[[#This Row],[P_NSpaces]] = 0,
    tblPassengerNames[[#This Row],[InParenthesesCleaned]],
    LEFT(tblPassengerNames[[#This Row],[InParenthesesCleaned]], tblPassengerNames[[#This Row],[P_FinalSpacePos]] - 1)
)</f>
        <v>#VALUE!</v>
      </c>
      <c r="P90" t="str">
        <f>IFERROR(tblPassengerNames[[#This Row],[P_Forenames]], tblPassengerNames[[#This Row],[ConvForenames]])</f>
        <v>Robert Williams</v>
      </c>
      <c r="Q90" t="str">
        <f>MID(tblPassengerNames[[#This Row],[Name]], tblPassengerNames[[#This Row],[CommaPos]] + 2, tblPassengerNames[[#This Row],[DotPos]] - tblPassengerNames[[#This Row],[CommaPos]] - 1)</f>
        <v>Mr.</v>
      </c>
      <c r="R90" t="str">
        <f>LEFT(tblPassengerNames[[#This Row],[Name]], tblPassengerNames[[#This Row],[CommaPos]] - 1)</f>
        <v>Daniel</v>
      </c>
    </row>
    <row r="91" spans="2:18" x14ac:dyDescent="0.25">
      <c r="B91" s="21">
        <v>89</v>
      </c>
      <c r="C91" s="21" t="s">
        <v>225</v>
      </c>
      <c r="D91" s="21" t="s">
        <v>136</v>
      </c>
      <c r="E91">
        <f>FIND(",", tblPassengerNames[[#This Row],[Name]])</f>
        <v>8</v>
      </c>
      <c r="F91">
        <f>FIND(".", tblPassengerNames[[#This Row],[Name]])</f>
        <v>14</v>
      </c>
      <c r="G91" t="e">
        <f>FIND("(", tblPassengerNames[[#This Row],[Name]])</f>
        <v>#VALUE!</v>
      </c>
      <c r="H91" t="e">
        <f>FIND(")", tblPassengerNames[[#This Row],[Name]])</f>
        <v>#VALUE!</v>
      </c>
      <c r="I91">
        <f>IFERROR(tblPassengerNames[[#This Row],[OpenParPos]] - 2, LEN(tblPassengerNames[[#This Row],[Name]]))</f>
        <v>20</v>
      </c>
      <c r="J91" t="str">
        <f>MID(tblPassengerNames[[#This Row],[Name]], tblPassengerNames[[#This Row],[DotPos]] + 2, tblPassengerNames[[#This Row],[EndOfConvFNPos]] - tblPassengerNames[[#This Row],[DotPos]] - 1)</f>
        <v>Sarah</v>
      </c>
      <c r="K91" t="e">
        <f>MID(tblPassengerNames[[#This Row],[Name]], tblPassengerNames[[#This Row],[OpenParPos]] + 1, tblPassengerNames[[#This Row],[CloseParPos]] - tblPassengerNames[[#This Row],[OpenParPos]] - 1)</f>
        <v>#VALUE!</v>
      </c>
      <c r="L91" t="e">
        <f>IF(AND(LEFT(tblPassengerNames[[#This Row],[InParentheses]], 1) = "'", RIGHT(tblPassengerNames[[#This Row],[InParentheses]], 1) = "'"),
    #VALUE!,
    tblPassengerNames[[#This Row],[InParentheses]]
)</f>
        <v>#VALUE!</v>
      </c>
      <c r="M91" t="e">
        <f>LEN(tblPassengerNames[[#This Row],[InParenthesesCleaned]]) - LEN(SUBSTITUTE(tblPassengerNames[[#This Row],[InParenthesesCleaned]], " ", ""))</f>
        <v>#VALUE!</v>
      </c>
      <c r="N91" t="e">
        <f>FIND("@", SUBSTITUTE(tblPassengerNames[[#This Row],[InParenthesesCleaned]], " ", "@", tblPassengerNames[[#This Row],[P_NSpaces]]))</f>
        <v>#VALUE!</v>
      </c>
      <c r="O91" t="e">
        <f>IF(tblPassengerNames[[#This Row],[P_NSpaces]] = 0,
    tblPassengerNames[[#This Row],[InParenthesesCleaned]],
    LEFT(tblPassengerNames[[#This Row],[InParenthesesCleaned]], tblPassengerNames[[#This Row],[P_FinalSpacePos]] - 1)
)</f>
        <v>#VALUE!</v>
      </c>
      <c r="P91" t="str">
        <f>IFERROR(tblPassengerNames[[#This Row],[P_Forenames]], tblPassengerNames[[#This Row],[ConvForenames]])</f>
        <v>Sarah</v>
      </c>
      <c r="Q91" t="str">
        <f>MID(tblPassengerNames[[#This Row],[Name]], tblPassengerNames[[#This Row],[CommaPos]] + 2, tblPassengerNames[[#This Row],[DotPos]] - tblPassengerNames[[#This Row],[CommaPos]] - 1)</f>
        <v>Miss.</v>
      </c>
      <c r="R91" t="str">
        <f>LEFT(tblPassengerNames[[#This Row],[Name]], tblPassengerNames[[#This Row],[CommaPos]] - 1)</f>
        <v>Daniels</v>
      </c>
    </row>
    <row r="92" spans="2:18" x14ac:dyDescent="0.25">
      <c r="B92" s="21">
        <v>90</v>
      </c>
      <c r="C92" s="21" t="s">
        <v>226</v>
      </c>
      <c r="D92" s="21" t="s">
        <v>138</v>
      </c>
      <c r="E92">
        <f>FIND(",", tblPassengerNames[[#This Row],[Name]])</f>
        <v>9</v>
      </c>
      <c r="F92">
        <f>FIND(".", tblPassengerNames[[#This Row],[Name]])</f>
        <v>13</v>
      </c>
      <c r="G92" t="e">
        <f>FIND("(", tblPassengerNames[[#This Row],[Name]])</f>
        <v>#VALUE!</v>
      </c>
      <c r="H92" t="e">
        <f>FIND(")", tblPassengerNames[[#This Row],[Name]])</f>
        <v>#VALUE!</v>
      </c>
      <c r="I92">
        <f>IFERROR(tblPassengerNames[[#This Row],[OpenParPos]] - 2, LEN(tblPassengerNames[[#This Row],[Name]]))</f>
        <v>22</v>
      </c>
      <c r="J92" t="str">
        <f>MID(tblPassengerNames[[#This Row],[Name]], tblPassengerNames[[#This Row],[DotPos]] + 2, tblPassengerNames[[#This Row],[EndOfConvFNPos]] - tblPassengerNames[[#This Row],[DotPos]] - 1)</f>
        <v>Thornton</v>
      </c>
      <c r="K92" t="e">
        <f>MID(tblPassengerNames[[#This Row],[Name]], tblPassengerNames[[#This Row],[OpenParPos]] + 1, tblPassengerNames[[#This Row],[CloseParPos]] - tblPassengerNames[[#This Row],[OpenParPos]] - 1)</f>
        <v>#VALUE!</v>
      </c>
      <c r="L92" t="e">
        <f>IF(AND(LEFT(tblPassengerNames[[#This Row],[InParentheses]], 1) = "'", RIGHT(tblPassengerNames[[#This Row],[InParentheses]], 1) = "'"),
    #VALUE!,
    tblPassengerNames[[#This Row],[InParentheses]]
)</f>
        <v>#VALUE!</v>
      </c>
      <c r="M92" t="e">
        <f>LEN(tblPassengerNames[[#This Row],[InParenthesesCleaned]]) - LEN(SUBSTITUTE(tblPassengerNames[[#This Row],[InParenthesesCleaned]], " ", ""))</f>
        <v>#VALUE!</v>
      </c>
      <c r="N92" t="e">
        <f>FIND("@", SUBSTITUTE(tblPassengerNames[[#This Row],[InParenthesesCleaned]], " ", "@", tblPassengerNames[[#This Row],[P_NSpaces]]))</f>
        <v>#VALUE!</v>
      </c>
      <c r="O92" t="e">
        <f>IF(tblPassengerNames[[#This Row],[P_NSpaces]] = 0,
    tblPassengerNames[[#This Row],[InParenthesesCleaned]],
    LEFT(tblPassengerNames[[#This Row],[InParenthesesCleaned]], tblPassengerNames[[#This Row],[P_FinalSpacePos]] - 1)
)</f>
        <v>#VALUE!</v>
      </c>
      <c r="P92" t="str">
        <f>IFERROR(tblPassengerNames[[#This Row],[P_Forenames]], tblPassengerNames[[#This Row],[ConvForenames]])</f>
        <v>Thornton</v>
      </c>
      <c r="Q92" t="str">
        <f>MID(tblPassengerNames[[#This Row],[Name]], tblPassengerNames[[#This Row],[CommaPos]] + 2, tblPassengerNames[[#This Row],[DotPos]] - tblPassengerNames[[#This Row],[CommaPos]] - 1)</f>
        <v>Mr.</v>
      </c>
      <c r="R92" t="str">
        <f>LEFT(tblPassengerNames[[#This Row],[Name]], tblPassengerNames[[#This Row],[CommaPos]] - 1)</f>
        <v>Davidson</v>
      </c>
    </row>
    <row r="93" spans="2:18" x14ac:dyDescent="0.25">
      <c r="B93" s="21">
        <v>91</v>
      </c>
      <c r="C93" s="21" t="s">
        <v>227</v>
      </c>
      <c r="D93" s="21" t="s">
        <v>136</v>
      </c>
      <c r="E93">
        <f>FIND(",", tblPassengerNames[[#This Row],[Name]])</f>
        <v>9</v>
      </c>
      <c r="F93">
        <f>FIND(".", tblPassengerNames[[#This Row],[Name]])</f>
        <v>14</v>
      </c>
      <c r="G93">
        <f>FIND("(", tblPassengerNames[[#This Row],[Name]])</f>
        <v>25</v>
      </c>
      <c r="H93">
        <f>FIND(")", tblPassengerNames[[#This Row],[Name]])</f>
        <v>36</v>
      </c>
      <c r="I93">
        <f>IFERROR(tblPassengerNames[[#This Row],[OpenParPos]] - 2, LEN(tblPassengerNames[[#This Row],[Name]]))</f>
        <v>23</v>
      </c>
      <c r="J93" t="str">
        <f>MID(tblPassengerNames[[#This Row],[Name]], tblPassengerNames[[#This Row],[DotPos]] + 2, tblPassengerNames[[#This Row],[EndOfConvFNPos]] - tblPassengerNames[[#This Row],[DotPos]] - 1)</f>
        <v>Thornton</v>
      </c>
      <c r="K93" t="str">
        <f>MID(tblPassengerNames[[#This Row],[Name]], tblPassengerNames[[#This Row],[OpenParPos]] + 1, tblPassengerNames[[#This Row],[CloseParPos]] - tblPassengerNames[[#This Row],[OpenParPos]] - 1)</f>
        <v>Orian Hays</v>
      </c>
      <c r="L93" t="str">
        <f>IF(AND(LEFT(tblPassengerNames[[#This Row],[InParentheses]], 1) = "'", RIGHT(tblPassengerNames[[#This Row],[InParentheses]], 1) = "'"),
    #VALUE!,
    tblPassengerNames[[#This Row],[InParentheses]]
)</f>
        <v>Orian Hays</v>
      </c>
      <c r="M93">
        <f>LEN(tblPassengerNames[[#This Row],[InParenthesesCleaned]]) - LEN(SUBSTITUTE(tblPassengerNames[[#This Row],[InParenthesesCleaned]], " ", ""))</f>
        <v>1</v>
      </c>
      <c r="N93">
        <f>FIND("@", SUBSTITUTE(tblPassengerNames[[#This Row],[InParenthesesCleaned]], " ", "@", tblPassengerNames[[#This Row],[P_NSpaces]]))</f>
        <v>6</v>
      </c>
      <c r="O93" t="str">
        <f>IF(tblPassengerNames[[#This Row],[P_NSpaces]] = 0,
    tblPassengerNames[[#This Row],[InParenthesesCleaned]],
    LEFT(tblPassengerNames[[#This Row],[InParenthesesCleaned]], tblPassengerNames[[#This Row],[P_FinalSpacePos]] - 1)
)</f>
        <v>Orian</v>
      </c>
      <c r="P93" t="str">
        <f>IFERROR(tblPassengerNames[[#This Row],[P_Forenames]], tblPassengerNames[[#This Row],[ConvForenames]])</f>
        <v>Orian</v>
      </c>
      <c r="Q93" t="str">
        <f>MID(tblPassengerNames[[#This Row],[Name]], tblPassengerNames[[#This Row],[CommaPos]] + 2, tblPassengerNames[[#This Row],[DotPos]] - tblPassengerNames[[#This Row],[CommaPos]] - 1)</f>
        <v>Mrs.</v>
      </c>
      <c r="R93" t="str">
        <f>LEFT(tblPassengerNames[[#This Row],[Name]], tblPassengerNames[[#This Row],[CommaPos]] - 1)</f>
        <v>Davidson</v>
      </c>
    </row>
    <row r="94" spans="2:18" x14ac:dyDescent="0.25">
      <c r="B94" s="21">
        <v>92</v>
      </c>
      <c r="C94" s="21" t="s">
        <v>228</v>
      </c>
      <c r="D94" s="21" t="s">
        <v>138</v>
      </c>
      <c r="E94">
        <f>FIND(",", tblPassengerNames[[#This Row],[Name]])</f>
        <v>5</v>
      </c>
      <c r="F94">
        <f>FIND(".", tblPassengerNames[[#This Row],[Name]])</f>
        <v>9</v>
      </c>
      <c r="G94" t="e">
        <f>FIND("(", tblPassengerNames[[#This Row],[Name]])</f>
        <v>#VALUE!</v>
      </c>
      <c r="H94" t="e">
        <f>FIND(")", tblPassengerNames[[#This Row],[Name]])</f>
        <v>#VALUE!</v>
      </c>
      <c r="I94">
        <f>IFERROR(tblPassengerNames[[#This Row],[OpenParPos]] - 2, LEN(tblPassengerNames[[#This Row],[Name]]))</f>
        <v>23</v>
      </c>
      <c r="J94" t="str">
        <f>MID(tblPassengerNames[[#This Row],[Name]], tblPassengerNames[[#This Row],[DotPos]] + 2, tblPassengerNames[[#This Row],[EndOfConvFNPos]] - tblPassengerNames[[#This Row],[DotPos]] - 1)</f>
        <v>Albert Adrian</v>
      </c>
      <c r="K94" t="e">
        <f>MID(tblPassengerNames[[#This Row],[Name]], tblPassengerNames[[#This Row],[OpenParPos]] + 1, tblPassengerNames[[#This Row],[CloseParPos]] - tblPassengerNames[[#This Row],[OpenParPos]] - 1)</f>
        <v>#VALUE!</v>
      </c>
      <c r="L94" t="e">
        <f>IF(AND(LEFT(tblPassengerNames[[#This Row],[InParentheses]], 1) = "'", RIGHT(tblPassengerNames[[#This Row],[InParentheses]], 1) = "'"),
    #VALUE!,
    tblPassengerNames[[#This Row],[InParentheses]]
)</f>
        <v>#VALUE!</v>
      </c>
      <c r="M94" t="e">
        <f>LEN(tblPassengerNames[[#This Row],[InParenthesesCleaned]]) - LEN(SUBSTITUTE(tblPassengerNames[[#This Row],[InParenthesesCleaned]], " ", ""))</f>
        <v>#VALUE!</v>
      </c>
      <c r="N94" t="e">
        <f>FIND("@", SUBSTITUTE(tblPassengerNames[[#This Row],[InParenthesesCleaned]], " ", "@", tblPassengerNames[[#This Row],[P_NSpaces]]))</f>
        <v>#VALUE!</v>
      </c>
      <c r="O94" t="e">
        <f>IF(tblPassengerNames[[#This Row],[P_NSpaces]] = 0,
    tblPassengerNames[[#This Row],[InParenthesesCleaned]],
    LEFT(tblPassengerNames[[#This Row],[InParenthesesCleaned]], tblPassengerNames[[#This Row],[P_FinalSpacePos]] - 1)
)</f>
        <v>#VALUE!</v>
      </c>
      <c r="P94" t="str">
        <f>IFERROR(tblPassengerNames[[#This Row],[P_Forenames]], tblPassengerNames[[#This Row],[ConvForenames]])</f>
        <v>Albert Adrian</v>
      </c>
      <c r="Q94" t="str">
        <f>MID(tblPassengerNames[[#This Row],[Name]], tblPassengerNames[[#This Row],[CommaPos]] + 2, tblPassengerNames[[#This Row],[DotPos]] - tblPassengerNames[[#This Row],[CommaPos]] - 1)</f>
        <v>Mr.</v>
      </c>
      <c r="R94" t="str">
        <f>LEFT(tblPassengerNames[[#This Row],[Name]], tblPassengerNames[[#This Row],[CommaPos]] - 1)</f>
        <v>Dick</v>
      </c>
    </row>
    <row r="95" spans="2:18" x14ac:dyDescent="0.25">
      <c r="B95" s="21">
        <v>93</v>
      </c>
      <c r="C95" s="21" t="s">
        <v>229</v>
      </c>
      <c r="D95" s="21" t="s">
        <v>136</v>
      </c>
      <c r="E95">
        <f>FIND(",", tblPassengerNames[[#This Row],[Name]])</f>
        <v>5</v>
      </c>
      <c r="F95">
        <f>FIND(".", tblPassengerNames[[#This Row],[Name]])</f>
        <v>10</v>
      </c>
      <c r="G95">
        <f>FIND("(", tblPassengerNames[[#This Row],[Name]])</f>
        <v>26</v>
      </c>
      <c r="H95">
        <f>FIND(")", tblPassengerNames[[#This Row],[Name]])</f>
        <v>41</v>
      </c>
      <c r="I95">
        <f>IFERROR(tblPassengerNames[[#This Row],[OpenParPos]] - 2, LEN(tblPassengerNames[[#This Row],[Name]]))</f>
        <v>24</v>
      </c>
      <c r="J95" t="str">
        <f>MID(tblPassengerNames[[#This Row],[Name]], tblPassengerNames[[#This Row],[DotPos]] + 2, tblPassengerNames[[#This Row],[EndOfConvFNPos]] - tblPassengerNames[[#This Row],[DotPos]] - 1)</f>
        <v>Albert Adrian</v>
      </c>
      <c r="K95" t="str">
        <f>MID(tblPassengerNames[[#This Row],[Name]], tblPassengerNames[[#This Row],[OpenParPos]] + 1, tblPassengerNames[[#This Row],[CloseParPos]] - tblPassengerNames[[#This Row],[OpenParPos]] - 1)</f>
        <v>Vera Gillespie</v>
      </c>
      <c r="L95" t="str">
        <f>IF(AND(LEFT(tblPassengerNames[[#This Row],[InParentheses]], 1) = "'", RIGHT(tblPassengerNames[[#This Row],[InParentheses]], 1) = "'"),
    #VALUE!,
    tblPassengerNames[[#This Row],[InParentheses]]
)</f>
        <v>Vera Gillespie</v>
      </c>
      <c r="M95">
        <f>LEN(tblPassengerNames[[#This Row],[InParenthesesCleaned]]) - LEN(SUBSTITUTE(tblPassengerNames[[#This Row],[InParenthesesCleaned]], " ", ""))</f>
        <v>1</v>
      </c>
      <c r="N95">
        <f>FIND("@", SUBSTITUTE(tblPassengerNames[[#This Row],[InParenthesesCleaned]], " ", "@", tblPassengerNames[[#This Row],[P_NSpaces]]))</f>
        <v>5</v>
      </c>
      <c r="O95" t="str">
        <f>IF(tblPassengerNames[[#This Row],[P_NSpaces]] = 0,
    tblPassengerNames[[#This Row],[InParenthesesCleaned]],
    LEFT(tblPassengerNames[[#This Row],[InParenthesesCleaned]], tblPassengerNames[[#This Row],[P_FinalSpacePos]] - 1)
)</f>
        <v>Vera</v>
      </c>
      <c r="P95" t="str">
        <f>IFERROR(tblPassengerNames[[#This Row],[P_Forenames]], tblPassengerNames[[#This Row],[ConvForenames]])</f>
        <v>Vera</v>
      </c>
      <c r="Q95" t="str">
        <f>MID(tblPassengerNames[[#This Row],[Name]], tblPassengerNames[[#This Row],[CommaPos]] + 2, tblPassengerNames[[#This Row],[DotPos]] - tblPassengerNames[[#This Row],[CommaPos]] - 1)</f>
        <v>Mrs.</v>
      </c>
      <c r="R95" t="str">
        <f>LEFT(tblPassengerNames[[#This Row],[Name]], tblPassengerNames[[#This Row],[CommaPos]] - 1)</f>
        <v>Dick</v>
      </c>
    </row>
    <row r="96" spans="2:18" x14ac:dyDescent="0.25">
      <c r="B96" s="21">
        <v>94</v>
      </c>
      <c r="C96" s="21" t="s">
        <v>230</v>
      </c>
      <c r="D96" s="21" t="s">
        <v>138</v>
      </c>
      <c r="E96">
        <f>FIND(",", tblPassengerNames[[#This Row],[Name]])</f>
        <v>6</v>
      </c>
      <c r="F96">
        <f>FIND(".", tblPassengerNames[[#This Row],[Name]])</f>
        <v>10</v>
      </c>
      <c r="G96" t="e">
        <f>FIND("(", tblPassengerNames[[#This Row],[Name]])</f>
        <v>#VALUE!</v>
      </c>
      <c r="H96" t="e">
        <f>FIND(")", tblPassengerNames[[#This Row],[Name]])</f>
        <v>#VALUE!</v>
      </c>
      <c r="I96">
        <f>IFERROR(tblPassengerNames[[#This Row],[OpenParPos]] - 2, LEN(tblPassengerNames[[#This Row],[Name]]))</f>
        <v>21</v>
      </c>
      <c r="J96" t="str">
        <f>MID(tblPassengerNames[[#This Row],[Name]], tblPassengerNames[[#This Row],[DotPos]] + 2, tblPassengerNames[[#This Row],[EndOfConvFNPos]] - tblPassengerNames[[#This Row],[DotPos]] - 1)</f>
        <v>Washington</v>
      </c>
      <c r="K96" t="e">
        <f>MID(tblPassengerNames[[#This Row],[Name]], tblPassengerNames[[#This Row],[OpenParPos]] + 1, tblPassengerNames[[#This Row],[CloseParPos]] - tblPassengerNames[[#This Row],[OpenParPos]] - 1)</f>
        <v>#VALUE!</v>
      </c>
      <c r="L96" t="e">
        <f>IF(AND(LEFT(tblPassengerNames[[#This Row],[InParentheses]], 1) = "'", RIGHT(tblPassengerNames[[#This Row],[InParentheses]], 1) = "'"),
    #VALUE!,
    tblPassengerNames[[#This Row],[InParentheses]]
)</f>
        <v>#VALUE!</v>
      </c>
      <c r="M96" t="e">
        <f>LEN(tblPassengerNames[[#This Row],[InParenthesesCleaned]]) - LEN(SUBSTITUTE(tblPassengerNames[[#This Row],[InParenthesesCleaned]], " ", ""))</f>
        <v>#VALUE!</v>
      </c>
      <c r="N96" t="e">
        <f>FIND("@", SUBSTITUTE(tblPassengerNames[[#This Row],[InParenthesesCleaned]], " ", "@", tblPassengerNames[[#This Row],[P_NSpaces]]))</f>
        <v>#VALUE!</v>
      </c>
      <c r="O96" t="e">
        <f>IF(tblPassengerNames[[#This Row],[P_NSpaces]] = 0,
    tblPassengerNames[[#This Row],[InParenthesesCleaned]],
    LEFT(tblPassengerNames[[#This Row],[InParenthesesCleaned]], tblPassengerNames[[#This Row],[P_FinalSpacePos]] - 1)
)</f>
        <v>#VALUE!</v>
      </c>
      <c r="P96" t="str">
        <f>IFERROR(tblPassengerNames[[#This Row],[P_Forenames]], tblPassengerNames[[#This Row],[ConvForenames]])</f>
        <v>Washington</v>
      </c>
      <c r="Q96" t="str">
        <f>MID(tblPassengerNames[[#This Row],[Name]], tblPassengerNames[[#This Row],[CommaPos]] + 2, tblPassengerNames[[#This Row],[DotPos]] - tblPassengerNames[[#This Row],[CommaPos]] - 1)</f>
        <v>Dr.</v>
      </c>
      <c r="R96" t="str">
        <f>LEFT(tblPassengerNames[[#This Row],[Name]], tblPassengerNames[[#This Row],[CommaPos]] - 1)</f>
        <v>Dodge</v>
      </c>
    </row>
    <row r="97" spans="2:18" x14ac:dyDescent="0.25">
      <c r="B97" s="21">
        <v>95</v>
      </c>
      <c r="C97" s="21" t="s">
        <v>231</v>
      </c>
      <c r="D97" s="21" t="s">
        <v>138</v>
      </c>
      <c r="E97">
        <f>FIND(",", tblPassengerNames[[#This Row],[Name]])</f>
        <v>6</v>
      </c>
      <c r="F97">
        <f>FIND(".", tblPassengerNames[[#This Row],[Name]])</f>
        <v>14</v>
      </c>
      <c r="G97" t="e">
        <f>FIND("(", tblPassengerNames[[#This Row],[Name]])</f>
        <v>#VALUE!</v>
      </c>
      <c r="H97" t="e">
        <f>FIND(")", tblPassengerNames[[#This Row],[Name]])</f>
        <v>#VALUE!</v>
      </c>
      <c r="I97">
        <f>IFERROR(tblPassengerNames[[#This Row],[OpenParPos]] - 2, LEN(tblPassengerNames[[#This Row],[Name]]))</f>
        <v>25</v>
      </c>
      <c r="J97" t="str">
        <f>MID(tblPassengerNames[[#This Row],[Name]], tblPassengerNames[[#This Row],[DotPos]] + 2, tblPassengerNames[[#This Row],[EndOfConvFNPos]] - tblPassengerNames[[#This Row],[DotPos]] - 1)</f>
        <v>Washington</v>
      </c>
      <c r="K97" t="e">
        <f>MID(tblPassengerNames[[#This Row],[Name]], tblPassengerNames[[#This Row],[OpenParPos]] + 1, tblPassengerNames[[#This Row],[CloseParPos]] - tblPassengerNames[[#This Row],[OpenParPos]] - 1)</f>
        <v>#VALUE!</v>
      </c>
      <c r="L97" t="e">
        <f>IF(AND(LEFT(tblPassengerNames[[#This Row],[InParentheses]], 1) = "'", RIGHT(tblPassengerNames[[#This Row],[InParentheses]], 1) = "'"),
    #VALUE!,
    tblPassengerNames[[#This Row],[InParentheses]]
)</f>
        <v>#VALUE!</v>
      </c>
      <c r="M97" t="e">
        <f>LEN(tblPassengerNames[[#This Row],[InParenthesesCleaned]]) - LEN(SUBSTITUTE(tblPassengerNames[[#This Row],[InParenthesesCleaned]], " ", ""))</f>
        <v>#VALUE!</v>
      </c>
      <c r="N97" t="e">
        <f>FIND("@", SUBSTITUTE(tblPassengerNames[[#This Row],[InParenthesesCleaned]], " ", "@", tblPassengerNames[[#This Row],[P_NSpaces]]))</f>
        <v>#VALUE!</v>
      </c>
      <c r="O97" t="e">
        <f>IF(tblPassengerNames[[#This Row],[P_NSpaces]] = 0,
    tblPassengerNames[[#This Row],[InParenthesesCleaned]],
    LEFT(tblPassengerNames[[#This Row],[InParenthesesCleaned]], tblPassengerNames[[#This Row],[P_FinalSpacePos]] - 1)
)</f>
        <v>#VALUE!</v>
      </c>
      <c r="P97" t="str">
        <f>IFERROR(tblPassengerNames[[#This Row],[P_Forenames]], tblPassengerNames[[#This Row],[ConvForenames]])</f>
        <v>Washington</v>
      </c>
      <c r="Q97" t="str">
        <f>MID(tblPassengerNames[[#This Row],[Name]], tblPassengerNames[[#This Row],[CommaPos]] + 2, tblPassengerNames[[#This Row],[DotPos]] - tblPassengerNames[[#This Row],[CommaPos]] - 1)</f>
        <v>Master.</v>
      </c>
      <c r="R97" t="str">
        <f>LEFT(tblPassengerNames[[#This Row],[Name]], tblPassengerNames[[#This Row],[CommaPos]] - 1)</f>
        <v>Dodge</v>
      </c>
    </row>
    <row r="98" spans="2:18" x14ac:dyDescent="0.25">
      <c r="B98" s="21">
        <v>96</v>
      </c>
      <c r="C98" s="21" t="s">
        <v>232</v>
      </c>
      <c r="D98" s="21" t="s">
        <v>136</v>
      </c>
      <c r="E98">
        <f>FIND(",", tblPassengerNames[[#This Row],[Name]])</f>
        <v>6</v>
      </c>
      <c r="F98">
        <f>FIND(".", tblPassengerNames[[#This Row],[Name]])</f>
        <v>11</v>
      </c>
      <c r="G98">
        <f>FIND("(", tblPassengerNames[[#This Row],[Name]])</f>
        <v>24</v>
      </c>
      <c r="H98">
        <f>FIND(")", tblPassengerNames[[#This Row],[Name]])</f>
        <v>37</v>
      </c>
      <c r="I98">
        <f>IFERROR(tblPassengerNames[[#This Row],[OpenParPos]] - 2, LEN(tblPassengerNames[[#This Row],[Name]]))</f>
        <v>22</v>
      </c>
      <c r="J98" t="str">
        <f>MID(tblPassengerNames[[#This Row],[Name]], tblPassengerNames[[#This Row],[DotPos]] + 2, tblPassengerNames[[#This Row],[EndOfConvFNPos]] - tblPassengerNames[[#This Row],[DotPos]] - 1)</f>
        <v>Washington</v>
      </c>
      <c r="K98" t="str">
        <f>MID(tblPassengerNames[[#This Row],[Name]], tblPassengerNames[[#This Row],[OpenParPos]] + 1, tblPassengerNames[[#This Row],[CloseParPos]] - tblPassengerNames[[#This Row],[OpenParPos]] - 1)</f>
        <v>Ruth Vidaver</v>
      </c>
      <c r="L98" t="str">
        <f>IF(AND(LEFT(tblPassengerNames[[#This Row],[InParentheses]], 1) = "'", RIGHT(tblPassengerNames[[#This Row],[InParentheses]], 1) = "'"),
    #VALUE!,
    tblPassengerNames[[#This Row],[InParentheses]]
)</f>
        <v>Ruth Vidaver</v>
      </c>
      <c r="M98">
        <f>LEN(tblPassengerNames[[#This Row],[InParenthesesCleaned]]) - LEN(SUBSTITUTE(tblPassengerNames[[#This Row],[InParenthesesCleaned]], " ", ""))</f>
        <v>1</v>
      </c>
      <c r="N98">
        <f>FIND("@", SUBSTITUTE(tblPassengerNames[[#This Row],[InParenthesesCleaned]], " ", "@", tblPassengerNames[[#This Row],[P_NSpaces]]))</f>
        <v>5</v>
      </c>
      <c r="O98" t="str">
        <f>IF(tblPassengerNames[[#This Row],[P_NSpaces]] = 0,
    tblPassengerNames[[#This Row],[InParenthesesCleaned]],
    LEFT(tblPassengerNames[[#This Row],[InParenthesesCleaned]], tblPassengerNames[[#This Row],[P_FinalSpacePos]] - 1)
)</f>
        <v>Ruth</v>
      </c>
      <c r="P98" t="str">
        <f>IFERROR(tblPassengerNames[[#This Row],[P_Forenames]], tblPassengerNames[[#This Row],[ConvForenames]])</f>
        <v>Ruth</v>
      </c>
      <c r="Q98" t="str">
        <f>MID(tblPassengerNames[[#This Row],[Name]], tblPassengerNames[[#This Row],[CommaPos]] + 2, tblPassengerNames[[#This Row],[DotPos]] - tblPassengerNames[[#This Row],[CommaPos]] - 1)</f>
        <v>Mrs.</v>
      </c>
      <c r="R98" t="str">
        <f>LEFT(tblPassengerNames[[#This Row],[Name]], tblPassengerNames[[#This Row],[CommaPos]] - 1)</f>
        <v>Dodge</v>
      </c>
    </row>
    <row r="99" spans="2:18" x14ac:dyDescent="0.25">
      <c r="B99" s="21">
        <v>97</v>
      </c>
      <c r="C99" s="21" t="s">
        <v>233</v>
      </c>
      <c r="D99" s="21" t="s">
        <v>138</v>
      </c>
      <c r="E99">
        <f>FIND(",", tblPassengerNames[[#This Row],[Name]])</f>
        <v>8</v>
      </c>
      <c r="F99">
        <f>FIND(".", tblPassengerNames[[#This Row],[Name]])</f>
        <v>12</v>
      </c>
      <c r="G99" t="e">
        <f>FIND("(", tblPassengerNames[[#This Row],[Name]])</f>
        <v>#VALUE!</v>
      </c>
      <c r="H99" t="e">
        <f>FIND(")", tblPassengerNames[[#This Row],[Name]])</f>
        <v>#VALUE!</v>
      </c>
      <c r="I99">
        <f>IFERROR(tblPassengerNames[[#This Row],[OpenParPos]] - 2, LEN(tblPassengerNames[[#This Row],[Name]]))</f>
        <v>26</v>
      </c>
      <c r="J99" t="str">
        <f>MID(tblPassengerNames[[#This Row],[Name]], tblPassengerNames[[#This Row],[DotPos]] + 2, tblPassengerNames[[#This Row],[EndOfConvFNPos]] - tblPassengerNames[[#This Row],[DotPos]] - 1)</f>
        <v>Walter Donald</v>
      </c>
      <c r="K99" t="e">
        <f>MID(tblPassengerNames[[#This Row],[Name]], tblPassengerNames[[#This Row],[OpenParPos]] + 1, tblPassengerNames[[#This Row],[CloseParPos]] - tblPassengerNames[[#This Row],[OpenParPos]] - 1)</f>
        <v>#VALUE!</v>
      </c>
      <c r="L99" t="e">
        <f>IF(AND(LEFT(tblPassengerNames[[#This Row],[InParentheses]], 1) = "'", RIGHT(tblPassengerNames[[#This Row],[InParentheses]], 1) = "'"),
    #VALUE!,
    tblPassengerNames[[#This Row],[InParentheses]]
)</f>
        <v>#VALUE!</v>
      </c>
      <c r="M99" t="e">
        <f>LEN(tblPassengerNames[[#This Row],[InParenthesesCleaned]]) - LEN(SUBSTITUTE(tblPassengerNames[[#This Row],[InParenthesesCleaned]], " ", ""))</f>
        <v>#VALUE!</v>
      </c>
      <c r="N99" t="e">
        <f>FIND("@", SUBSTITUTE(tblPassengerNames[[#This Row],[InParenthesesCleaned]], " ", "@", tblPassengerNames[[#This Row],[P_NSpaces]]))</f>
        <v>#VALUE!</v>
      </c>
      <c r="O99" t="e">
        <f>IF(tblPassengerNames[[#This Row],[P_NSpaces]] = 0,
    tblPassengerNames[[#This Row],[InParenthesesCleaned]],
    LEFT(tblPassengerNames[[#This Row],[InParenthesesCleaned]], tblPassengerNames[[#This Row],[P_FinalSpacePos]] - 1)
)</f>
        <v>#VALUE!</v>
      </c>
      <c r="P99" t="str">
        <f>IFERROR(tblPassengerNames[[#This Row],[P_Forenames]], tblPassengerNames[[#This Row],[ConvForenames]])</f>
        <v>Walter Donald</v>
      </c>
      <c r="Q99" t="str">
        <f>MID(tblPassengerNames[[#This Row],[Name]], tblPassengerNames[[#This Row],[CommaPos]] + 2, tblPassengerNames[[#This Row],[DotPos]] - tblPassengerNames[[#This Row],[CommaPos]] - 1)</f>
        <v>Mr.</v>
      </c>
      <c r="R99" t="str">
        <f>LEFT(tblPassengerNames[[#This Row],[Name]], tblPassengerNames[[#This Row],[CommaPos]] - 1)</f>
        <v>Douglas</v>
      </c>
    </row>
    <row r="100" spans="2:18" x14ac:dyDescent="0.25">
      <c r="B100" s="21">
        <v>98</v>
      </c>
      <c r="C100" s="21" t="s">
        <v>234</v>
      </c>
      <c r="D100" s="21" t="s">
        <v>136</v>
      </c>
      <c r="E100">
        <f>FIND(",", tblPassengerNames[[#This Row],[Name]])</f>
        <v>8</v>
      </c>
      <c r="F100">
        <f>FIND(".", tblPassengerNames[[#This Row],[Name]])</f>
        <v>13</v>
      </c>
      <c r="G100">
        <f>FIND("(", tblPassengerNames[[#This Row],[Name]])</f>
        <v>33</v>
      </c>
      <c r="H100">
        <f>FIND(")", tblPassengerNames[[#This Row],[Name]])</f>
        <v>52</v>
      </c>
      <c r="I100">
        <f>IFERROR(tblPassengerNames[[#This Row],[OpenParPos]] - 2, LEN(tblPassengerNames[[#This Row],[Name]]))</f>
        <v>31</v>
      </c>
      <c r="J100" t="str">
        <f>MID(tblPassengerNames[[#This Row],[Name]], tblPassengerNames[[#This Row],[DotPos]] + 2, tblPassengerNames[[#This Row],[EndOfConvFNPos]] - tblPassengerNames[[#This Row],[DotPos]] - 1)</f>
        <v>Frederick Charles</v>
      </c>
      <c r="K100" t="str">
        <f>MID(tblPassengerNames[[#This Row],[Name]], tblPassengerNames[[#This Row],[OpenParPos]] + 1, tblPassengerNames[[#This Row],[CloseParPos]] - tblPassengerNames[[#This Row],[OpenParPos]] - 1)</f>
        <v>Mary Helene Baxter</v>
      </c>
      <c r="L100" t="str">
        <f>IF(AND(LEFT(tblPassengerNames[[#This Row],[InParentheses]], 1) = "'", RIGHT(tblPassengerNames[[#This Row],[InParentheses]], 1) = "'"),
    #VALUE!,
    tblPassengerNames[[#This Row],[InParentheses]]
)</f>
        <v>Mary Helene Baxter</v>
      </c>
      <c r="M100">
        <f>LEN(tblPassengerNames[[#This Row],[InParenthesesCleaned]]) - LEN(SUBSTITUTE(tblPassengerNames[[#This Row],[InParenthesesCleaned]], " ", ""))</f>
        <v>2</v>
      </c>
      <c r="N100">
        <f>FIND("@", SUBSTITUTE(tblPassengerNames[[#This Row],[InParenthesesCleaned]], " ", "@", tblPassengerNames[[#This Row],[P_NSpaces]]))</f>
        <v>12</v>
      </c>
      <c r="O100" t="str">
        <f>IF(tblPassengerNames[[#This Row],[P_NSpaces]] = 0,
    tblPassengerNames[[#This Row],[InParenthesesCleaned]],
    LEFT(tblPassengerNames[[#This Row],[InParenthesesCleaned]], tblPassengerNames[[#This Row],[P_FinalSpacePos]] - 1)
)</f>
        <v>Mary Helene</v>
      </c>
      <c r="P100" t="str">
        <f>IFERROR(tblPassengerNames[[#This Row],[P_Forenames]], tblPassengerNames[[#This Row],[ConvForenames]])</f>
        <v>Mary Helene</v>
      </c>
      <c r="Q100" t="str">
        <f>MID(tblPassengerNames[[#This Row],[Name]], tblPassengerNames[[#This Row],[CommaPos]] + 2, tblPassengerNames[[#This Row],[DotPos]] - tblPassengerNames[[#This Row],[CommaPos]] - 1)</f>
        <v>Mrs.</v>
      </c>
      <c r="R100" t="str">
        <f>LEFT(tblPassengerNames[[#This Row],[Name]], tblPassengerNames[[#This Row],[CommaPos]] - 1)</f>
        <v>Douglas</v>
      </c>
    </row>
    <row r="101" spans="2:18" x14ac:dyDescent="0.25">
      <c r="B101" s="21">
        <v>99</v>
      </c>
      <c r="C101" s="21" t="s">
        <v>235</v>
      </c>
      <c r="D101" s="21" t="s">
        <v>136</v>
      </c>
      <c r="E101">
        <f>FIND(",", tblPassengerNames[[#This Row],[Name]])</f>
        <v>8</v>
      </c>
      <c r="F101">
        <f>FIND(".", tblPassengerNames[[#This Row],[Name]])</f>
        <v>13</v>
      </c>
      <c r="G101">
        <f>FIND("(", tblPassengerNames[[#This Row],[Name]])</f>
        <v>29</v>
      </c>
      <c r="H101">
        <f>FIND(")", tblPassengerNames[[#This Row],[Name]])</f>
        <v>43</v>
      </c>
      <c r="I101">
        <f>IFERROR(tblPassengerNames[[#This Row],[OpenParPos]] - 2, LEN(tblPassengerNames[[#This Row],[Name]]))</f>
        <v>27</v>
      </c>
      <c r="J101" t="str">
        <f>MID(tblPassengerNames[[#This Row],[Name]], tblPassengerNames[[#This Row],[DotPos]] + 2, tblPassengerNames[[#This Row],[EndOfConvFNPos]] - tblPassengerNames[[#This Row],[DotPos]] - 1)</f>
        <v>Walter Donald</v>
      </c>
      <c r="K101" t="str">
        <f>MID(tblPassengerNames[[#This Row],[Name]], tblPassengerNames[[#This Row],[OpenParPos]] + 1, tblPassengerNames[[#This Row],[CloseParPos]] - tblPassengerNames[[#This Row],[OpenParPos]] - 1)</f>
        <v>Mahala Dutton</v>
      </c>
      <c r="L101" t="str">
        <f>IF(AND(LEFT(tblPassengerNames[[#This Row],[InParentheses]], 1) = "'", RIGHT(tblPassengerNames[[#This Row],[InParentheses]], 1) = "'"),
    #VALUE!,
    tblPassengerNames[[#This Row],[InParentheses]]
)</f>
        <v>Mahala Dutton</v>
      </c>
      <c r="M101">
        <f>LEN(tblPassengerNames[[#This Row],[InParenthesesCleaned]]) - LEN(SUBSTITUTE(tblPassengerNames[[#This Row],[InParenthesesCleaned]], " ", ""))</f>
        <v>1</v>
      </c>
      <c r="N101">
        <f>FIND("@", SUBSTITUTE(tblPassengerNames[[#This Row],[InParenthesesCleaned]], " ", "@", tblPassengerNames[[#This Row],[P_NSpaces]]))</f>
        <v>7</v>
      </c>
      <c r="O101" t="str">
        <f>IF(tblPassengerNames[[#This Row],[P_NSpaces]] = 0,
    tblPassengerNames[[#This Row],[InParenthesesCleaned]],
    LEFT(tblPassengerNames[[#This Row],[InParenthesesCleaned]], tblPassengerNames[[#This Row],[P_FinalSpacePos]] - 1)
)</f>
        <v>Mahala</v>
      </c>
      <c r="P101" t="str">
        <f>IFERROR(tblPassengerNames[[#This Row],[P_Forenames]], tblPassengerNames[[#This Row],[ConvForenames]])</f>
        <v>Mahala</v>
      </c>
      <c r="Q101" t="str">
        <f>MID(tblPassengerNames[[#This Row],[Name]], tblPassengerNames[[#This Row],[CommaPos]] + 2, tblPassengerNames[[#This Row],[DotPos]] - tblPassengerNames[[#This Row],[CommaPos]] - 1)</f>
        <v>Mrs.</v>
      </c>
      <c r="R101" t="str">
        <f>LEFT(tblPassengerNames[[#This Row],[Name]], tblPassengerNames[[#This Row],[CommaPos]] - 1)</f>
        <v>Douglas</v>
      </c>
    </row>
    <row r="102" spans="2:18" x14ac:dyDescent="0.25">
      <c r="B102" s="21">
        <v>100</v>
      </c>
      <c r="C102" s="21" t="s">
        <v>236</v>
      </c>
      <c r="D102" s="21" t="s">
        <v>136</v>
      </c>
      <c r="E102">
        <f>FIND(",", tblPassengerNames[[#This Row],[Name]])</f>
        <v>12</v>
      </c>
      <c r="F102">
        <f>FIND(".", tblPassengerNames[[#This Row],[Name]])</f>
        <v>18</v>
      </c>
      <c r="G102">
        <f>FIND("(", tblPassengerNames[[#This Row],[Name]])</f>
        <v>20</v>
      </c>
      <c r="H102">
        <f>FIND(")", tblPassengerNames[[#This Row],[Name]])</f>
        <v>50</v>
      </c>
      <c r="I102">
        <f>IFERROR(tblPassengerNames[[#This Row],[OpenParPos]] - 2, LEN(tblPassengerNames[[#This Row],[Name]]))</f>
        <v>18</v>
      </c>
      <c r="J102" t="e">
        <f>MID(tblPassengerNames[[#This Row],[Name]], tblPassengerNames[[#This Row],[DotPos]] + 2, tblPassengerNames[[#This Row],[EndOfConvFNPos]] - tblPassengerNames[[#This Row],[DotPos]] - 1)</f>
        <v>#VALUE!</v>
      </c>
      <c r="K102" t="str">
        <f>MID(tblPassengerNames[[#This Row],[Name]], tblPassengerNames[[#This Row],[OpenParPos]] + 1, tblPassengerNames[[#This Row],[CloseParPos]] - tblPassengerNames[[#This Row],[OpenParPos]] - 1)</f>
        <v>Lucille Christiana Sutherland</v>
      </c>
      <c r="L102" t="str">
        <f>IF(AND(LEFT(tblPassengerNames[[#This Row],[InParentheses]], 1) = "'", RIGHT(tblPassengerNames[[#This Row],[InParentheses]], 1) = "'"),
    #VALUE!,
    tblPassengerNames[[#This Row],[InParentheses]]
)</f>
        <v>Lucille Christiana Sutherland</v>
      </c>
      <c r="M102">
        <f>LEN(tblPassengerNames[[#This Row],[InParenthesesCleaned]]) - LEN(SUBSTITUTE(tblPassengerNames[[#This Row],[InParenthesesCleaned]], " ", ""))</f>
        <v>2</v>
      </c>
      <c r="N102">
        <f>FIND("@", SUBSTITUTE(tblPassengerNames[[#This Row],[InParenthesesCleaned]], " ", "@", tblPassengerNames[[#This Row],[P_NSpaces]]))</f>
        <v>19</v>
      </c>
      <c r="O102" t="str">
        <f>IF(tblPassengerNames[[#This Row],[P_NSpaces]] = 0,
    tblPassengerNames[[#This Row],[InParenthesesCleaned]],
    LEFT(tblPassengerNames[[#This Row],[InParenthesesCleaned]], tblPassengerNames[[#This Row],[P_FinalSpacePos]] - 1)
)</f>
        <v>Lucille Christiana</v>
      </c>
      <c r="P102" t="str">
        <f>IFERROR(tblPassengerNames[[#This Row],[P_Forenames]], tblPassengerNames[[#This Row],[ConvForenames]])</f>
        <v>Lucille Christiana</v>
      </c>
      <c r="Q102" t="str">
        <f>MID(tblPassengerNames[[#This Row],[Name]], tblPassengerNames[[#This Row],[CommaPos]] + 2, tblPassengerNames[[#This Row],[DotPos]] - tblPassengerNames[[#This Row],[CommaPos]] - 1)</f>
        <v>Lady.</v>
      </c>
      <c r="R102" t="str">
        <f>LEFT(tblPassengerNames[[#This Row],[Name]], tblPassengerNames[[#This Row],[CommaPos]] - 1)</f>
        <v>Duff Gordon</v>
      </c>
    </row>
    <row r="103" spans="2:18" x14ac:dyDescent="0.25">
      <c r="B103" s="21">
        <v>101</v>
      </c>
      <c r="C103" s="21" t="s">
        <v>237</v>
      </c>
      <c r="D103" s="21" t="s">
        <v>138</v>
      </c>
      <c r="E103">
        <f>FIND(",", tblPassengerNames[[#This Row],[Name]])</f>
        <v>12</v>
      </c>
      <c r="F103">
        <f>FIND(".", tblPassengerNames[[#This Row],[Name]])</f>
        <v>17</v>
      </c>
      <c r="G103">
        <f>FIND("(", tblPassengerNames[[#This Row],[Name]])</f>
        <v>32</v>
      </c>
      <c r="H103">
        <f>FIND(")", tblPassengerNames[[#This Row],[Name]])</f>
        <v>44</v>
      </c>
      <c r="I103">
        <f>IFERROR(tblPassengerNames[[#This Row],[OpenParPos]] - 2, LEN(tblPassengerNames[[#This Row],[Name]]))</f>
        <v>30</v>
      </c>
      <c r="J103" t="str">
        <f>MID(tblPassengerNames[[#This Row],[Name]], tblPassengerNames[[#This Row],[DotPos]] + 2, tblPassengerNames[[#This Row],[EndOfConvFNPos]] - tblPassengerNames[[#This Row],[DotPos]] - 1)</f>
        <v>Cosmo Edmund</v>
      </c>
      <c r="K103" t="str">
        <f>MID(tblPassengerNames[[#This Row],[Name]], tblPassengerNames[[#This Row],[OpenParPos]] + 1, tblPassengerNames[[#This Row],[CloseParPos]] - tblPassengerNames[[#This Row],[OpenParPos]] - 1)</f>
        <v>'Mr Morgan'</v>
      </c>
      <c r="L103" t="e">
        <f>IF(AND(LEFT(tblPassengerNames[[#This Row],[InParentheses]], 1) = "'", RIGHT(tblPassengerNames[[#This Row],[InParentheses]], 1) = "'"),
    #VALUE!,
    tblPassengerNames[[#This Row],[InParentheses]]
)</f>
        <v>#VALUE!</v>
      </c>
      <c r="M103" t="e">
        <f>LEN(tblPassengerNames[[#This Row],[InParenthesesCleaned]]) - LEN(SUBSTITUTE(tblPassengerNames[[#This Row],[InParenthesesCleaned]], " ", ""))</f>
        <v>#VALUE!</v>
      </c>
      <c r="N103" t="e">
        <f>FIND("@", SUBSTITUTE(tblPassengerNames[[#This Row],[InParenthesesCleaned]], " ", "@", tblPassengerNames[[#This Row],[P_NSpaces]]))</f>
        <v>#VALUE!</v>
      </c>
      <c r="O103" t="e">
        <f>IF(tblPassengerNames[[#This Row],[P_NSpaces]] = 0,
    tblPassengerNames[[#This Row],[InParenthesesCleaned]],
    LEFT(tblPassengerNames[[#This Row],[InParenthesesCleaned]], tblPassengerNames[[#This Row],[P_FinalSpacePos]] - 1)
)</f>
        <v>#VALUE!</v>
      </c>
      <c r="P103" t="str">
        <f>IFERROR(tblPassengerNames[[#This Row],[P_Forenames]], tblPassengerNames[[#This Row],[ConvForenames]])</f>
        <v>Cosmo Edmund</v>
      </c>
      <c r="Q103" t="str">
        <f>MID(tblPassengerNames[[#This Row],[Name]], tblPassengerNames[[#This Row],[CommaPos]] + 2, tblPassengerNames[[#This Row],[DotPos]] - tblPassengerNames[[#This Row],[CommaPos]] - 1)</f>
        <v>Sir.</v>
      </c>
      <c r="R103" t="str">
        <f>LEFT(tblPassengerNames[[#This Row],[Name]], tblPassengerNames[[#This Row],[CommaPos]] - 1)</f>
        <v>Duff Gordon</v>
      </c>
    </row>
    <row r="104" spans="2:18" x14ac:dyDescent="0.25">
      <c r="B104" s="21">
        <v>102</v>
      </c>
      <c r="C104" s="21" t="s">
        <v>238</v>
      </c>
      <c r="D104" s="21" t="s">
        <v>138</v>
      </c>
      <c r="E104">
        <f>FIND(",", tblPassengerNames[[#This Row],[Name]])</f>
        <v>7</v>
      </c>
      <c r="F104">
        <f>FIND(".", tblPassengerNames[[#This Row],[Name]])</f>
        <v>11</v>
      </c>
      <c r="G104" t="e">
        <f>FIND("(", tblPassengerNames[[#This Row],[Name]])</f>
        <v>#VALUE!</v>
      </c>
      <c r="H104" t="e">
        <f>FIND(")", tblPassengerNames[[#This Row],[Name]])</f>
        <v>#VALUE!</v>
      </c>
      <c r="I104">
        <f>IFERROR(tblPassengerNames[[#This Row],[OpenParPos]] - 2, LEN(tblPassengerNames[[#This Row],[Name]]))</f>
        <v>28</v>
      </c>
      <c r="J104" t="str">
        <f>MID(tblPassengerNames[[#This Row],[Name]], tblPassengerNames[[#This Row],[DotPos]] + 2, tblPassengerNames[[#This Row],[EndOfConvFNPos]] - tblPassengerNames[[#This Row],[DotPos]] - 1)</f>
        <v>William Crothers</v>
      </c>
      <c r="K104" t="e">
        <f>MID(tblPassengerNames[[#This Row],[Name]], tblPassengerNames[[#This Row],[OpenParPos]] + 1, tblPassengerNames[[#This Row],[CloseParPos]] - tblPassengerNames[[#This Row],[OpenParPos]] - 1)</f>
        <v>#VALUE!</v>
      </c>
      <c r="L104" t="e">
        <f>IF(AND(LEFT(tblPassengerNames[[#This Row],[InParentheses]], 1) = "'", RIGHT(tblPassengerNames[[#This Row],[InParentheses]], 1) = "'"),
    #VALUE!,
    tblPassengerNames[[#This Row],[InParentheses]]
)</f>
        <v>#VALUE!</v>
      </c>
      <c r="M104" t="e">
        <f>LEN(tblPassengerNames[[#This Row],[InParenthesesCleaned]]) - LEN(SUBSTITUTE(tblPassengerNames[[#This Row],[InParenthesesCleaned]], " ", ""))</f>
        <v>#VALUE!</v>
      </c>
      <c r="N104" t="e">
        <f>FIND("@", SUBSTITUTE(tblPassengerNames[[#This Row],[InParenthesesCleaned]], " ", "@", tblPassengerNames[[#This Row],[P_NSpaces]]))</f>
        <v>#VALUE!</v>
      </c>
      <c r="O104" t="e">
        <f>IF(tblPassengerNames[[#This Row],[P_NSpaces]] = 0,
    tblPassengerNames[[#This Row],[InParenthesesCleaned]],
    LEFT(tblPassengerNames[[#This Row],[InParenthesesCleaned]], tblPassengerNames[[#This Row],[P_FinalSpacePos]] - 1)
)</f>
        <v>#VALUE!</v>
      </c>
      <c r="P104" t="str">
        <f>IFERROR(tblPassengerNames[[#This Row],[P_Forenames]], tblPassengerNames[[#This Row],[ConvForenames]])</f>
        <v>William Crothers</v>
      </c>
      <c r="Q104" t="str">
        <f>MID(tblPassengerNames[[#This Row],[Name]], tblPassengerNames[[#This Row],[CommaPos]] + 2, tblPassengerNames[[#This Row],[DotPos]] - tblPassengerNames[[#This Row],[CommaPos]] - 1)</f>
        <v>Mr.</v>
      </c>
      <c r="R104" t="str">
        <f>LEFT(tblPassengerNames[[#This Row],[Name]], tblPassengerNames[[#This Row],[CommaPos]] - 1)</f>
        <v>Dulles</v>
      </c>
    </row>
    <row r="105" spans="2:18" x14ac:dyDescent="0.25">
      <c r="B105" s="21">
        <v>103</v>
      </c>
      <c r="C105" s="21" t="s">
        <v>239</v>
      </c>
      <c r="D105" s="21" t="s">
        <v>136</v>
      </c>
      <c r="E105">
        <f>FIND(",", tblPassengerNames[[#This Row],[Name]])</f>
        <v>9</v>
      </c>
      <c r="F105">
        <f>FIND(".", tblPassengerNames[[#This Row],[Name]])</f>
        <v>14</v>
      </c>
      <c r="G105">
        <f>FIND("(", tblPassengerNames[[#This Row],[Name]])</f>
        <v>24</v>
      </c>
      <c r="H105">
        <f>FIND(")", tblPassengerNames[[#This Row],[Name]])</f>
        <v>37</v>
      </c>
      <c r="I105">
        <f>IFERROR(tblPassengerNames[[#This Row],[OpenParPos]] - 2, LEN(tblPassengerNames[[#This Row],[Name]]))</f>
        <v>22</v>
      </c>
      <c r="J105" t="str">
        <f>MID(tblPassengerNames[[#This Row],[Name]], tblPassengerNames[[#This Row],[DotPos]] + 2, tblPassengerNames[[#This Row],[EndOfConvFNPos]] - tblPassengerNames[[#This Row],[DotPos]] - 1)</f>
        <v>Boulton</v>
      </c>
      <c r="K105" t="str">
        <f>MID(tblPassengerNames[[#This Row],[Name]], tblPassengerNames[[#This Row],[OpenParPos]] + 1, tblPassengerNames[[#This Row],[CloseParPos]] - tblPassengerNames[[#This Row],[OpenParPos]] - 1)</f>
        <v>Olive Potter</v>
      </c>
      <c r="L105" t="str">
        <f>IF(AND(LEFT(tblPassengerNames[[#This Row],[InParentheses]], 1) = "'", RIGHT(tblPassengerNames[[#This Row],[InParentheses]], 1) = "'"),
    #VALUE!,
    tblPassengerNames[[#This Row],[InParentheses]]
)</f>
        <v>Olive Potter</v>
      </c>
      <c r="M105">
        <f>LEN(tblPassengerNames[[#This Row],[InParenthesesCleaned]]) - LEN(SUBSTITUTE(tblPassengerNames[[#This Row],[InParenthesesCleaned]], " ", ""))</f>
        <v>1</v>
      </c>
      <c r="N105">
        <f>FIND("@", SUBSTITUTE(tblPassengerNames[[#This Row],[InParenthesesCleaned]], " ", "@", tblPassengerNames[[#This Row],[P_NSpaces]]))</f>
        <v>6</v>
      </c>
      <c r="O105" t="str">
        <f>IF(tblPassengerNames[[#This Row],[P_NSpaces]] = 0,
    tblPassengerNames[[#This Row],[InParenthesesCleaned]],
    LEFT(tblPassengerNames[[#This Row],[InParenthesesCleaned]], tblPassengerNames[[#This Row],[P_FinalSpacePos]] - 1)
)</f>
        <v>Olive</v>
      </c>
      <c r="P105" t="str">
        <f>IFERROR(tblPassengerNames[[#This Row],[P_Forenames]], tblPassengerNames[[#This Row],[ConvForenames]])</f>
        <v>Olive</v>
      </c>
      <c r="Q105" t="str">
        <f>MID(tblPassengerNames[[#This Row],[Name]], tblPassengerNames[[#This Row],[CommaPos]] + 2, tblPassengerNames[[#This Row],[DotPos]] - tblPassengerNames[[#This Row],[CommaPos]] - 1)</f>
        <v>Mrs.</v>
      </c>
      <c r="R105" t="str">
        <f>LEFT(tblPassengerNames[[#This Row],[Name]], tblPassengerNames[[#This Row],[CommaPos]] - 1)</f>
        <v>Earnshaw</v>
      </c>
    </row>
    <row r="106" spans="2:18" x14ac:dyDescent="0.25">
      <c r="B106" s="21">
        <v>104</v>
      </c>
      <c r="C106" s="21" t="s">
        <v>240</v>
      </c>
      <c r="D106" s="21" t="s">
        <v>136</v>
      </c>
      <c r="E106">
        <f>FIND(",", tblPassengerNames[[#This Row],[Name]])</f>
        <v>7</v>
      </c>
      <c r="F106">
        <f>FIND(".", tblPassengerNames[[#This Row],[Name]])</f>
        <v>13</v>
      </c>
      <c r="G106" t="e">
        <f>FIND("(", tblPassengerNames[[#This Row],[Name]])</f>
        <v>#VALUE!</v>
      </c>
      <c r="H106" t="e">
        <f>FIND(")", tblPassengerNames[[#This Row],[Name]])</f>
        <v>#VALUE!</v>
      </c>
      <c r="I106">
        <f>IFERROR(tblPassengerNames[[#This Row],[OpenParPos]] - 2, LEN(tblPassengerNames[[#This Row],[Name]]))</f>
        <v>29</v>
      </c>
      <c r="J106" t="str">
        <f>MID(tblPassengerNames[[#This Row],[Name]], tblPassengerNames[[#This Row],[DotPos]] + 2, tblPassengerNames[[#This Row],[EndOfConvFNPos]] - tblPassengerNames[[#This Row],[DotPos]] - 1)</f>
        <v>Caroline Louise</v>
      </c>
      <c r="K106" t="e">
        <f>MID(tblPassengerNames[[#This Row],[Name]], tblPassengerNames[[#This Row],[OpenParPos]] + 1, tblPassengerNames[[#This Row],[CloseParPos]] - tblPassengerNames[[#This Row],[OpenParPos]] - 1)</f>
        <v>#VALUE!</v>
      </c>
      <c r="L106" t="e">
        <f>IF(AND(LEFT(tblPassengerNames[[#This Row],[InParentheses]], 1) = "'", RIGHT(tblPassengerNames[[#This Row],[InParentheses]], 1) = "'"),
    #VALUE!,
    tblPassengerNames[[#This Row],[InParentheses]]
)</f>
        <v>#VALUE!</v>
      </c>
      <c r="M106" t="e">
        <f>LEN(tblPassengerNames[[#This Row],[InParenthesesCleaned]]) - LEN(SUBSTITUTE(tblPassengerNames[[#This Row],[InParenthesesCleaned]], " ", ""))</f>
        <v>#VALUE!</v>
      </c>
      <c r="N106" t="e">
        <f>FIND("@", SUBSTITUTE(tblPassengerNames[[#This Row],[InParenthesesCleaned]], " ", "@", tblPassengerNames[[#This Row],[P_NSpaces]]))</f>
        <v>#VALUE!</v>
      </c>
      <c r="O106" t="e">
        <f>IF(tblPassengerNames[[#This Row],[P_NSpaces]] = 0,
    tblPassengerNames[[#This Row],[InParenthesesCleaned]],
    LEFT(tblPassengerNames[[#This Row],[InParenthesesCleaned]], tblPassengerNames[[#This Row],[P_FinalSpacePos]] - 1)
)</f>
        <v>#VALUE!</v>
      </c>
      <c r="P106" t="str">
        <f>IFERROR(tblPassengerNames[[#This Row],[P_Forenames]], tblPassengerNames[[#This Row],[ConvForenames]])</f>
        <v>Caroline Louise</v>
      </c>
      <c r="Q106" t="str">
        <f>MID(tblPassengerNames[[#This Row],[Name]], tblPassengerNames[[#This Row],[CommaPos]] + 2, tblPassengerNames[[#This Row],[DotPos]] - tblPassengerNames[[#This Row],[CommaPos]] - 1)</f>
        <v>Miss.</v>
      </c>
      <c r="R106" t="str">
        <f>LEFT(tblPassengerNames[[#This Row],[Name]], tblPassengerNames[[#This Row],[CommaPos]] - 1)</f>
        <v>Endres</v>
      </c>
    </row>
    <row r="107" spans="2:18" x14ac:dyDescent="0.25">
      <c r="B107" s="21">
        <v>105</v>
      </c>
      <c r="C107" s="21" t="s">
        <v>241</v>
      </c>
      <c r="D107" s="21" t="s">
        <v>136</v>
      </c>
      <c r="E107">
        <f>FIND(",", tblPassengerNames[[#This Row],[Name]])</f>
        <v>7</v>
      </c>
      <c r="F107">
        <f>FIND(".", tblPassengerNames[[#This Row],[Name]])</f>
        <v>13</v>
      </c>
      <c r="G107" t="e">
        <f>FIND("(", tblPassengerNames[[#This Row],[Name]])</f>
        <v>#VALUE!</v>
      </c>
      <c r="H107" t="e">
        <f>FIND(")", tblPassengerNames[[#This Row],[Name]])</f>
        <v>#VALUE!</v>
      </c>
      <c r="I107">
        <f>IFERROR(tblPassengerNames[[#This Row],[OpenParPos]] - 2, LEN(tblPassengerNames[[#This Row],[Name]]))</f>
        <v>30</v>
      </c>
      <c r="J107" t="str">
        <f>MID(tblPassengerNames[[#This Row],[Name]], tblPassengerNames[[#This Row],[DotPos]] + 2, tblPassengerNames[[#This Row],[EndOfConvFNPos]] - tblPassengerNames[[#This Row],[DotPos]] - 1)</f>
        <v>Elizabeth Mussey</v>
      </c>
      <c r="K107" t="e">
        <f>MID(tblPassengerNames[[#This Row],[Name]], tblPassengerNames[[#This Row],[OpenParPos]] + 1, tblPassengerNames[[#This Row],[CloseParPos]] - tblPassengerNames[[#This Row],[OpenParPos]] - 1)</f>
        <v>#VALUE!</v>
      </c>
      <c r="L107" t="e">
        <f>IF(AND(LEFT(tblPassengerNames[[#This Row],[InParentheses]], 1) = "'", RIGHT(tblPassengerNames[[#This Row],[InParentheses]], 1) = "'"),
    #VALUE!,
    tblPassengerNames[[#This Row],[InParentheses]]
)</f>
        <v>#VALUE!</v>
      </c>
      <c r="M107" t="e">
        <f>LEN(tblPassengerNames[[#This Row],[InParenthesesCleaned]]) - LEN(SUBSTITUTE(tblPassengerNames[[#This Row],[InParenthesesCleaned]], " ", ""))</f>
        <v>#VALUE!</v>
      </c>
      <c r="N107" t="e">
        <f>FIND("@", SUBSTITUTE(tblPassengerNames[[#This Row],[InParenthesesCleaned]], " ", "@", tblPassengerNames[[#This Row],[P_NSpaces]]))</f>
        <v>#VALUE!</v>
      </c>
      <c r="O107" t="e">
        <f>IF(tblPassengerNames[[#This Row],[P_NSpaces]] = 0,
    tblPassengerNames[[#This Row],[InParenthesesCleaned]],
    LEFT(tblPassengerNames[[#This Row],[InParenthesesCleaned]], tblPassengerNames[[#This Row],[P_FinalSpacePos]] - 1)
)</f>
        <v>#VALUE!</v>
      </c>
      <c r="P107" t="str">
        <f>IFERROR(tblPassengerNames[[#This Row],[P_Forenames]], tblPassengerNames[[#This Row],[ConvForenames]])</f>
        <v>Elizabeth Mussey</v>
      </c>
      <c r="Q107" t="str">
        <f>MID(tblPassengerNames[[#This Row],[Name]], tblPassengerNames[[#This Row],[CommaPos]] + 2, tblPassengerNames[[#This Row],[DotPos]] - tblPassengerNames[[#This Row],[CommaPos]] - 1)</f>
        <v>Miss.</v>
      </c>
      <c r="R107" t="str">
        <f>LEFT(tblPassengerNames[[#This Row],[Name]], tblPassengerNames[[#This Row],[CommaPos]] - 1)</f>
        <v>Eustis</v>
      </c>
    </row>
    <row r="108" spans="2:18" x14ac:dyDescent="0.25">
      <c r="B108" s="21">
        <v>106</v>
      </c>
      <c r="C108" s="21" t="s">
        <v>242</v>
      </c>
      <c r="D108" s="21" t="s">
        <v>136</v>
      </c>
      <c r="E108">
        <f>FIND(",", tblPassengerNames[[#This Row],[Name]])</f>
        <v>6</v>
      </c>
      <c r="F108">
        <f>FIND(".", tblPassengerNames[[#This Row],[Name]])</f>
        <v>12</v>
      </c>
      <c r="G108" t="e">
        <f>FIND("(", tblPassengerNames[[#This Row],[Name]])</f>
        <v>#VALUE!</v>
      </c>
      <c r="H108" t="e">
        <f>FIND(")", tblPassengerNames[[#This Row],[Name]])</f>
        <v>#VALUE!</v>
      </c>
      <c r="I108">
        <f>IFERROR(tblPassengerNames[[#This Row],[OpenParPos]] - 2, LEN(tblPassengerNames[[#This Row],[Name]]))</f>
        <v>24</v>
      </c>
      <c r="J108" t="str">
        <f>MID(tblPassengerNames[[#This Row],[Name]], tblPassengerNames[[#This Row],[DotPos]] + 2, tblPassengerNames[[#This Row],[EndOfConvFNPos]] - tblPassengerNames[[#This Row],[DotPos]] - 1)</f>
        <v>Edith Corse</v>
      </c>
      <c r="K108" t="e">
        <f>MID(tblPassengerNames[[#This Row],[Name]], tblPassengerNames[[#This Row],[OpenParPos]] + 1, tblPassengerNames[[#This Row],[CloseParPos]] - tblPassengerNames[[#This Row],[OpenParPos]] - 1)</f>
        <v>#VALUE!</v>
      </c>
      <c r="L108" t="e">
        <f>IF(AND(LEFT(tblPassengerNames[[#This Row],[InParentheses]], 1) = "'", RIGHT(tblPassengerNames[[#This Row],[InParentheses]], 1) = "'"),
    #VALUE!,
    tblPassengerNames[[#This Row],[InParentheses]]
)</f>
        <v>#VALUE!</v>
      </c>
      <c r="M108" t="e">
        <f>LEN(tblPassengerNames[[#This Row],[InParenthesesCleaned]]) - LEN(SUBSTITUTE(tblPassengerNames[[#This Row],[InParenthesesCleaned]], " ", ""))</f>
        <v>#VALUE!</v>
      </c>
      <c r="N108" t="e">
        <f>FIND("@", SUBSTITUTE(tblPassengerNames[[#This Row],[InParenthesesCleaned]], " ", "@", tblPassengerNames[[#This Row],[P_NSpaces]]))</f>
        <v>#VALUE!</v>
      </c>
      <c r="O108" t="e">
        <f>IF(tblPassengerNames[[#This Row],[P_NSpaces]] = 0,
    tblPassengerNames[[#This Row],[InParenthesesCleaned]],
    LEFT(tblPassengerNames[[#This Row],[InParenthesesCleaned]], tblPassengerNames[[#This Row],[P_FinalSpacePos]] - 1)
)</f>
        <v>#VALUE!</v>
      </c>
      <c r="P108" t="str">
        <f>IFERROR(tblPassengerNames[[#This Row],[P_Forenames]], tblPassengerNames[[#This Row],[ConvForenames]])</f>
        <v>Edith Corse</v>
      </c>
      <c r="Q108" t="str">
        <f>MID(tblPassengerNames[[#This Row],[Name]], tblPassengerNames[[#This Row],[CommaPos]] + 2, tblPassengerNames[[#This Row],[DotPos]] - tblPassengerNames[[#This Row],[CommaPos]] - 1)</f>
        <v>Miss.</v>
      </c>
      <c r="R108" t="str">
        <f>LEFT(tblPassengerNames[[#This Row],[Name]], tblPassengerNames[[#This Row],[CommaPos]] - 1)</f>
        <v>Evans</v>
      </c>
    </row>
    <row r="109" spans="2:18" x14ac:dyDescent="0.25">
      <c r="B109" s="21">
        <v>107</v>
      </c>
      <c r="C109" s="21" t="s">
        <v>243</v>
      </c>
      <c r="D109" s="21" t="s">
        <v>138</v>
      </c>
      <c r="E109">
        <f>FIND(",", tblPassengerNames[[#This Row],[Name]])</f>
        <v>9</v>
      </c>
      <c r="F109">
        <f>FIND(".", tblPassengerNames[[#This Row],[Name]])</f>
        <v>13</v>
      </c>
      <c r="G109" t="e">
        <f>FIND("(", tblPassengerNames[[#This Row],[Name]])</f>
        <v>#VALUE!</v>
      </c>
      <c r="H109" t="e">
        <f>FIND(")", tblPassengerNames[[#This Row],[Name]])</f>
        <v>#VALUE!</v>
      </c>
      <c r="I109">
        <f>IFERROR(tblPassengerNames[[#This Row],[OpenParPos]] - 2, LEN(tblPassengerNames[[#This Row],[Name]]))</f>
        <v>18</v>
      </c>
      <c r="J109" t="str">
        <f>MID(tblPassengerNames[[#This Row],[Name]], tblPassengerNames[[#This Row],[DotPos]] + 2, tblPassengerNames[[#This Row],[EndOfConvFNPos]] - tblPassengerNames[[#This Row],[DotPos]] - 1)</f>
        <v>John</v>
      </c>
      <c r="K109" t="e">
        <f>MID(tblPassengerNames[[#This Row],[Name]], tblPassengerNames[[#This Row],[OpenParPos]] + 1, tblPassengerNames[[#This Row],[CloseParPos]] - tblPassengerNames[[#This Row],[OpenParPos]] - 1)</f>
        <v>#VALUE!</v>
      </c>
      <c r="L109" t="e">
        <f>IF(AND(LEFT(tblPassengerNames[[#This Row],[InParentheses]], 1) = "'", RIGHT(tblPassengerNames[[#This Row],[InParentheses]], 1) = "'"),
    #VALUE!,
    tblPassengerNames[[#This Row],[InParentheses]]
)</f>
        <v>#VALUE!</v>
      </c>
      <c r="M109" t="e">
        <f>LEN(tblPassengerNames[[#This Row],[InParenthesesCleaned]]) - LEN(SUBSTITUTE(tblPassengerNames[[#This Row],[InParenthesesCleaned]], " ", ""))</f>
        <v>#VALUE!</v>
      </c>
      <c r="N109" t="e">
        <f>FIND("@", SUBSTITUTE(tblPassengerNames[[#This Row],[InParenthesesCleaned]], " ", "@", tblPassengerNames[[#This Row],[P_NSpaces]]))</f>
        <v>#VALUE!</v>
      </c>
      <c r="O109" t="e">
        <f>IF(tblPassengerNames[[#This Row],[P_NSpaces]] = 0,
    tblPassengerNames[[#This Row],[InParenthesesCleaned]],
    LEFT(tblPassengerNames[[#This Row],[InParenthesesCleaned]], tblPassengerNames[[#This Row],[P_FinalSpacePos]] - 1)
)</f>
        <v>#VALUE!</v>
      </c>
      <c r="P109" t="str">
        <f>IFERROR(tblPassengerNames[[#This Row],[P_Forenames]], tblPassengerNames[[#This Row],[ConvForenames]])</f>
        <v>John</v>
      </c>
      <c r="Q109" t="str">
        <f>MID(tblPassengerNames[[#This Row],[Name]], tblPassengerNames[[#This Row],[CommaPos]] + 2, tblPassengerNames[[#This Row],[DotPos]] - tblPassengerNames[[#This Row],[CommaPos]] - 1)</f>
        <v>Mr.</v>
      </c>
      <c r="R109" t="str">
        <f>LEFT(tblPassengerNames[[#This Row],[Name]], tblPassengerNames[[#This Row],[CommaPos]] - 1)</f>
        <v>Farthing</v>
      </c>
    </row>
    <row r="110" spans="2:18" x14ac:dyDescent="0.25">
      <c r="B110" s="21">
        <v>108</v>
      </c>
      <c r="C110" s="21" t="s">
        <v>244</v>
      </c>
      <c r="D110" s="21" t="s">
        <v>136</v>
      </c>
      <c r="E110">
        <f>FIND(",", tblPassengerNames[[#This Row],[Name]])</f>
        <v>11</v>
      </c>
      <c r="F110">
        <f>FIND(".", tblPassengerNames[[#This Row],[Name]])</f>
        <v>16</v>
      </c>
      <c r="G110">
        <f>FIND("(", tblPassengerNames[[#This Row],[Name]])</f>
        <v>25</v>
      </c>
      <c r="H110">
        <f>FIND(")", tblPassengerNames[[#This Row],[Name]])</f>
        <v>36</v>
      </c>
      <c r="I110">
        <f>IFERROR(tblPassengerNames[[#This Row],[OpenParPos]] - 2, LEN(tblPassengerNames[[#This Row],[Name]]))</f>
        <v>23</v>
      </c>
      <c r="J110" t="str">
        <f>MID(tblPassengerNames[[#This Row],[Name]], tblPassengerNames[[#This Row],[DotPos]] + 2, tblPassengerNames[[#This Row],[EndOfConvFNPos]] - tblPassengerNames[[#This Row],[DotPos]] - 1)</f>
        <v>Alfred</v>
      </c>
      <c r="K110" t="str">
        <f>MID(tblPassengerNames[[#This Row],[Name]], tblPassengerNames[[#This Row],[OpenParPos]] + 1, tblPassengerNames[[#This Row],[CloseParPos]] - tblPassengerNames[[#This Row],[OpenParPos]] - 1)</f>
        <v>Antoinette</v>
      </c>
      <c r="L110" t="str">
        <f>IF(AND(LEFT(tblPassengerNames[[#This Row],[InParentheses]], 1) = "'", RIGHT(tblPassengerNames[[#This Row],[InParentheses]], 1) = "'"),
    #VALUE!,
    tblPassengerNames[[#This Row],[InParentheses]]
)</f>
        <v>Antoinette</v>
      </c>
      <c r="M110">
        <f>LEN(tblPassengerNames[[#This Row],[InParenthesesCleaned]]) - LEN(SUBSTITUTE(tblPassengerNames[[#This Row],[InParenthesesCleaned]], " ", ""))</f>
        <v>0</v>
      </c>
      <c r="N110" t="e">
        <f>FIND("@", SUBSTITUTE(tblPassengerNames[[#This Row],[InParenthesesCleaned]], " ", "@", tblPassengerNames[[#This Row],[P_NSpaces]]))</f>
        <v>#VALUE!</v>
      </c>
      <c r="O110" t="str">
        <f>IF(tblPassengerNames[[#This Row],[P_NSpaces]] = 0,
    tblPassengerNames[[#This Row],[InParenthesesCleaned]],
    LEFT(tblPassengerNames[[#This Row],[InParenthesesCleaned]], tblPassengerNames[[#This Row],[P_FinalSpacePos]] - 1)
)</f>
        <v>Antoinette</v>
      </c>
      <c r="P110" t="str">
        <f>IFERROR(tblPassengerNames[[#This Row],[P_Forenames]], tblPassengerNames[[#This Row],[ConvForenames]])</f>
        <v>Antoinette</v>
      </c>
      <c r="Q110" t="str">
        <f>MID(tblPassengerNames[[#This Row],[Name]], tblPassengerNames[[#This Row],[CommaPos]] + 2, tblPassengerNames[[#This Row],[DotPos]] - tblPassengerNames[[#This Row],[CommaPos]] - 1)</f>
        <v>Mrs.</v>
      </c>
      <c r="R110" t="str">
        <f>LEFT(tblPassengerNames[[#This Row],[Name]], tblPassengerNames[[#This Row],[CommaPos]] - 1)</f>
        <v>Flegenheim</v>
      </c>
    </row>
    <row r="111" spans="2:18" x14ac:dyDescent="0.25">
      <c r="B111" s="21">
        <v>109</v>
      </c>
      <c r="C111" s="21" t="s">
        <v>245</v>
      </c>
      <c r="D111" s="21" t="s">
        <v>136</v>
      </c>
      <c r="E111">
        <f>FIND(",", tblPassengerNames[[#This Row],[Name]])</f>
        <v>8</v>
      </c>
      <c r="F111">
        <f>FIND(".", tblPassengerNames[[#This Row],[Name]])</f>
        <v>14</v>
      </c>
      <c r="G111" t="e">
        <f>FIND("(", tblPassengerNames[[#This Row],[Name]])</f>
        <v>#VALUE!</v>
      </c>
      <c r="H111" t="e">
        <f>FIND(")", tblPassengerNames[[#This Row],[Name]])</f>
        <v>#VALUE!</v>
      </c>
      <c r="I111">
        <f>IFERROR(tblPassengerNames[[#This Row],[OpenParPos]] - 2, LEN(tblPassengerNames[[#This Row],[Name]]))</f>
        <v>23</v>
      </c>
      <c r="J111" t="str">
        <f>MID(tblPassengerNames[[#This Row],[Name]], tblPassengerNames[[#This Row],[DotPos]] + 2, tblPassengerNames[[#This Row],[EndOfConvFNPos]] - tblPassengerNames[[#This Row],[DotPos]] - 1)</f>
        <v>Margaret</v>
      </c>
      <c r="K111" t="e">
        <f>MID(tblPassengerNames[[#This Row],[Name]], tblPassengerNames[[#This Row],[OpenParPos]] + 1, tblPassengerNames[[#This Row],[CloseParPos]] - tblPassengerNames[[#This Row],[OpenParPos]] - 1)</f>
        <v>#VALUE!</v>
      </c>
      <c r="L111" t="e">
        <f>IF(AND(LEFT(tblPassengerNames[[#This Row],[InParentheses]], 1) = "'", RIGHT(tblPassengerNames[[#This Row],[InParentheses]], 1) = "'"),
    #VALUE!,
    tblPassengerNames[[#This Row],[InParentheses]]
)</f>
        <v>#VALUE!</v>
      </c>
      <c r="M111" t="e">
        <f>LEN(tblPassengerNames[[#This Row],[InParenthesesCleaned]]) - LEN(SUBSTITUTE(tblPassengerNames[[#This Row],[InParenthesesCleaned]], " ", ""))</f>
        <v>#VALUE!</v>
      </c>
      <c r="N111" t="e">
        <f>FIND("@", SUBSTITUTE(tblPassengerNames[[#This Row],[InParenthesesCleaned]], " ", "@", tblPassengerNames[[#This Row],[P_NSpaces]]))</f>
        <v>#VALUE!</v>
      </c>
      <c r="O111" t="e">
        <f>IF(tblPassengerNames[[#This Row],[P_NSpaces]] = 0,
    tblPassengerNames[[#This Row],[InParenthesesCleaned]],
    LEFT(tblPassengerNames[[#This Row],[InParenthesesCleaned]], tblPassengerNames[[#This Row],[P_FinalSpacePos]] - 1)
)</f>
        <v>#VALUE!</v>
      </c>
      <c r="P111" t="str">
        <f>IFERROR(tblPassengerNames[[#This Row],[P_Forenames]], tblPassengerNames[[#This Row],[ConvForenames]])</f>
        <v>Margaret</v>
      </c>
      <c r="Q111" t="str">
        <f>MID(tblPassengerNames[[#This Row],[Name]], tblPassengerNames[[#This Row],[CommaPos]] + 2, tblPassengerNames[[#This Row],[DotPos]] - tblPassengerNames[[#This Row],[CommaPos]] - 1)</f>
        <v>Miss.</v>
      </c>
      <c r="R111" t="str">
        <f>LEFT(tblPassengerNames[[#This Row],[Name]], tblPassengerNames[[#This Row],[CommaPos]] - 1)</f>
        <v>Fleming</v>
      </c>
    </row>
    <row r="112" spans="2:18" x14ac:dyDescent="0.25">
      <c r="B112" s="21">
        <v>110</v>
      </c>
      <c r="C112" s="21" t="s">
        <v>246</v>
      </c>
      <c r="D112" s="21" t="s">
        <v>138</v>
      </c>
      <c r="E112">
        <f>FIND(",", tblPassengerNames[[#This Row],[Name]])</f>
        <v>6</v>
      </c>
      <c r="F112">
        <f>FIND(".", tblPassengerNames[[#This Row],[Name]])</f>
        <v>10</v>
      </c>
      <c r="G112">
        <f>FIND("(", tblPassengerNames[[#This Row],[Name]])</f>
        <v>23</v>
      </c>
      <c r="H112">
        <f>FIND(")", tblPassengerNames[[#This Row],[Name]])</f>
        <v>32</v>
      </c>
      <c r="I112">
        <f>IFERROR(tblPassengerNames[[#This Row],[OpenParPos]] - 2, LEN(tblPassengerNames[[#This Row],[Name]]))</f>
        <v>21</v>
      </c>
      <c r="J112" t="str">
        <f>MID(tblPassengerNames[[#This Row],[Name]], tblPassengerNames[[#This Row],[DotPos]] + 2, tblPassengerNames[[#This Row],[EndOfConvFNPos]] - tblPassengerNames[[#This Row],[DotPos]] - 1)</f>
        <v>John Irwin</v>
      </c>
      <c r="K112" t="str">
        <f>MID(tblPassengerNames[[#This Row],[Name]], tblPassengerNames[[#This Row],[OpenParPos]] + 1, tblPassengerNames[[#This Row],[CloseParPos]] - tblPassengerNames[[#This Row],[OpenParPos]] - 1)</f>
        <v>'Irving'</v>
      </c>
      <c r="L112" t="e">
        <f>IF(AND(LEFT(tblPassengerNames[[#This Row],[InParentheses]], 1) = "'", RIGHT(tblPassengerNames[[#This Row],[InParentheses]], 1) = "'"),
    #VALUE!,
    tblPassengerNames[[#This Row],[InParentheses]]
)</f>
        <v>#VALUE!</v>
      </c>
      <c r="M112" t="e">
        <f>LEN(tblPassengerNames[[#This Row],[InParenthesesCleaned]]) - LEN(SUBSTITUTE(tblPassengerNames[[#This Row],[InParenthesesCleaned]], " ", ""))</f>
        <v>#VALUE!</v>
      </c>
      <c r="N112" t="e">
        <f>FIND("@", SUBSTITUTE(tblPassengerNames[[#This Row],[InParenthesesCleaned]], " ", "@", tblPassengerNames[[#This Row],[P_NSpaces]]))</f>
        <v>#VALUE!</v>
      </c>
      <c r="O112" t="e">
        <f>IF(tblPassengerNames[[#This Row],[P_NSpaces]] = 0,
    tblPassengerNames[[#This Row],[InParenthesesCleaned]],
    LEFT(tblPassengerNames[[#This Row],[InParenthesesCleaned]], tblPassengerNames[[#This Row],[P_FinalSpacePos]] - 1)
)</f>
        <v>#VALUE!</v>
      </c>
      <c r="P112" t="str">
        <f>IFERROR(tblPassengerNames[[#This Row],[P_Forenames]], tblPassengerNames[[#This Row],[ConvForenames]])</f>
        <v>John Irwin</v>
      </c>
      <c r="Q112" t="str">
        <f>MID(tblPassengerNames[[#This Row],[Name]], tblPassengerNames[[#This Row],[CommaPos]] + 2, tblPassengerNames[[#This Row],[DotPos]] - tblPassengerNames[[#This Row],[CommaPos]] - 1)</f>
        <v>Mr.</v>
      </c>
      <c r="R112" t="str">
        <f>LEFT(tblPassengerNames[[#This Row],[Name]], tblPassengerNames[[#This Row],[CommaPos]] - 1)</f>
        <v>Flynn</v>
      </c>
    </row>
    <row r="113" spans="2:18" x14ac:dyDescent="0.25">
      <c r="B113" s="21">
        <v>111</v>
      </c>
      <c r="C113" s="21" t="s">
        <v>247</v>
      </c>
      <c r="D113" s="21" t="s">
        <v>138</v>
      </c>
      <c r="E113">
        <f>FIND(",", tblPassengerNames[[#This Row],[Name]])</f>
        <v>8</v>
      </c>
      <c r="F113">
        <f>FIND(".", tblPassengerNames[[#This Row],[Name]])</f>
        <v>12</v>
      </c>
      <c r="G113" t="e">
        <f>FIND("(", tblPassengerNames[[#This Row],[Name]])</f>
        <v>#VALUE!</v>
      </c>
      <c r="H113" t="e">
        <f>FIND(")", tblPassengerNames[[#This Row],[Name]])</f>
        <v>#VALUE!</v>
      </c>
      <c r="I113">
        <f>IFERROR(tblPassengerNames[[#This Row],[OpenParPos]] - 2, LEN(tblPassengerNames[[#This Row],[Name]]))</f>
        <v>31</v>
      </c>
      <c r="J113" t="str">
        <f>MID(tblPassengerNames[[#This Row],[Name]], tblPassengerNames[[#This Row],[DotPos]] + 2, tblPassengerNames[[#This Row],[EndOfConvFNPos]] - tblPassengerNames[[#This Row],[DotPos]] - 1)</f>
        <v>Benjamin Laventall</v>
      </c>
      <c r="K113" t="e">
        <f>MID(tblPassengerNames[[#This Row],[Name]], tblPassengerNames[[#This Row],[OpenParPos]] + 1, tblPassengerNames[[#This Row],[CloseParPos]] - tblPassengerNames[[#This Row],[OpenParPos]] - 1)</f>
        <v>#VALUE!</v>
      </c>
      <c r="L113" t="e">
        <f>IF(AND(LEFT(tblPassengerNames[[#This Row],[InParentheses]], 1) = "'", RIGHT(tblPassengerNames[[#This Row],[InParentheses]], 1) = "'"),
    #VALUE!,
    tblPassengerNames[[#This Row],[InParentheses]]
)</f>
        <v>#VALUE!</v>
      </c>
      <c r="M113" t="e">
        <f>LEN(tblPassengerNames[[#This Row],[InParenthesesCleaned]]) - LEN(SUBSTITUTE(tblPassengerNames[[#This Row],[InParenthesesCleaned]], " ", ""))</f>
        <v>#VALUE!</v>
      </c>
      <c r="N113" t="e">
        <f>FIND("@", SUBSTITUTE(tblPassengerNames[[#This Row],[InParenthesesCleaned]], " ", "@", tblPassengerNames[[#This Row],[P_NSpaces]]))</f>
        <v>#VALUE!</v>
      </c>
      <c r="O113" t="e">
        <f>IF(tblPassengerNames[[#This Row],[P_NSpaces]] = 0,
    tblPassengerNames[[#This Row],[InParenthesesCleaned]],
    LEFT(tblPassengerNames[[#This Row],[InParenthesesCleaned]], tblPassengerNames[[#This Row],[P_FinalSpacePos]] - 1)
)</f>
        <v>#VALUE!</v>
      </c>
      <c r="P113" t="str">
        <f>IFERROR(tblPassengerNames[[#This Row],[P_Forenames]], tblPassengerNames[[#This Row],[ConvForenames]])</f>
        <v>Benjamin Laventall</v>
      </c>
      <c r="Q113" t="str">
        <f>MID(tblPassengerNames[[#This Row],[Name]], tblPassengerNames[[#This Row],[CommaPos]] + 2, tblPassengerNames[[#This Row],[DotPos]] - tblPassengerNames[[#This Row],[CommaPos]] - 1)</f>
        <v>Mr.</v>
      </c>
      <c r="R113" t="str">
        <f>LEFT(tblPassengerNames[[#This Row],[Name]], tblPassengerNames[[#This Row],[CommaPos]] - 1)</f>
        <v>Foreman</v>
      </c>
    </row>
    <row r="114" spans="2:18" x14ac:dyDescent="0.25">
      <c r="B114" s="21">
        <v>112</v>
      </c>
      <c r="C114" s="21" t="s">
        <v>248</v>
      </c>
      <c r="D114" s="21" t="s">
        <v>136</v>
      </c>
      <c r="E114">
        <f>FIND(",", tblPassengerNames[[#This Row],[Name]])</f>
        <v>8</v>
      </c>
      <c r="F114">
        <f>FIND(".", tblPassengerNames[[#This Row],[Name]])</f>
        <v>14</v>
      </c>
      <c r="G114" t="e">
        <f>FIND("(", tblPassengerNames[[#This Row],[Name]])</f>
        <v>#VALUE!</v>
      </c>
      <c r="H114" t="e">
        <f>FIND(")", tblPassengerNames[[#This Row],[Name]])</f>
        <v>#VALUE!</v>
      </c>
      <c r="I114">
        <f>IFERROR(tblPassengerNames[[#This Row],[OpenParPos]] - 2, LEN(tblPassengerNames[[#This Row],[Name]]))</f>
        <v>30</v>
      </c>
      <c r="J114" t="str">
        <f>MID(tblPassengerNames[[#This Row],[Name]], tblPassengerNames[[#This Row],[DotPos]] + 2, tblPassengerNames[[#This Row],[EndOfConvFNPos]] - tblPassengerNames[[#This Row],[DotPos]] - 1)</f>
        <v>Alice Elizabeth</v>
      </c>
      <c r="K114" t="e">
        <f>MID(tblPassengerNames[[#This Row],[Name]], tblPassengerNames[[#This Row],[OpenParPos]] + 1, tblPassengerNames[[#This Row],[CloseParPos]] - tblPassengerNames[[#This Row],[OpenParPos]] - 1)</f>
        <v>#VALUE!</v>
      </c>
      <c r="L114" t="e">
        <f>IF(AND(LEFT(tblPassengerNames[[#This Row],[InParentheses]], 1) = "'", RIGHT(tblPassengerNames[[#This Row],[InParentheses]], 1) = "'"),
    #VALUE!,
    tblPassengerNames[[#This Row],[InParentheses]]
)</f>
        <v>#VALUE!</v>
      </c>
      <c r="M114" t="e">
        <f>LEN(tblPassengerNames[[#This Row],[InParenthesesCleaned]]) - LEN(SUBSTITUTE(tblPassengerNames[[#This Row],[InParenthesesCleaned]], " ", ""))</f>
        <v>#VALUE!</v>
      </c>
      <c r="N114" t="e">
        <f>FIND("@", SUBSTITUTE(tblPassengerNames[[#This Row],[InParenthesesCleaned]], " ", "@", tblPassengerNames[[#This Row],[P_NSpaces]]))</f>
        <v>#VALUE!</v>
      </c>
      <c r="O114" t="e">
        <f>IF(tblPassengerNames[[#This Row],[P_NSpaces]] = 0,
    tblPassengerNames[[#This Row],[InParenthesesCleaned]],
    LEFT(tblPassengerNames[[#This Row],[InParenthesesCleaned]], tblPassengerNames[[#This Row],[P_FinalSpacePos]] - 1)
)</f>
        <v>#VALUE!</v>
      </c>
      <c r="P114" t="str">
        <f>IFERROR(tblPassengerNames[[#This Row],[P_Forenames]], tblPassengerNames[[#This Row],[ConvForenames]])</f>
        <v>Alice Elizabeth</v>
      </c>
      <c r="Q114" t="str">
        <f>MID(tblPassengerNames[[#This Row],[Name]], tblPassengerNames[[#This Row],[CommaPos]] + 2, tblPassengerNames[[#This Row],[DotPos]] - tblPassengerNames[[#This Row],[CommaPos]] - 1)</f>
        <v>Miss.</v>
      </c>
      <c r="R114" t="str">
        <f>LEFT(tblPassengerNames[[#This Row],[Name]], tblPassengerNames[[#This Row],[CommaPos]] - 1)</f>
        <v>Fortune</v>
      </c>
    </row>
    <row r="115" spans="2:18" x14ac:dyDescent="0.25">
      <c r="B115" s="21">
        <v>113</v>
      </c>
      <c r="C115" s="21" t="s">
        <v>249</v>
      </c>
      <c r="D115" s="21" t="s">
        <v>136</v>
      </c>
      <c r="E115">
        <f>FIND(",", tblPassengerNames[[#This Row],[Name]])</f>
        <v>8</v>
      </c>
      <c r="F115">
        <f>FIND(".", tblPassengerNames[[#This Row],[Name]])</f>
        <v>14</v>
      </c>
      <c r="G115" t="e">
        <f>FIND("(", tblPassengerNames[[#This Row],[Name]])</f>
        <v>#VALUE!</v>
      </c>
      <c r="H115" t="e">
        <f>FIND(")", tblPassengerNames[[#This Row],[Name]])</f>
        <v>#VALUE!</v>
      </c>
      <c r="I115">
        <f>IFERROR(tblPassengerNames[[#This Row],[OpenParPos]] - 2, LEN(tblPassengerNames[[#This Row],[Name]]))</f>
        <v>26</v>
      </c>
      <c r="J115" t="str">
        <f>MID(tblPassengerNames[[#This Row],[Name]], tblPassengerNames[[#This Row],[DotPos]] + 2, tblPassengerNames[[#This Row],[EndOfConvFNPos]] - tblPassengerNames[[#This Row],[DotPos]] - 1)</f>
        <v>Ethel Flora</v>
      </c>
      <c r="K115" t="e">
        <f>MID(tblPassengerNames[[#This Row],[Name]], tblPassengerNames[[#This Row],[OpenParPos]] + 1, tblPassengerNames[[#This Row],[CloseParPos]] - tblPassengerNames[[#This Row],[OpenParPos]] - 1)</f>
        <v>#VALUE!</v>
      </c>
      <c r="L115" t="e">
        <f>IF(AND(LEFT(tblPassengerNames[[#This Row],[InParentheses]], 1) = "'", RIGHT(tblPassengerNames[[#This Row],[InParentheses]], 1) = "'"),
    #VALUE!,
    tblPassengerNames[[#This Row],[InParentheses]]
)</f>
        <v>#VALUE!</v>
      </c>
      <c r="M115" t="e">
        <f>LEN(tblPassengerNames[[#This Row],[InParenthesesCleaned]]) - LEN(SUBSTITUTE(tblPassengerNames[[#This Row],[InParenthesesCleaned]], " ", ""))</f>
        <v>#VALUE!</v>
      </c>
      <c r="N115" t="e">
        <f>FIND("@", SUBSTITUTE(tblPassengerNames[[#This Row],[InParenthesesCleaned]], " ", "@", tblPassengerNames[[#This Row],[P_NSpaces]]))</f>
        <v>#VALUE!</v>
      </c>
      <c r="O115" t="e">
        <f>IF(tblPassengerNames[[#This Row],[P_NSpaces]] = 0,
    tblPassengerNames[[#This Row],[InParenthesesCleaned]],
    LEFT(tblPassengerNames[[#This Row],[InParenthesesCleaned]], tblPassengerNames[[#This Row],[P_FinalSpacePos]] - 1)
)</f>
        <v>#VALUE!</v>
      </c>
      <c r="P115" t="str">
        <f>IFERROR(tblPassengerNames[[#This Row],[P_Forenames]], tblPassengerNames[[#This Row],[ConvForenames]])</f>
        <v>Ethel Flora</v>
      </c>
      <c r="Q115" t="str">
        <f>MID(tblPassengerNames[[#This Row],[Name]], tblPassengerNames[[#This Row],[CommaPos]] + 2, tblPassengerNames[[#This Row],[DotPos]] - tblPassengerNames[[#This Row],[CommaPos]] - 1)</f>
        <v>Miss.</v>
      </c>
      <c r="R115" t="str">
        <f>LEFT(tblPassengerNames[[#This Row],[Name]], tblPassengerNames[[#This Row],[CommaPos]] - 1)</f>
        <v>Fortune</v>
      </c>
    </row>
    <row r="116" spans="2:18" x14ac:dyDescent="0.25">
      <c r="B116" s="21">
        <v>114</v>
      </c>
      <c r="C116" s="21" t="s">
        <v>250</v>
      </c>
      <c r="D116" s="21" t="s">
        <v>136</v>
      </c>
      <c r="E116">
        <f>FIND(",", tblPassengerNames[[#This Row],[Name]])</f>
        <v>8</v>
      </c>
      <c r="F116">
        <f>FIND(".", tblPassengerNames[[#This Row],[Name]])</f>
        <v>14</v>
      </c>
      <c r="G116" t="e">
        <f>FIND("(", tblPassengerNames[[#This Row],[Name]])</f>
        <v>#VALUE!</v>
      </c>
      <c r="H116" t="e">
        <f>FIND(")", tblPassengerNames[[#This Row],[Name]])</f>
        <v>#VALUE!</v>
      </c>
      <c r="I116">
        <f>IFERROR(tblPassengerNames[[#This Row],[OpenParPos]] - 2, LEN(tblPassengerNames[[#This Row],[Name]]))</f>
        <v>26</v>
      </c>
      <c r="J116" t="str">
        <f>MID(tblPassengerNames[[#This Row],[Name]], tblPassengerNames[[#This Row],[DotPos]] + 2, tblPassengerNames[[#This Row],[EndOfConvFNPos]] - tblPassengerNames[[#This Row],[DotPos]] - 1)</f>
        <v>Mabel Helen</v>
      </c>
      <c r="K116" t="e">
        <f>MID(tblPassengerNames[[#This Row],[Name]], tblPassengerNames[[#This Row],[OpenParPos]] + 1, tblPassengerNames[[#This Row],[CloseParPos]] - tblPassengerNames[[#This Row],[OpenParPos]] - 1)</f>
        <v>#VALUE!</v>
      </c>
      <c r="L116" t="e">
        <f>IF(AND(LEFT(tblPassengerNames[[#This Row],[InParentheses]], 1) = "'", RIGHT(tblPassengerNames[[#This Row],[InParentheses]], 1) = "'"),
    #VALUE!,
    tblPassengerNames[[#This Row],[InParentheses]]
)</f>
        <v>#VALUE!</v>
      </c>
      <c r="M116" t="e">
        <f>LEN(tblPassengerNames[[#This Row],[InParenthesesCleaned]]) - LEN(SUBSTITUTE(tblPassengerNames[[#This Row],[InParenthesesCleaned]], " ", ""))</f>
        <v>#VALUE!</v>
      </c>
      <c r="N116" t="e">
        <f>FIND("@", SUBSTITUTE(tblPassengerNames[[#This Row],[InParenthesesCleaned]], " ", "@", tblPassengerNames[[#This Row],[P_NSpaces]]))</f>
        <v>#VALUE!</v>
      </c>
      <c r="O116" t="e">
        <f>IF(tblPassengerNames[[#This Row],[P_NSpaces]] = 0,
    tblPassengerNames[[#This Row],[InParenthesesCleaned]],
    LEFT(tblPassengerNames[[#This Row],[InParenthesesCleaned]], tblPassengerNames[[#This Row],[P_FinalSpacePos]] - 1)
)</f>
        <v>#VALUE!</v>
      </c>
      <c r="P116" t="str">
        <f>IFERROR(tblPassengerNames[[#This Row],[P_Forenames]], tblPassengerNames[[#This Row],[ConvForenames]])</f>
        <v>Mabel Helen</v>
      </c>
      <c r="Q116" t="str">
        <f>MID(tblPassengerNames[[#This Row],[Name]], tblPassengerNames[[#This Row],[CommaPos]] + 2, tblPassengerNames[[#This Row],[DotPos]] - tblPassengerNames[[#This Row],[CommaPos]] - 1)</f>
        <v>Miss.</v>
      </c>
      <c r="R116" t="str">
        <f>LEFT(tblPassengerNames[[#This Row],[Name]], tblPassengerNames[[#This Row],[CommaPos]] - 1)</f>
        <v>Fortune</v>
      </c>
    </row>
    <row r="117" spans="2:18" x14ac:dyDescent="0.25">
      <c r="B117" s="21">
        <v>115</v>
      </c>
      <c r="C117" s="21" t="s">
        <v>251</v>
      </c>
      <c r="D117" s="21" t="s">
        <v>138</v>
      </c>
      <c r="E117">
        <f>FIND(",", tblPassengerNames[[#This Row],[Name]])</f>
        <v>8</v>
      </c>
      <c r="F117">
        <f>FIND(".", tblPassengerNames[[#This Row],[Name]])</f>
        <v>12</v>
      </c>
      <c r="G117" t="e">
        <f>FIND("(", tblPassengerNames[[#This Row],[Name]])</f>
        <v>#VALUE!</v>
      </c>
      <c r="H117" t="e">
        <f>FIND(")", tblPassengerNames[[#This Row],[Name]])</f>
        <v>#VALUE!</v>
      </c>
      <c r="I117">
        <f>IFERROR(tblPassengerNames[[#This Row],[OpenParPos]] - 2, LEN(tblPassengerNames[[#This Row],[Name]]))</f>
        <v>30</v>
      </c>
      <c r="J117" t="str">
        <f>MID(tblPassengerNames[[#This Row],[Name]], tblPassengerNames[[#This Row],[DotPos]] + 2, tblPassengerNames[[#This Row],[EndOfConvFNPos]] - tblPassengerNames[[#This Row],[DotPos]] - 1)</f>
        <v>Charles Alexander</v>
      </c>
      <c r="K117" t="e">
        <f>MID(tblPassengerNames[[#This Row],[Name]], tblPassengerNames[[#This Row],[OpenParPos]] + 1, tblPassengerNames[[#This Row],[CloseParPos]] - tblPassengerNames[[#This Row],[OpenParPos]] - 1)</f>
        <v>#VALUE!</v>
      </c>
      <c r="L117" t="e">
        <f>IF(AND(LEFT(tblPassengerNames[[#This Row],[InParentheses]], 1) = "'", RIGHT(tblPassengerNames[[#This Row],[InParentheses]], 1) = "'"),
    #VALUE!,
    tblPassengerNames[[#This Row],[InParentheses]]
)</f>
        <v>#VALUE!</v>
      </c>
      <c r="M117" t="e">
        <f>LEN(tblPassengerNames[[#This Row],[InParenthesesCleaned]]) - LEN(SUBSTITUTE(tblPassengerNames[[#This Row],[InParenthesesCleaned]], " ", ""))</f>
        <v>#VALUE!</v>
      </c>
      <c r="N117" t="e">
        <f>FIND("@", SUBSTITUTE(tblPassengerNames[[#This Row],[InParenthesesCleaned]], " ", "@", tblPassengerNames[[#This Row],[P_NSpaces]]))</f>
        <v>#VALUE!</v>
      </c>
      <c r="O117" t="e">
        <f>IF(tblPassengerNames[[#This Row],[P_NSpaces]] = 0,
    tblPassengerNames[[#This Row],[InParenthesesCleaned]],
    LEFT(tblPassengerNames[[#This Row],[InParenthesesCleaned]], tblPassengerNames[[#This Row],[P_FinalSpacePos]] - 1)
)</f>
        <v>#VALUE!</v>
      </c>
      <c r="P117" t="str">
        <f>IFERROR(tblPassengerNames[[#This Row],[P_Forenames]], tblPassengerNames[[#This Row],[ConvForenames]])</f>
        <v>Charles Alexander</v>
      </c>
      <c r="Q117" t="str">
        <f>MID(tblPassengerNames[[#This Row],[Name]], tblPassengerNames[[#This Row],[CommaPos]] + 2, tblPassengerNames[[#This Row],[DotPos]] - tblPassengerNames[[#This Row],[CommaPos]] - 1)</f>
        <v>Mr.</v>
      </c>
      <c r="R117" t="str">
        <f>LEFT(tblPassengerNames[[#This Row],[Name]], tblPassengerNames[[#This Row],[CommaPos]] - 1)</f>
        <v>Fortune</v>
      </c>
    </row>
    <row r="118" spans="2:18" x14ac:dyDescent="0.25">
      <c r="B118" s="21">
        <v>116</v>
      </c>
      <c r="C118" s="21" t="s">
        <v>252</v>
      </c>
      <c r="D118" s="21" t="s">
        <v>138</v>
      </c>
      <c r="E118">
        <f>FIND(",", tblPassengerNames[[#This Row],[Name]])</f>
        <v>8</v>
      </c>
      <c r="F118">
        <f>FIND(".", tblPassengerNames[[#This Row],[Name]])</f>
        <v>12</v>
      </c>
      <c r="G118" t="e">
        <f>FIND("(", tblPassengerNames[[#This Row],[Name]])</f>
        <v>#VALUE!</v>
      </c>
      <c r="H118" t="e">
        <f>FIND(")", tblPassengerNames[[#This Row],[Name]])</f>
        <v>#VALUE!</v>
      </c>
      <c r="I118">
        <f>IFERROR(tblPassengerNames[[#This Row],[OpenParPos]] - 2, LEN(tblPassengerNames[[#This Row],[Name]]))</f>
        <v>17</v>
      </c>
      <c r="J118" t="str">
        <f>MID(tblPassengerNames[[#This Row],[Name]], tblPassengerNames[[#This Row],[DotPos]] + 2, tblPassengerNames[[#This Row],[EndOfConvFNPos]] - tblPassengerNames[[#This Row],[DotPos]] - 1)</f>
        <v>Mark</v>
      </c>
      <c r="K118" t="e">
        <f>MID(tblPassengerNames[[#This Row],[Name]], tblPassengerNames[[#This Row],[OpenParPos]] + 1, tblPassengerNames[[#This Row],[CloseParPos]] - tblPassengerNames[[#This Row],[OpenParPos]] - 1)</f>
        <v>#VALUE!</v>
      </c>
      <c r="L118" t="e">
        <f>IF(AND(LEFT(tblPassengerNames[[#This Row],[InParentheses]], 1) = "'", RIGHT(tblPassengerNames[[#This Row],[InParentheses]], 1) = "'"),
    #VALUE!,
    tblPassengerNames[[#This Row],[InParentheses]]
)</f>
        <v>#VALUE!</v>
      </c>
      <c r="M118" t="e">
        <f>LEN(tblPassengerNames[[#This Row],[InParenthesesCleaned]]) - LEN(SUBSTITUTE(tblPassengerNames[[#This Row],[InParenthesesCleaned]], " ", ""))</f>
        <v>#VALUE!</v>
      </c>
      <c r="N118" t="e">
        <f>FIND("@", SUBSTITUTE(tblPassengerNames[[#This Row],[InParenthesesCleaned]], " ", "@", tblPassengerNames[[#This Row],[P_NSpaces]]))</f>
        <v>#VALUE!</v>
      </c>
      <c r="O118" t="e">
        <f>IF(tblPassengerNames[[#This Row],[P_NSpaces]] = 0,
    tblPassengerNames[[#This Row],[InParenthesesCleaned]],
    LEFT(tblPassengerNames[[#This Row],[InParenthesesCleaned]], tblPassengerNames[[#This Row],[P_FinalSpacePos]] - 1)
)</f>
        <v>#VALUE!</v>
      </c>
      <c r="P118" t="str">
        <f>IFERROR(tblPassengerNames[[#This Row],[P_Forenames]], tblPassengerNames[[#This Row],[ConvForenames]])</f>
        <v>Mark</v>
      </c>
      <c r="Q118" t="str">
        <f>MID(tblPassengerNames[[#This Row],[Name]], tblPassengerNames[[#This Row],[CommaPos]] + 2, tblPassengerNames[[#This Row],[DotPos]] - tblPassengerNames[[#This Row],[CommaPos]] - 1)</f>
        <v>Mr.</v>
      </c>
      <c r="R118" t="str">
        <f>LEFT(tblPassengerNames[[#This Row],[Name]], tblPassengerNames[[#This Row],[CommaPos]] - 1)</f>
        <v>Fortune</v>
      </c>
    </row>
    <row r="119" spans="2:18" x14ac:dyDescent="0.25">
      <c r="B119" s="21">
        <v>117</v>
      </c>
      <c r="C119" s="21" t="s">
        <v>253</v>
      </c>
      <c r="D119" s="21" t="s">
        <v>136</v>
      </c>
      <c r="E119">
        <f>FIND(",", tblPassengerNames[[#This Row],[Name]])</f>
        <v>8</v>
      </c>
      <c r="F119">
        <f>FIND(".", tblPassengerNames[[#This Row],[Name]])</f>
        <v>13</v>
      </c>
      <c r="G119">
        <f>FIND("(", tblPassengerNames[[#This Row],[Name]])</f>
        <v>20</v>
      </c>
      <c r="H119">
        <f>FIND(")", tblPassengerNames[[#This Row],[Name]])</f>
        <v>35</v>
      </c>
      <c r="I119">
        <f>IFERROR(tblPassengerNames[[#This Row],[OpenParPos]] - 2, LEN(tblPassengerNames[[#This Row],[Name]]))</f>
        <v>18</v>
      </c>
      <c r="J119" t="str">
        <f>MID(tblPassengerNames[[#This Row],[Name]], tblPassengerNames[[#This Row],[DotPos]] + 2, tblPassengerNames[[#This Row],[EndOfConvFNPos]] - tblPassengerNames[[#This Row],[DotPos]] - 1)</f>
        <v>Mark</v>
      </c>
      <c r="K119" t="str">
        <f>MID(tblPassengerNames[[#This Row],[Name]], tblPassengerNames[[#This Row],[OpenParPos]] + 1, tblPassengerNames[[#This Row],[CloseParPos]] - tblPassengerNames[[#This Row],[OpenParPos]] - 1)</f>
        <v>Mary McDougald</v>
      </c>
      <c r="L119" t="str">
        <f>IF(AND(LEFT(tblPassengerNames[[#This Row],[InParentheses]], 1) = "'", RIGHT(tblPassengerNames[[#This Row],[InParentheses]], 1) = "'"),
    #VALUE!,
    tblPassengerNames[[#This Row],[InParentheses]]
)</f>
        <v>Mary McDougald</v>
      </c>
      <c r="M119">
        <f>LEN(tblPassengerNames[[#This Row],[InParenthesesCleaned]]) - LEN(SUBSTITUTE(tblPassengerNames[[#This Row],[InParenthesesCleaned]], " ", ""))</f>
        <v>1</v>
      </c>
      <c r="N119">
        <f>FIND("@", SUBSTITUTE(tblPassengerNames[[#This Row],[InParenthesesCleaned]], " ", "@", tblPassengerNames[[#This Row],[P_NSpaces]]))</f>
        <v>5</v>
      </c>
      <c r="O119" t="str">
        <f>IF(tblPassengerNames[[#This Row],[P_NSpaces]] = 0,
    tblPassengerNames[[#This Row],[InParenthesesCleaned]],
    LEFT(tblPassengerNames[[#This Row],[InParenthesesCleaned]], tblPassengerNames[[#This Row],[P_FinalSpacePos]] - 1)
)</f>
        <v>Mary</v>
      </c>
      <c r="P119" t="str">
        <f>IFERROR(tblPassengerNames[[#This Row],[P_Forenames]], tblPassengerNames[[#This Row],[ConvForenames]])</f>
        <v>Mary</v>
      </c>
      <c r="Q119" t="str">
        <f>MID(tblPassengerNames[[#This Row],[Name]], tblPassengerNames[[#This Row],[CommaPos]] + 2, tblPassengerNames[[#This Row],[DotPos]] - tblPassengerNames[[#This Row],[CommaPos]] - 1)</f>
        <v>Mrs.</v>
      </c>
      <c r="R119" t="str">
        <f>LEFT(tblPassengerNames[[#This Row],[Name]], tblPassengerNames[[#This Row],[CommaPos]] - 1)</f>
        <v>Fortune</v>
      </c>
    </row>
    <row r="120" spans="2:18" x14ac:dyDescent="0.25">
      <c r="B120" s="21">
        <v>118</v>
      </c>
      <c r="C120" s="21" t="s">
        <v>254</v>
      </c>
      <c r="D120" s="21" t="s">
        <v>136</v>
      </c>
      <c r="E120">
        <f>FIND(",", tblPassengerNames[[#This Row],[Name]])</f>
        <v>12</v>
      </c>
      <c r="F120">
        <f>FIND(".", tblPassengerNames[[#This Row],[Name]])</f>
        <v>18</v>
      </c>
      <c r="G120" t="e">
        <f>FIND("(", tblPassengerNames[[#This Row],[Name]])</f>
        <v>#VALUE!</v>
      </c>
      <c r="H120" t="e">
        <f>FIND(")", tblPassengerNames[[#This Row],[Name]])</f>
        <v>#VALUE!</v>
      </c>
      <c r="I120">
        <f>IFERROR(tblPassengerNames[[#This Row],[OpenParPos]] - 2, LEN(tblPassengerNames[[#This Row],[Name]]))</f>
        <v>30</v>
      </c>
      <c r="J120" t="str">
        <f>MID(tblPassengerNames[[#This Row],[Name]], tblPassengerNames[[#This Row],[DotPos]] + 2, tblPassengerNames[[#This Row],[EndOfConvFNPos]] - tblPassengerNames[[#This Row],[DotPos]] - 1)</f>
        <v>Laura Mabel</v>
      </c>
      <c r="K120" t="e">
        <f>MID(tblPassengerNames[[#This Row],[Name]], tblPassengerNames[[#This Row],[OpenParPos]] + 1, tblPassengerNames[[#This Row],[CloseParPos]] - tblPassengerNames[[#This Row],[OpenParPos]] - 1)</f>
        <v>#VALUE!</v>
      </c>
      <c r="L120" t="e">
        <f>IF(AND(LEFT(tblPassengerNames[[#This Row],[InParentheses]], 1) = "'", RIGHT(tblPassengerNames[[#This Row],[InParentheses]], 1) = "'"),
    #VALUE!,
    tblPassengerNames[[#This Row],[InParentheses]]
)</f>
        <v>#VALUE!</v>
      </c>
      <c r="M120" t="e">
        <f>LEN(tblPassengerNames[[#This Row],[InParenthesesCleaned]]) - LEN(SUBSTITUTE(tblPassengerNames[[#This Row],[InParenthesesCleaned]], " ", ""))</f>
        <v>#VALUE!</v>
      </c>
      <c r="N120" t="e">
        <f>FIND("@", SUBSTITUTE(tblPassengerNames[[#This Row],[InParenthesesCleaned]], " ", "@", tblPassengerNames[[#This Row],[P_NSpaces]]))</f>
        <v>#VALUE!</v>
      </c>
      <c r="O120" t="e">
        <f>IF(tblPassengerNames[[#This Row],[P_NSpaces]] = 0,
    tblPassengerNames[[#This Row],[InParenthesesCleaned]],
    LEFT(tblPassengerNames[[#This Row],[InParenthesesCleaned]], tblPassengerNames[[#This Row],[P_FinalSpacePos]] - 1)
)</f>
        <v>#VALUE!</v>
      </c>
      <c r="P120" t="str">
        <f>IFERROR(tblPassengerNames[[#This Row],[P_Forenames]], tblPassengerNames[[#This Row],[ConvForenames]])</f>
        <v>Laura Mabel</v>
      </c>
      <c r="Q120" t="str">
        <f>MID(tblPassengerNames[[#This Row],[Name]], tblPassengerNames[[#This Row],[CommaPos]] + 2, tblPassengerNames[[#This Row],[DotPos]] - tblPassengerNames[[#This Row],[CommaPos]] - 1)</f>
        <v>Miss.</v>
      </c>
      <c r="R120" t="str">
        <f>LEFT(tblPassengerNames[[#This Row],[Name]], tblPassengerNames[[#This Row],[CommaPos]] - 1)</f>
        <v>Francatelli</v>
      </c>
    </row>
    <row r="121" spans="2:18" x14ac:dyDescent="0.25">
      <c r="B121" s="21">
        <v>119</v>
      </c>
      <c r="C121" s="21" t="s">
        <v>255</v>
      </c>
      <c r="D121" s="21" t="s">
        <v>138</v>
      </c>
      <c r="E121">
        <f>FIND(",", tblPassengerNames[[#This Row],[Name]])</f>
        <v>9</v>
      </c>
      <c r="F121">
        <f>FIND(".", tblPassengerNames[[#This Row],[Name]])</f>
        <v>13</v>
      </c>
      <c r="G121" t="e">
        <f>FIND("(", tblPassengerNames[[#This Row],[Name]])</f>
        <v>#VALUE!</v>
      </c>
      <c r="H121" t="e">
        <f>FIND(")", tblPassengerNames[[#This Row],[Name]])</f>
        <v>#VALUE!</v>
      </c>
      <c r="I121">
        <f>IFERROR(tblPassengerNames[[#This Row],[OpenParPos]] - 2, LEN(tblPassengerNames[[#This Row],[Name]]))</f>
        <v>27</v>
      </c>
      <c r="J121" t="str">
        <f>MID(tblPassengerNames[[#This Row],[Name]], tblPassengerNames[[#This Row],[DotPos]] + 2, tblPassengerNames[[#This Row],[EndOfConvFNPos]] - tblPassengerNames[[#This Row],[DotPos]] - 1)</f>
        <v>Thomas Parham</v>
      </c>
      <c r="K121" t="e">
        <f>MID(tblPassengerNames[[#This Row],[Name]], tblPassengerNames[[#This Row],[OpenParPos]] + 1, tblPassengerNames[[#This Row],[CloseParPos]] - tblPassengerNames[[#This Row],[OpenParPos]] - 1)</f>
        <v>#VALUE!</v>
      </c>
      <c r="L121" t="e">
        <f>IF(AND(LEFT(tblPassengerNames[[#This Row],[InParentheses]], 1) = "'", RIGHT(tblPassengerNames[[#This Row],[InParentheses]], 1) = "'"),
    #VALUE!,
    tblPassengerNames[[#This Row],[InParentheses]]
)</f>
        <v>#VALUE!</v>
      </c>
      <c r="M121" t="e">
        <f>LEN(tblPassengerNames[[#This Row],[InParenthesesCleaned]]) - LEN(SUBSTITUTE(tblPassengerNames[[#This Row],[InParenthesesCleaned]], " ", ""))</f>
        <v>#VALUE!</v>
      </c>
      <c r="N121" t="e">
        <f>FIND("@", SUBSTITUTE(tblPassengerNames[[#This Row],[InParenthesesCleaned]], " ", "@", tblPassengerNames[[#This Row],[P_NSpaces]]))</f>
        <v>#VALUE!</v>
      </c>
      <c r="O121" t="e">
        <f>IF(tblPassengerNames[[#This Row],[P_NSpaces]] = 0,
    tblPassengerNames[[#This Row],[InParenthesesCleaned]],
    LEFT(tblPassengerNames[[#This Row],[InParenthesesCleaned]], tblPassengerNames[[#This Row],[P_FinalSpacePos]] - 1)
)</f>
        <v>#VALUE!</v>
      </c>
      <c r="P121" t="str">
        <f>IFERROR(tblPassengerNames[[#This Row],[P_Forenames]], tblPassengerNames[[#This Row],[ConvForenames]])</f>
        <v>Thomas Parham</v>
      </c>
      <c r="Q121" t="str">
        <f>MID(tblPassengerNames[[#This Row],[Name]], tblPassengerNames[[#This Row],[CommaPos]] + 2, tblPassengerNames[[#This Row],[DotPos]] - tblPassengerNames[[#This Row],[CommaPos]] - 1)</f>
        <v>Mr.</v>
      </c>
      <c r="R121" t="str">
        <f>LEFT(tblPassengerNames[[#This Row],[Name]], tblPassengerNames[[#This Row],[CommaPos]] - 1)</f>
        <v>Franklin</v>
      </c>
    </row>
    <row r="122" spans="2:18" x14ac:dyDescent="0.25">
      <c r="B122" s="21">
        <v>120</v>
      </c>
      <c r="C122" s="21" t="s">
        <v>256</v>
      </c>
      <c r="D122" s="21" t="s">
        <v>138</v>
      </c>
      <c r="E122">
        <f>FIND(",", tblPassengerNames[[#This Row],[Name]])</f>
        <v>11</v>
      </c>
      <c r="F122">
        <f>FIND(".", tblPassengerNames[[#This Row],[Name]])</f>
        <v>15</v>
      </c>
      <c r="G122" t="e">
        <f>FIND("(", tblPassengerNames[[#This Row],[Name]])</f>
        <v>#VALUE!</v>
      </c>
      <c r="H122" t="e">
        <f>FIND(")", tblPassengerNames[[#This Row],[Name]])</f>
        <v>#VALUE!</v>
      </c>
      <c r="I122">
        <f>IFERROR(tblPassengerNames[[#This Row],[OpenParPos]] - 2, LEN(tblPassengerNames[[#This Row],[Name]]))</f>
        <v>29</v>
      </c>
      <c r="J122" t="str">
        <f>MID(tblPassengerNames[[#This Row],[Name]], tblPassengerNames[[#This Row],[DotPos]] + 2, tblPassengerNames[[#This Row],[EndOfConvFNPos]] - tblPassengerNames[[#This Row],[DotPos]] - 1)</f>
        <v>Henry William</v>
      </c>
      <c r="K122" t="e">
        <f>MID(tblPassengerNames[[#This Row],[Name]], tblPassengerNames[[#This Row],[OpenParPos]] + 1, tblPassengerNames[[#This Row],[CloseParPos]] - tblPassengerNames[[#This Row],[OpenParPos]] - 1)</f>
        <v>#VALUE!</v>
      </c>
      <c r="L122" t="e">
        <f>IF(AND(LEFT(tblPassengerNames[[#This Row],[InParentheses]], 1) = "'", RIGHT(tblPassengerNames[[#This Row],[InParentheses]], 1) = "'"),
    #VALUE!,
    tblPassengerNames[[#This Row],[InParentheses]]
)</f>
        <v>#VALUE!</v>
      </c>
      <c r="M122" t="e">
        <f>LEN(tblPassengerNames[[#This Row],[InParenthesesCleaned]]) - LEN(SUBSTITUTE(tblPassengerNames[[#This Row],[InParenthesesCleaned]], " ", ""))</f>
        <v>#VALUE!</v>
      </c>
      <c r="N122" t="e">
        <f>FIND("@", SUBSTITUTE(tblPassengerNames[[#This Row],[InParenthesesCleaned]], " ", "@", tblPassengerNames[[#This Row],[P_NSpaces]]))</f>
        <v>#VALUE!</v>
      </c>
      <c r="O122" t="e">
        <f>IF(tblPassengerNames[[#This Row],[P_NSpaces]] = 0,
    tblPassengerNames[[#This Row],[InParenthesesCleaned]],
    LEFT(tblPassengerNames[[#This Row],[InParenthesesCleaned]], tblPassengerNames[[#This Row],[P_FinalSpacePos]] - 1)
)</f>
        <v>#VALUE!</v>
      </c>
      <c r="P122" t="str">
        <f>IFERROR(tblPassengerNames[[#This Row],[P_Forenames]], tblPassengerNames[[#This Row],[ConvForenames]])</f>
        <v>Henry William</v>
      </c>
      <c r="Q122" t="str">
        <f>MID(tblPassengerNames[[#This Row],[Name]], tblPassengerNames[[#This Row],[CommaPos]] + 2, tblPassengerNames[[#This Row],[DotPos]] - tblPassengerNames[[#This Row],[CommaPos]] - 1)</f>
        <v>Dr.</v>
      </c>
      <c r="R122" t="str">
        <f>LEFT(tblPassengerNames[[#This Row],[Name]], tblPassengerNames[[#This Row],[CommaPos]] - 1)</f>
        <v>Frauenthal</v>
      </c>
    </row>
    <row r="123" spans="2:18" x14ac:dyDescent="0.25">
      <c r="B123" s="21">
        <v>121</v>
      </c>
      <c r="C123" s="21" t="s">
        <v>257</v>
      </c>
      <c r="D123" s="21" t="s">
        <v>138</v>
      </c>
      <c r="E123">
        <f>FIND(",", tblPassengerNames[[#This Row],[Name]])</f>
        <v>11</v>
      </c>
      <c r="F123">
        <f>FIND(".", tblPassengerNames[[#This Row],[Name]])</f>
        <v>15</v>
      </c>
      <c r="G123" t="e">
        <f>FIND("(", tblPassengerNames[[#This Row],[Name]])</f>
        <v>#VALUE!</v>
      </c>
      <c r="H123" t="e">
        <f>FIND(")", tblPassengerNames[[#This Row],[Name]])</f>
        <v>#VALUE!</v>
      </c>
      <c r="I123">
        <f>IFERROR(tblPassengerNames[[#This Row],[OpenParPos]] - 2, LEN(tblPassengerNames[[#This Row],[Name]]))</f>
        <v>28</v>
      </c>
      <c r="J123" t="str">
        <f>MID(tblPassengerNames[[#This Row],[Name]], tblPassengerNames[[#This Row],[DotPos]] + 2, tblPassengerNames[[#This Row],[EndOfConvFNPos]] - tblPassengerNames[[#This Row],[DotPos]] - 1)</f>
        <v>Isaac Gerald</v>
      </c>
      <c r="K123" t="e">
        <f>MID(tblPassengerNames[[#This Row],[Name]], tblPassengerNames[[#This Row],[OpenParPos]] + 1, tblPassengerNames[[#This Row],[CloseParPos]] - tblPassengerNames[[#This Row],[OpenParPos]] - 1)</f>
        <v>#VALUE!</v>
      </c>
      <c r="L123" t="e">
        <f>IF(AND(LEFT(tblPassengerNames[[#This Row],[InParentheses]], 1) = "'", RIGHT(tblPassengerNames[[#This Row],[InParentheses]], 1) = "'"),
    #VALUE!,
    tblPassengerNames[[#This Row],[InParentheses]]
)</f>
        <v>#VALUE!</v>
      </c>
      <c r="M123" t="e">
        <f>LEN(tblPassengerNames[[#This Row],[InParenthesesCleaned]]) - LEN(SUBSTITUTE(tblPassengerNames[[#This Row],[InParenthesesCleaned]], " ", ""))</f>
        <v>#VALUE!</v>
      </c>
      <c r="N123" t="e">
        <f>FIND("@", SUBSTITUTE(tblPassengerNames[[#This Row],[InParenthesesCleaned]], " ", "@", tblPassengerNames[[#This Row],[P_NSpaces]]))</f>
        <v>#VALUE!</v>
      </c>
      <c r="O123" t="e">
        <f>IF(tblPassengerNames[[#This Row],[P_NSpaces]] = 0,
    tblPassengerNames[[#This Row],[InParenthesesCleaned]],
    LEFT(tblPassengerNames[[#This Row],[InParenthesesCleaned]], tblPassengerNames[[#This Row],[P_FinalSpacePos]] - 1)
)</f>
        <v>#VALUE!</v>
      </c>
      <c r="P123" t="str">
        <f>IFERROR(tblPassengerNames[[#This Row],[P_Forenames]], tblPassengerNames[[#This Row],[ConvForenames]])</f>
        <v>Isaac Gerald</v>
      </c>
      <c r="Q123" t="str">
        <f>MID(tblPassengerNames[[#This Row],[Name]], tblPassengerNames[[#This Row],[CommaPos]] + 2, tblPassengerNames[[#This Row],[DotPos]] - tblPassengerNames[[#This Row],[CommaPos]] - 1)</f>
        <v>Mr.</v>
      </c>
      <c r="R123" t="str">
        <f>LEFT(tblPassengerNames[[#This Row],[Name]], tblPassengerNames[[#This Row],[CommaPos]] - 1)</f>
        <v>Frauenthal</v>
      </c>
    </row>
    <row r="124" spans="2:18" x14ac:dyDescent="0.25">
      <c r="B124" s="21">
        <v>122</v>
      </c>
      <c r="C124" s="21" t="s">
        <v>258</v>
      </c>
      <c r="D124" s="21" t="s">
        <v>136</v>
      </c>
      <c r="E124">
        <f>FIND(",", tblPassengerNames[[#This Row],[Name]])</f>
        <v>11</v>
      </c>
      <c r="F124">
        <f>FIND(".", tblPassengerNames[[#This Row],[Name]])</f>
        <v>16</v>
      </c>
      <c r="G124">
        <f>FIND("(", tblPassengerNames[[#This Row],[Name]])</f>
        <v>32</v>
      </c>
      <c r="H124">
        <f>FIND(")", tblPassengerNames[[#This Row],[Name]])</f>
        <v>50</v>
      </c>
      <c r="I124">
        <f>IFERROR(tblPassengerNames[[#This Row],[OpenParPos]] - 2, LEN(tblPassengerNames[[#This Row],[Name]]))</f>
        <v>30</v>
      </c>
      <c r="J124" t="str">
        <f>MID(tblPassengerNames[[#This Row],[Name]], tblPassengerNames[[#This Row],[DotPos]] + 2, tblPassengerNames[[#This Row],[EndOfConvFNPos]] - tblPassengerNames[[#This Row],[DotPos]] - 1)</f>
        <v>Henry William</v>
      </c>
      <c r="K124" t="str">
        <f>MID(tblPassengerNames[[#This Row],[Name]], tblPassengerNames[[#This Row],[OpenParPos]] + 1, tblPassengerNames[[#This Row],[CloseParPos]] - tblPassengerNames[[#This Row],[OpenParPos]] - 1)</f>
        <v>Clara Heinsheimer</v>
      </c>
      <c r="L124" t="str">
        <f>IF(AND(LEFT(tblPassengerNames[[#This Row],[InParentheses]], 1) = "'", RIGHT(tblPassengerNames[[#This Row],[InParentheses]], 1) = "'"),
    #VALUE!,
    tblPassengerNames[[#This Row],[InParentheses]]
)</f>
        <v>Clara Heinsheimer</v>
      </c>
      <c r="M124">
        <f>LEN(tblPassengerNames[[#This Row],[InParenthesesCleaned]]) - LEN(SUBSTITUTE(tblPassengerNames[[#This Row],[InParenthesesCleaned]], " ", ""))</f>
        <v>1</v>
      </c>
      <c r="N124">
        <f>FIND("@", SUBSTITUTE(tblPassengerNames[[#This Row],[InParenthesesCleaned]], " ", "@", tblPassengerNames[[#This Row],[P_NSpaces]]))</f>
        <v>6</v>
      </c>
      <c r="O124" t="str">
        <f>IF(tblPassengerNames[[#This Row],[P_NSpaces]] = 0,
    tblPassengerNames[[#This Row],[InParenthesesCleaned]],
    LEFT(tblPassengerNames[[#This Row],[InParenthesesCleaned]], tblPassengerNames[[#This Row],[P_FinalSpacePos]] - 1)
)</f>
        <v>Clara</v>
      </c>
      <c r="P124" t="str">
        <f>IFERROR(tblPassengerNames[[#This Row],[P_Forenames]], tblPassengerNames[[#This Row],[ConvForenames]])</f>
        <v>Clara</v>
      </c>
      <c r="Q124" t="str">
        <f>MID(tblPassengerNames[[#This Row],[Name]], tblPassengerNames[[#This Row],[CommaPos]] + 2, tblPassengerNames[[#This Row],[DotPos]] - tblPassengerNames[[#This Row],[CommaPos]] - 1)</f>
        <v>Mrs.</v>
      </c>
      <c r="R124" t="str">
        <f>LEFT(tblPassengerNames[[#This Row],[Name]], tblPassengerNames[[#This Row],[CommaPos]] - 1)</f>
        <v>Frauenthal</v>
      </c>
    </row>
    <row r="125" spans="2:18" x14ac:dyDescent="0.25">
      <c r="B125" s="21">
        <v>123</v>
      </c>
      <c r="C125" s="21" t="s">
        <v>259</v>
      </c>
      <c r="D125" s="21" t="s">
        <v>136</v>
      </c>
      <c r="E125">
        <f>FIND(",", tblPassengerNames[[#This Row],[Name]])</f>
        <v>10</v>
      </c>
      <c r="F125">
        <f>FIND(".", tblPassengerNames[[#This Row],[Name]])</f>
        <v>16</v>
      </c>
      <c r="G125" t="e">
        <f>FIND("(", tblPassengerNames[[#This Row],[Name]])</f>
        <v>#VALUE!</v>
      </c>
      <c r="H125" t="e">
        <f>FIND(")", tblPassengerNames[[#This Row],[Name]])</f>
        <v>#VALUE!</v>
      </c>
      <c r="I125">
        <f>IFERROR(tblPassengerNames[[#This Row],[OpenParPos]] - 2, LEN(tblPassengerNames[[#This Row],[Name]]))</f>
        <v>34</v>
      </c>
      <c r="J125" t="str">
        <f>MID(tblPassengerNames[[#This Row],[Name]], tblPassengerNames[[#This Row],[DotPos]] + 2, tblPassengerNames[[#This Row],[EndOfConvFNPos]] - tblPassengerNames[[#This Row],[DotPos]] - 1)</f>
        <v>Hedwig Margaritha</v>
      </c>
      <c r="K125" t="e">
        <f>MID(tblPassengerNames[[#This Row],[Name]], tblPassengerNames[[#This Row],[OpenParPos]] + 1, tblPassengerNames[[#This Row],[CloseParPos]] - tblPassengerNames[[#This Row],[OpenParPos]] - 1)</f>
        <v>#VALUE!</v>
      </c>
      <c r="L125" t="e">
        <f>IF(AND(LEFT(tblPassengerNames[[#This Row],[InParentheses]], 1) = "'", RIGHT(tblPassengerNames[[#This Row],[InParentheses]], 1) = "'"),
    #VALUE!,
    tblPassengerNames[[#This Row],[InParentheses]]
)</f>
        <v>#VALUE!</v>
      </c>
      <c r="M125" t="e">
        <f>LEN(tblPassengerNames[[#This Row],[InParenthesesCleaned]]) - LEN(SUBSTITUTE(tblPassengerNames[[#This Row],[InParenthesesCleaned]], " ", ""))</f>
        <v>#VALUE!</v>
      </c>
      <c r="N125" t="e">
        <f>FIND("@", SUBSTITUTE(tblPassengerNames[[#This Row],[InParenthesesCleaned]], " ", "@", tblPassengerNames[[#This Row],[P_NSpaces]]))</f>
        <v>#VALUE!</v>
      </c>
      <c r="O125" t="e">
        <f>IF(tblPassengerNames[[#This Row],[P_NSpaces]] = 0,
    tblPassengerNames[[#This Row],[InParenthesesCleaned]],
    LEFT(tblPassengerNames[[#This Row],[InParenthesesCleaned]], tblPassengerNames[[#This Row],[P_FinalSpacePos]] - 1)
)</f>
        <v>#VALUE!</v>
      </c>
      <c r="P125" t="str">
        <f>IFERROR(tblPassengerNames[[#This Row],[P_Forenames]], tblPassengerNames[[#This Row],[ConvForenames]])</f>
        <v>Hedwig Margaritha</v>
      </c>
      <c r="Q125" t="str">
        <f>MID(tblPassengerNames[[#This Row],[Name]], tblPassengerNames[[#This Row],[CommaPos]] + 2, tblPassengerNames[[#This Row],[DotPos]] - tblPassengerNames[[#This Row],[CommaPos]] - 1)</f>
        <v>Miss.</v>
      </c>
      <c r="R125" t="str">
        <f>LEFT(tblPassengerNames[[#This Row],[Name]], tblPassengerNames[[#This Row],[CommaPos]] - 1)</f>
        <v>Frolicher</v>
      </c>
    </row>
    <row r="126" spans="2:18" x14ac:dyDescent="0.25">
      <c r="B126" s="21">
        <v>124</v>
      </c>
      <c r="C126" s="21" t="s">
        <v>260</v>
      </c>
      <c r="D126" s="21" t="s">
        <v>138</v>
      </c>
      <c r="E126">
        <f>FIND(",", tblPassengerNames[[#This Row],[Name]])</f>
        <v>17</v>
      </c>
      <c r="F126">
        <f>FIND(".", tblPassengerNames[[#This Row],[Name]])</f>
        <v>21</v>
      </c>
      <c r="G126" t="e">
        <f>FIND("(", tblPassengerNames[[#This Row],[Name]])</f>
        <v>#VALUE!</v>
      </c>
      <c r="H126" t="e">
        <f>FIND(")", tblPassengerNames[[#This Row],[Name]])</f>
        <v>#VALUE!</v>
      </c>
      <c r="I126">
        <f>IFERROR(tblPassengerNames[[#This Row],[OpenParPos]] - 2, LEN(tblPassengerNames[[#This Row],[Name]]))</f>
        <v>32</v>
      </c>
      <c r="J126" t="str">
        <f>MID(tblPassengerNames[[#This Row],[Name]], tblPassengerNames[[#This Row],[DotPos]] + 2, tblPassengerNames[[#This Row],[EndOfConvFNPos]] - tblPassengerNames[[#This Row],[DotPos]] - 1)</f>
        <v>Maxmillian</v>
      </c>
      <c r="K126" t="e">
        <f>MID(tblPassengerNames[[#This Row],[Name]], tblPassengerNames[[#This Row],[OpenParPos]] + 1, tblPassengerNames[[#This Row],[CloseParPos]] - tblPassengerNames[[#This Row],[OpenParPos]] - 1)</f>
        <v>#VALUE!</v>
      </c>
      <c r="L126" t="e">
        <f>IF(AND(LEFT(tblPassengerNames[[#This Row],[InParentheses]], 1) = "'", RIGHT(tblPassengerNames[[#This Row],[InParentheses]], 1) = "'"),
    #VALUE!,
    tblPassengerNames[[#This Row],[InParentheses]]
)</f>
        <v>#VALUE!</v>
      </c>
      <c r="M126" t="e">
        <f>LEN(tblPassengerNames[[#This Row],[InParenthesesCleaned]]) - LEN(SUBSTITUTE(tblPassengerNames[[#This Row],[InParenthesesCleaned]], " ", ""))</f>
        <v>#VALUE!</v>
      </c>
      <c r="N126" t="e">
        <f>FIND("@", SUBSTITUTE(tblPassengerNames[[#This Row],[InParenthesesCleaned]], " ", "@", tblPassengerNames[[#This Row],[P_NSpaces]]))</f>
        <v>#VALUE!</v>
      </c>
      <c r="O126" t="e">
        <f>IF(tblPassengerNames[[#This Row],[P_NSpaces]] = 0,
    tblPassengerNames[[#This Row],[InParenthesesCleaned]],
    LEFT(tblPassengerNames[[#This Row],[InParenthesesCleaned]], tblPassengerNames[[#This Row],[P_FinalSpacePos]] - 1)
)</f>
        <v>#VALUE!</v>
      </c>
      <c r="P126" t="str">
        <f>IFERROR(tblPassengerNames[[#This Row],[P_Forenames]], tblPassengerNames[[#This Row],[ConvForenames]])</f>
        <v>Maxmillian</v>
      </c>
      <c r="Q126" t="str">
        <f>MID(tblPassengerNames[[#This Row],[Name]], tblPassengerNames[[#This Row],[CommaPos]] + 2, tblPassengerNames[[#This Row],[DotPos]] - tblPassengerNames[[#This Row],[CommaPos]] - 1)</f>
        <v>Mr.</v>
      </c>
      <c r="R126" t="str">
        <f>LEFT(tblPassengerNames[[#This Row],[Name]], tblPassengerNames[[#This Row],[CommaPos]] - 1)</f>
        <v>Frolicher-Stehli</v>
      </c>
    </row>
    <row r="127" spans="2:18" x14ac:dyDescent="0.25">
      <c r="B127" s="21">
        <v>125</v>
      </c>
      <c r="C127" s="21" t="s">
        <v>261</v>
      </c>
      <c r="D127" s="21" t="s">
        <v>136</v>
      </c>
      <c r="E127">
        <f>FIND(",", tblPassengerNames[[#This Row],[Name]])</f>
        <v>17</v>
      </c>
      <c r="F127">
        <f>FIND(".", tblPassengerNames[[#This Row],[Name]])</f>
        <v>22</v>
      </c>
      <c r="G127">
        <f>FIND("(", tblPassengerNames[[#This Row],[Name]])</f>
        <v>35</v>
      </c>
      <c r="H127">
        <f>FIND(")", tblPassengerNames[[#This Row],[Name]])</f>
        <v>63</v>
      </c>
      <c r="I127">
        <f>IFERROR(tblPassengerNames[[#This Row],[OpenParPos]] - 2, LEN(tblPassengerNames[[#This Row],[Name]]))</f>
        <v>33</v>
      </c>
      <c r="J127" t="str">
        <f>MID(tblPassengerNames[[#This Row],[Name]], tblPassengerNames[[#This Row],[DotPos]] + 2, tblPassengerNames[[#This Row],[EndOfConvFNPos]] - tblPassengerNames[[#This Row],[DotPos]] - 1)</f>
        <v>Maxmillian</v>
      </c>
      <c r="K127" t="str">
        <f>MID(tblPassengerNames[[#This Row],[Name]], tblPassengerNames[[#This Row],[OpenParPos]] + 1, tblPassengerNames[[#This Row],[CloseParPos]] - tblPassengerNames[[#This Row],[OpenParPos]] - 1)</f>
        <v>Margaretha Emerentia Stehli</v>
      </c>
      <c r="L127" t="str">
        <f>IF(AND(LEFT(tblPassengerNames[[#This Row],[InParentheses]], 1) = "'", RIGHT(tblPassengerNames[[#This Row],[InParentheses]], 1) = "'"),
    #VALUE!,
    tblPassengerNames[[#This Row],[InParentheses]]
)</f>
        <v>Margaretha Emerentia Stehli</v>
      </c>
      <c r="M127">
        <f>LEN(tblPassengerNames[[#This Row],[InParenthesesCleaned]]) - LEN(SUBSTITUTE(tblPassengerNames[[#This Row],[InParenthesesCleaned]], " ", ""))</f>
        <v>2</v>
      </c>
      <c r="N127">
        <f>FIND("@", SUBSTITUTE(tblPassengerNames[[#This Row],[InParenthesesCleaned]], " ", "@", tblPassengerNames[[#This Row],[P_NSpaces]]))</f>
        <v>21</v>
      </c>
      <c r="O127" t="str">
        <f>IF(tblPassengerNames[[#This Row],[P_NSpaces]] = 0,
    tblPassengerNames[[#This Row],[InParenthesesCleaned]],
    LEFT(tblPassengerNames[[#This Row],[InParenthesesCleaned]], tblPassengerNames[[#This Row],[P_FinalSpacePos]] - 1)
)</f>
        <v>Margaretha Emerentia</v>
      </c>
      <c r="P127" t="str">
        <f>IFERROR(tblPassengerNames[[#This Row],[P_Forenames]], tblPassengerNames[[#This Row],[ConvForenames]])</f>
        <v>Margaretha Emerentia</v>
      </c>
      <c r="Q127" t="str">
        <f>MID(tblPassengerNames[[#This Row],[Name]], tblPassengerNames[[#This Row],[CommaPos]] + 2, tblPassengerNames[[#This Row],[DotPos]] - tblPassengerNames[[#This Row],[CommaPos]] - 1)</f>
        <v>Mrs.</v>
      </c>
      <c r="R127" t="str">
        <f>LEFT(tblPassengerNames[[#This Row],[Name]], tblPassengerNames[[#This Row],[CommaPos]] - 1)</f>
        <v>Frolicher-Stehli</v>
      </c>
    </row>
    <row r="128" spans="2:18" x14ac:dyDescent="0.25">
      <c r="B128" s="21">
        <v>126</v>
      </c>
      <c r="C128" s="21" t="s">
        <v>262</v>
      </c>
      <c r="D128" s="21" t="s">
        <v>138</v>
      </c>
      <c r="E128">
        <f>FIND(",", tblPassengerNames[[#This Row],[Name]])</f>
        <v>4</v>
      </c>
      <c r="F128">
        <f>FIND(".", tblPassengerNames[[#This Row],[Name]])</f>
        <v>8</v>
      </c>
      <c r="G128" t="e">
        <f>FIND("(", tblPassengerNames[[#This Row],[Name]])</f>
        <v>#VALUE!</v>
      </c>
      <c r="H128" t="e">
        <f>FIND(")", tblPassengerNames[[#This Row],[Name]])</f>
        <v>#VALUE!</v>
      </c>
      <c r="I128">
        <f>IFERROR(tblPassengerNames[[#This Row],[OpenParPos]] - 2, LEN(tblPassengerNames[[#This Row],[Name]]))</f>
        <v>16</v>
      </c>
      <c r="J128" t="str">
        <f>MID(tblPassengerNames[[#This Row],[Name]], tblPassengerNames[[#This Row],[DotPos]] + 2, tblPassengerNames[[#This Row],[EndOfConvFNPos]] - tblPassengerNames[[#This Row],[DotPos]] - 1)</f>
        <v>Richard</v>
      </c>
      <c r="K128" t="e">
        <f>MID(tblPassengerNames[[#This Row],[Name]], tblPassengerNames[[#This Row],[OpenParPos]] + 1, tblPassengerNames[[#This Row],[CloseParPos]] - tblPassengerNames[[#This Row],[OpenParPos]] - 1)</f>
        <v>#VALUE!</v>
      </c>
      <c r="L128" t="e">
        <f>IF(AND(LEFT(tblPassengerNames[[#This Row],[InParentheses]], 1) = "'", RIGHT(tblPassengerNames[[#This Row],[InParentheses]], 1) = "'"),
    #VALUE!,
    tblPassengerNames[[#This Row],[InParentheses]]
)</f>
        <v>#VALUE!</v>
      </c>
      <c r="M128" t="e">
        <f>LEN(tblPassengerNames[[#This Row],[InParenthesesCleaned]]) - LEN(SUBSTITUTE(tblPassengerNames[[#This Row],[InParenthesesCleaned]], " ", ""))</f>
        <v>#VALUE!</v>
      </c>
      <c r="N128" t="e">
        <f>FIND("@", SUBSTITUTE(tblPassengerNames[[#This Row],[InParenthesesCleaned]], " ", "@", tblPassengerNames[[#This Row],[P_NSpaces]]))</f>
        <v>#VALUE!</v>
      </c>
      <c r="O128" t="e">
        <f>IF(tblPassengerNames[[#This Row],[P_NSpaces]] = 0,
    tblPassengerNames[[#This Row],[InParenthesesCleaned]],
    LEFT(tblPassengerNames[[#This Row],[InParenthesesCleaned]], tblPassengerNames[[#This Row],[P_FinalSpacePos]] - 1)
)</f>
        <v>#VALUE!</v>
      </c>
      <c r="P128" t="str">
        <f>IFERROR(tblPassengerNames[[#This Row],[P_Forenames]], tblPassengerNames[[#This Row],[ConvForenames]])</f>
        <v>Richard</v>
      </c>
      <c r="Q128" t="str">
        <f>MID(tblPassengerNames[[#This Row],[Name]], tblPassengerNames[[#This Row],[CommaPos]] + 2, tblPassengerNames[[#This Row],[DotPos]] - tblPassengerNames[[#This Row],[CommaPos]] - 1)</f>
        <v>Mr.</v>
      </c>
      <c r="R128" t="str">
        <f>LEFT(tblPassengerNames[[#This Row],[Name]], tblPassengerNames[[#This Row],[CommaPos]] - 1)</f>
        <v>Fry</v>
      </c>
    </row>
    <row r="129" spans="2:18" x14ac:dyDescent="0.25">
      <c r="B129" s="21">
        <v>127</v>
      </c>
      <c r="C129" s="21" t="s">
        <v>263</v>
      </c>
      <c r="D129" s="21" t="s">
        <v>138</v>
      </c>
      <c r="E129">
        <f>FIND(",", tblPassengerNames[[#This Row],[Name]])</f>
        <v>9</v>
      </c>
      <c r="F129">
        <f>FIND(".", tblPassengerNames[[#This Row],[Name]])</f>
        <v>13</v>
      </c>
      <c r="G129" t="e">
        <f>FIND("(", tblPassengerNames[[#This Row],[Name]])</f>
        <v>#VALUE!</v>
      </c>
      <c r="H129" t="e">
        <f>FIND(")", tblPassengerNames[[#This Row],[Name]])</f>
        <v>#VALUE!</v>
      </c>
      <c r="I129">
        <f>IFERROR(tblPassengerNames[[#This Row],[OpenParPos]] - 2, LEN(tblPassengerNames[[#This Row],[Name]]))</f>
        <v>27</v>
      </c>
      <c r="J129" t="str">
        <f>MID(tblPassengerNames[[#This Row],[Name]], tblPassengerNames[[#This Row],[DotPos]] + 2, tblPassengerNames[[#This Row],[EndOfConvFNPos]] - tblPassengerNames[[#This Row],[DotPos]] - 1)</f>
        <v>Jacques Heath</v>
      </c>
      <c r="K129" t="e">
        <f>MID(tblPassengerNames[[#This Row],[Name]], tblPassengerNames[[#This Row],[OpenParPos]] + 1, tblPassengerNames[[#This Row],[CloseParPos]] - tblPassengerNames[[#This Row],[OpenParPos]] - 1)</f>
        <v>#VALUE!</v>
      </c>
      <c r="L129" t="e">
        <f>IF(AND(LEFT(tblPassengerNames[[#This Row],[InParentheses]], 1) = "'", RIGHT(tblPassengerNames[[#This Row],[InParentheses]], 1) = "'"),
    #VALUE!,
    tblPassengerNames[[#This Row],[InParentheses]]
)</f>
        <v>#VALUE!</v>
      </c>
      <c r="M129" t="e">
        <f>LEN(tblPassengerNames[[#This Row],[InParenthesesCleaned]]) - LEN(SUBSTITUTE(tblPassengerNames[[#This Row],[InParenthesesCleaned]], " ", ""))</f>
        <v>#VALUE!</v>
      </c>
      <c r="N129" t="e">
        <f>FIND("@", SUBSTITUTE(tblPassengerNames[[#This Row],[InParenthesesCleaned]], " ", "@", tblPassengerNames[[#This Row],[P_NSpaces]]))</f>
        <v>#VALUE!</v>
      </c>
      <c r="O129" t="e">
        <f>IF(tblPassengerNames[[#This Row],[P_NSpaces]] = 0,
    tblPassengerNames[[#This Row],[InParenthesesCleaned]],
    LEFT(tblPassengerNames[[#This Row],[InParenthesesCleaned]], tblPassengerNames[[#This Row],[P_FinalSpacePos]] - 1)
)</f>
        <v>#VALUE!</v>
      </c>
      <c r="P129" t="str">
        <f>IFERROR(tblPassengerNames[[#This Row],[P_Forenames]], tblPassengerNames[[#This Row],[ConvForenames]])</f>
        <v>Jacques Heath</v>
      </c>
      <c r="Q129" t="str">
        <f>MID(tblPassengerNames[[#This Row],[Name]], tblPassengerNames[[#This Row],[CommaPos]] + 2, tblPassengerNames[[#This Row],[DotPos]] - tblPassengerNames[[#This Row],[CommaPos]] - 1)</f>
        <v>Mr.</v>
      </c>
      <c r="R129" t="str">
        <f>LEFT(tblPassengerNames[[#This Row],[Name]], tblPassengerNames[[#This Row],[CommaPos]] - 1)</f>
        <v>Futrelle</v>
      </c>
    </row>
    <row r="130" spans="2:18" x14ac:dyDescent="0.25">
      <c r="B130" s="21">
        <v>128</v>
      </c>
      <c r="C130" s="21" t="s">
        <v>264</v>
      </c>
      <c r="D130" s="21" t="s">
        <v>136</v>
      </c>
      <c r="E130">
        <f>FIND(",", tblPassengerNames[[#This Row],[Name]])</f>
        <v>9</v>
      </c>
      <c r="F130">
        <f>FIND(".", tblPassengerNames[[#This Row],[Name]])</f>
        <v>14</v>
      </c>
      <c r="G130">
        <f>FIND("(", tblPassengerNames[[#This Row],[Name]])</f>
        <v>30</v>
      </c>
      <c r="H130">
        <f>FIND(")", tblPassengerNames[[#This Row],[Name]])</f>
        <v>44</v>
      </c>
      <c r="I130">
        <f>IFERROR(tblPassengerNames[[#This Row],[OpenParPos]] - 2, LEN(tblPassengerNames[[#This Row],[Name]]))</f>
        <v>28</v>
      </c>
      <c r="J130" t="str">
        <f>MID(tblPassengerNames[[#This Row],[Name]], tblPassengerNames[[#This Row],[DotPos]] + 2, tblPassengerNames[[#This Row],[EndOfConvFNPos]] - tblPassengerNames[[#This Row],[DotPos]] - 1)</f>
        <v>Jacques Heath</v>
      </c>
      <c r="K130" t="str">
        <f>MID(tblPassengerNames[[#This Row],[Name]], tblPassengerNames[[#This Row],[OpenParPos]] + 1, tblPassengerNames[[#This Row],[CloseParPos]] - tblPassengerNames[[#This Row],[OpenParPos]] - 1)</f>
        <v>Lily May Peel</v>
      </c>
      <c r="L130" t="str">
        <f>IF(AND(LEFT(tblPassengerNames[[#This Row],[InParentheses]], 1) = "'", RIGHT(tblPassengerNames[[#This Row],[InParentheses]], 1) = "'"),
    #VALUE!,
    tblPassengerNames[[#This Row],[InParentheses]]
)</f>
        <v>Lily May Peel</v>
      </c>
      <c r="M130">
        <f>LEN(tblPassengerNames[[#This Row],[InParenthesesCleaned]]) - LEN(SUBSTITUTE(tblPassengerNames[[#This Row],[InParenthesesCleaned]], " ", ""))</f>
        <v>2</v>
      </c>
      <c r="N130">
        <f>FIND("@", SUBSTITUTE(tblPassengerNames[[#This Row],[InParenthesesCleaned]], " ", "@", tblPassengerNames[[#This Row],[P_NSpaces]]))</f>
        <v>9</v>
      </c>
      <c r="O130" t="str">
        <f>IF(tblPassengerNames[[#This Row],[P_NSpaces]] = 0,
    tblPassengerNames[[#This Row],[InParenthesesCleaned]],
    LEFT(tblPassengerNames[[#This Row],[InParenthesesCleaned]], tblPassengerNames[[#This Row],[P_FinalSpacePos]] - 1)
)</f>
        <v>Lily May</v>
      </c>
      <c r="P130" t="str">
        <f>IFERROR(tblPassengerNames[[#This Row],[P_Forenames]], tblPassengerNames[[#This Row],[ConvForenames]])</f>
        <v>Lily May</v>
      </c>
      <c r="Q130" t="str">
        <f>MID(tblPassengerNames[[#This Row],[Name]], tblPassengerNames[[#This Row],[CommaPos]] + 2, tblPassengerNames[[#This Row],[DotPos]] - tblPassengerNames[[#This Row],[CommaPos]] - 1)</f>
        <v>Mrs.</v>
      </c>
      <c r="R130" t="str">
        <f>LEFT(tblPassengerNames[[#This Row],[Name]], tblPassengerNames[[#This Row],[CommaPos]] - 1)</f>
        <v>Futrelle</v>
      </c>
    </row>
    <row r="131" spans="2:18" x14ac:dyDescent="0.25">
      <c r="B131" s="21">
        <v>129</v>
      </c>
      <c r="C131" s="21" t="s">
        <v>265</v>
      </c>
      <c r="D131" s="21" t="s">
        <v>138</v>
      </c>
      <c r="E131">
        <f>FIND(",", tblPassengerNames[[#This Row],[Name]])</f>
        <v>4</v>
      </c>
      <c r="F131">
        <f>FIND(".", tblPassengerNames[[#This Row],[Name]])</f>
        <v>8</v>
      </c>
      <c r="G131" t="e">
        <f>FIND("(", tblPassengerNames[[#This Row],[Name]])</f>
        <v>#VALUE!</v>
      </c>
      <c r="H131" t="e">
        <f>FIND(")", tblPassengerNames[[#This Row],[Name]])</f>
        <v>#VALUE!</v>
      </c>
      <c r="I131">
        <f>IFERROR(tblPassengerNames[[#This Row],[OpenParPos]] - 2, LEN(tblPassengerNames[[#This Row],[Name]]))</f>
        <v>17</v>
      </c>
      <c r="J131" t="str">
        <f>MID(tblPassengerNames[[#This Row],[Name]], tblPassengerNames[[#This Row],[DotPos]] + 2, tblPassengerNames[[#This Row],[EndOfConvFNPos]] - tblPassengerNames[[#This Row],[DotPos]] - 1)</f>
        <v>Arthur H</v>
      </c>
      <c r="K131" t="e">
        <f>MID(tblPassengerNames[[#This Row],[Name]], tblPassengerNames[[#This Row],[OpenParPos]] + 1, tblPassengerNames[[#This Row],[CloseParPos]] - tblPassengerNames[[#This Row],[OpenParPos]] - 1)</f>
        <v>#VALUE!</v>
      </c>
      <c r="L131" t="e">
        <f>IF(AND(LEFT(tblPassengerNames[[#This Row],[InParentheses]], 1) = "'", RIGHT(tblPassengerNames[[#This Row],[InParentheses]], 1) = "'"),
    #VALUE!,
    tblPassengerNames[[#This Row],[InParentheses]]
)</f>
        <v>#VALUE!</v>
      </c>
      <c r="M131" t="e">
        <f>LEN(tblPassengerNames[[#This Row],[InParenthesesCleaned]]) - LEN(SUBSTITUTE(tblPassengerNames[[#This Row],[InParenthesesCleaned]], " ", ""))</f>
        <v>#VALUE!</v>
      </c>
      <c r="N131" t="e">
        <f>FIND("@", SUBSTITUTE(tblPassengerNames[[#This Row],[InParenthesesCleaned]], " ", "@", tblPassengerNames[[#This Row],[P_NSpaces]]))</f>
        <v>#VALUE!</v>
      </c>
      <c r="O131" t="e">
        <f>IF(tblPassengerNames[[#This Row],[P_NSpaces]] = 0,
    tblPassengerNames[[#This Row],[InParenthesesCleaned]],
    LEFT(tblPassengerNames[[#This Row],[InParenthesesCleaned]], tblPassengerNames[[#This Row],[P_FinalSpacePos]] - 1)
)</f>
        <v>#VALUE!</v>
      </c>
      <c r="P131" t="str">
        <f>IFERROR(tblPassengerNames[[#This Row],[P_Forenames]], tblPassengerNames[[#This Row],[ConvForenames]])</f>
        <v>Arthur H</v>
      </c>
      <c r="Q131" t="str">
        <f>MID(tblPassengerNames[[#This Row],[Name]], tblPassengerNames[[#This Row],[CommaPos]] + 2, tblPassengerNames[[#This Row],[DotPos]] - tblPassengerNames[[#This Row],[CommaPos]] - 1)</f>
        <v>Mr.</v>
      </c>
      <c r="R131" t="str">
        <f>LEFT(tblPassengerNames[[#This Row],[Name]], tblPassengerNames[[#This Row],[CommaPos]] - 1)</f>
        <v>Gee</v>
      </c>
    </row>
    <row r="132" spans="2:18" x14ac:dyDescent="0.25">
      <c r="B132" s="21">
        <v>130</v>
      </c>
      <c r="C132" s="21" t="s">
        <v>266</v>
      </c>
      <c r="D132" s="21" t="s">
        <v>136</v>
      </c>
      <c r="E132">
        <f>FIND(",", tblPassengerNames[[#This Row],[Name]])</f>
        <v>7</v>
      </c>
      <c r="F132">
        <f>FIND(".", tblPassengerNames[[#This Row],[Name]])</f>
        <v>13</v>
      </c>
      <c r="G132" t="e">
        <f>FIND("(", tblPassengerNames[[#This Row],[Name]])</f>
        <v>#VALUE!</v>
      </c>
      <c r="H132" t="e">
        <f>FIND(")", tblPassengerNames[[#This Row],[Name]])</f>
        <v>#VALUE!</v>
      </c>
      <c r="I132">
        <f>IFERROR(tblPassengerNames[[#This Row],[OpenParPos]] - 2, LEN(tblPassengerNames[[#This Row],[Name]]))</f>
        <v>20</v>
      </c>
      <c r="J132" t="str">
        <f>MID(tblPassengerNames[[#This Row],[Name]], tblPassengerNames[[#This Row],[DotPos]] + 2, tblPassengerNames[[#This Row],[EndOfConvFNPos]] - tblPassengerNames[[#This Row],[DotPos]] - 1)</f>
        <v>Amalie</v>
      </c>
      <c r="K132" t="e">
        <f>MID(tblPassengerNames[[#This Row],[Name]], tblPassengerNames[[#This Row],[OpenParPos]] + 1, tblPassengerNames[[#This Row],[CloseParPos]] - tblPassengerNames[[#This Row],[OpenParPos]] - 1)</f>
        <v>#VALUE!</v>
      </c>
      <c r="L132" t="e">
        <f>IF(AND(LEFT(tblPassengerNames[[#This Row],[InParentheses]], 1) = "'", RIGHT(tblPassengerNames[[#This Row],[InParentheses]], 1) = "'"),
    #VALUE!,
    tblPassengerNames[[#This Row],[InParentheses]]
)</f>
        <v>#VALUE!</v>
      </c>
      <c r="M132" t="e">
        <f>LEN(tblPassengerNames[[#This Row],[InParenthesesCleaned]]) - LEN(SUBSTITUTE(tblPassengerNames[[#This Row],[InParenthesesCleaned]], " ", ""))</f>
        <v>#VALUE!</v>
      </c>
      <c r="N132" t="e">
        <f>FIND("@", SUBSTITUTE(tblPassengerNames[[#This Row],[InParenthesesCleaned]], " ", "@", tblPassengerNames[[#This Row],[P_NSpaces]]))</f>
        <v>#VALUE!</v>
      </c>
      <c r="O132" t="e">
        <f>IF(tblPassengerNames[[#This Row],[P_NSpaces]] = 0,
    tblPassengerNames[[#This Row],[InParenthesesCleaned]],
    LEFT(tblPassengerNames[[#This Row],[InParenthesesCleaned]], tblPassengerNames[[#This Row],[P_FinalSpacePos]] - 1)
)</f>
        <v>#VALUE!</v>
      </c>
      <c r="P132" t="str">
        <f>IFERROR(tblPassengerNames[[#This Row],[P_Forenames]], tblPassengerNames[[#This Row],[ConvForenames]])</f>
        <v>Amalie</v>
      </c>
      <c r="Q132" t="str">
        <f>MID(tblPassengerNames[[#This Row],[Name]], tblPassengerNames[[#This Row],[CommaPos]] + 2, tblPassengerNames[[#This Row],[DotPos]] - tblPassengerNames[[#This Row],[CommaPos]] - 1)</f>
        <v>Miss.</v>
      </c>
      <c r="R132" t="str">
        <f>LEFT(tblPassengerNames[[#This Row],[Name]], tblPassengerNames[[#This Row],[CommaPos]] - 1)</f>
        <v>Geiger</v>
      </c>
    </row>
    <row r="133" spans="2:18" x14ac:dyDescent="0.25">
      <c r="B133" s="21">
        <v>131</v>
      </c>
      <c r="C133" s="21" t="s">
        <v>267</v>
      </c>
      <c r="D133" s="21" t="s">
        <v>136</v>
      </c>
      <c r="E133">
        <f>FIND(",", tblPassengerNames[[#This Row],[Name]])</f>
        <v>7</v>
      </c>
      <c r="F133">
        <f>FIND(".", tblPassengerNames[[#This Row],[Name]])</f>
        <v>13</v>
      </c>
      <c r="G133" t="e">
        <f>FIND("(", tblPassengerNames[[#This Row],[Name]])</f>
        <v>#VALUE!</v>
      </c>
      <c r="H133" t="e">
        <f>FIND(")", tblPassengerNames[[#This Row],[Name]])</f>
        <v>#VALUE!</v>
      </c>
      <c r="I133">
        <f>IFERROR(tblPassengerNames[[#This Row],[OpenParPos]] - 2, LEN(tblPassengerNames[[#This Row],[Name]]))</f>
        <v>30</v>
      </c>
      <c r="J133" t="str">
        <f>MID(tblPassengerNames[[#This Row],[Name]], tblPassengerNames[[#This Row],[DotPos]] + 2, tblPassengerNames[[#This Row],[EndOfConvFNPos]] - tblPassengerNames[[#This Row],[DotPos]] - 1)</f>
        <v>Dorothy Winifred</v>
      </c>
      <c r="K133" t="e">
        <f>MID(tblPassengerNames[[#This Row],[Name]], tblPassengerNames[[#This Row],[OpenParPos]] + 1, tblPassengerNames[[#This Row],[CloseParPos]] - tblPassengerNames[[#This Row],[OpenParPos]] - 1)</f>
        <v>#VALUE!</v>
      </c>
      <c r="L133" t="e">
        <f>IF(AND(LEFT(tblPassengerNames[[#This Row],[InParentheses]], 1) = "'", RIGHT(tblPassengerNames[[#This Row],[InParentheses]], 1) = "'"),
    #VALUE!,
    tblPassengerNames[[#This Row],[InParentheses]]
)</f>
        <v>#VALUE!</v>
      </c>
      <c r="M133" t="e">
        <f>LEN(tblPassengerNames[[#This Row],[InParenthesesCleaned]]) - LEN(SUBSTITUTE(tblPassengerNames[[#This Row],[InParenthesesCleaned]], " ", ""))</f>
        <v>#VALUE!</v>
      </c>
      <c r="N133" t="e">
        <f>FIND("@", SUBSTITUTE(tblPassengerNames[[#This Row],[InParenthesesCleaned]], " ", "@", tblPassengerNames[[#This Row],[P_NSpaces]]))</f>
        <v>#VALUE!</v>
      </c>
      <c r="O133" t="e">
        <f>IF(tblPassengerNames[[#This Row],[P_NSpaces]] = 0,
    tblPassengerNames[[#This Row],[InParenthesesCleaned]],
    LEFT(tblPassengerNames[[#This Row],[InParenthesesCleaned]], tblPassengerNames[[#This Row],[P_FinalSpacePos]] - 1)
)</f>
        <v>#VALUE!</v>
      </c>
      <c r="P133" t="str">
        <f>IFERROR(tblPassengerNames[[#This Row],[P_Forenames]], tblPassengerNames[[#This Row],[ConvForenames]])</f>
        <v>Dorothy Winifred</v>
      </c>
      <c r="Q133" t="str">
        <f>MID(tblPassengerNames[[#This Row],[Name]], tblPassengerNames[[#This Row],[CommaPos]] + 2, tblPassengerNames[[#This Row],[DotPos]] - tblPassengerNames[[#This Row],[CommaPos]] - 1)</f>
        <v>Miss.</v>
      </c>
      <c r="R133" t="str">
        <f>LEFT(tblPassengerNames[[#This Row],[Name]], tblPassengerNames[[#This Row],[CommaPos]] - 1)</f>
        <v>Gibson</v>
      </c>
    </row>
    <row r="134" spans="2:18" x14ac:dyDescent="0.25">
      <c r="B134" s="21">
        <v>132</v>
      </c>
      <c r="C134" s="21" t="s">
        <v>268</v>
      </c>
      <c r="D134" s="21" t="s">
        <v>136</v>
      </c>
      <c r="E134">
        <f>FIND(",", tblPassengerNames[[#This Row],[Name]])</f>
        <v>7</v>
      </c>
      <c r="F134">
        <f>FIND(".", tblPassengerNames[[#This Row],[Name]])</f>
        <v>12</v>
      </c>
      <c r="G134">
        <f>FIND("(", tblPassengerNames[[#This Row],[Name]])</f>
        <v>22</v>
      </c>
      <c r="H134">
        <f>FIND(")", tblPassengerNames[[#This Row],[Name]])</f>
        <v>39</v>
      </c>
      <c r="I134">
        <f>IFERROR(tblPassengerNames[[#This Row],[OpenParPos]] - 2, LEN(tblPassengerNames[[#This Row],[Name]]))</f>
        <v>20</v>
      </c>
      <c r="J134" t="str">
        <f>MID(tblPassengerNames[[#This Row],[Name]], tblPassengerNames[[#This Row],[DotPos]] + 2, tblPassengerNames[[#This Row],[EndOfConvFNPos]] - tblPassengerNames[[#This Row],[DotPos]] - 1)</f>
        <v>Leonard</v>
      </c>
      <c r="K134" t="str">
        <f>MID(tblPassengerNames[[#This Row],[Name]], tblPassengerNames[[#This Row],[OpenParPos]] + 1, tblPassengerNames[[#This Row],[CloseParPos]] - tblPassengerNames[[#This Row],[OpenParPos]] - 1)</f>
        <v>Pauline C Boeson</v>
      </c>
      <c r="L134" t="str">
        <f>IF(AND(LEFT(tblPassengerNames[[#This Row],[InParentheses]], 1) = "'", RIGHT(tblPassengerNames[[#This Row],[InParentheses]], 1) = "'"),
    #VALUE!,
    tblPassengerNames[[#This Row],[InParentheses]]
)</f>
        <v>Pauline C Boeson</v>
      </c>
      <c r="M134">
        <f>LEN(tblPassengerNames[[#This Row],[InParenthesesCleaned]]) - LEN(SUBSTITUTE(tblPassengerNames[[#This Row],[InParenthesesCleaned]], " ", ""))</f>
        <v>2</v>
      </c>
      <c r="N134">
        <f>FIND("@", SUBSTITUTE(tblPassengerNames[[#This Row],[InParenthesesCleaned]], " ", "@", tblPassengerNames[[#This Row],[P_NSpaces]]))</f>
        <v>10</v>
      </c>
      <c r="O134" t="str">
        <f>IF(tblPassengerNames[[#This Row],[P_NSpaces]] = 0,
    tblPassengerNames[[#This Row],[InParenthesesCleaned]],
    LEFT(tblPassengerNames[[#This Row],[InParenthesesCleaned]], tblPassengerNames[[#This Row],[P_FinalSpacePos]] - 1)
)</f>
        <v>Pauline C</v>
      </c>
      <c r="P134" t="str">
        <f>IFERROR(tblPassengerNames[[#This Row],[P_Forenames]], tblPassengerNames[[#This Row],[ConvForenames]])</f>
        <v>Pauline C</v>
      </c>
      <c r="Q134" t="str">
        <f>MID(tblPassengerNames[[#This Row],[Name]], tblPassengerNames[[#This Row],[CommaPos]] + 2, tblPassengerNames[[#This Row],[DotPos]] - tblPassengerNames[[#This Row],[CommaPos]] - 1)</f>
        <v>Mrs.</v>
      </c>
      <c r="R134" t="str">
        <f>LEFT(tblPassengerNames[[#This Row],[Name]], tblPassengerNames[[#This Row],[CommaPos]] - 1)</f>
        <v>Gibson</v>
      </c>
    </row>
    <row r="135" spans="2:18" x14ac:dyDescent="0.25">
      <c r="B135" s="21">
        <v>133</v>
      </c>
      <c r="C135" s="21" t="s">
        <v>269</v>
      </c>
      <c r="D135" s="21" t="s">
        <v>138</v>
      </c>
      <c r="E135">
        <f>FIND(",", tblPassengerNames[[#This Row],[Name]])</f>
        <v>7</v>
      </c>
      <c r="F135">
        <f>FIND(".", tblPassengerNames[[#This Row],[Name]])</f>
        <v>11</v>
      </c>
      <c r="G135" t="e">
        <f>FIND("(", tblPassengerNames[[#This Row],[Name]])</f>
        <v>#VALUE!</v>
      </c>
      <c r="H135" t="e">
        <f>FIND(")", tblPassengerNames[[#This Row],[Name]])</f>
        <v>#VALUE!</v>
      </c>
      <c r="I135">
        <f>IFERROR(tblPassengerNames[[#This Row],[OpenParPos]] - 2, LEN(tblPassengerNames[[#This Row],[Name]]))</f>
        <v>18</v>
      </c>
      <c r="J135" t="str">
        <f>MID(tblPassengerNames[[#This Row],[Name]], tblPassengerNames[[#This Row],[DotPos]] + 2, tblPassengerNames[[#This Row],[EndOfConvFNPos]] - tblPassengerNames[[#This Row],[DotPos]] - 1)</f>
        <v>Victor</v>
      </c>
      <c r="K135" t="e">
        <f>MID(tblPassengerNames[[#This Row],[Name]], tblPassengerNames[[#This Row],[OpenParPos]] + 1, tblPassengerNames[[#This Row],[CloseParPos]] - tblPassengerNames[[#This Row],[OpenParPos]] - 1)</f>
        <v>#VALUE!</v>
      </c>
      <c r="L135" t="e">
        <f>IF(AND(LEFT(tblPassengerNames[[#This Row],[InParentheses]], 1) = "'", RIGHT(tblPassengerNames[[#This Row],[InParentheses]], 1) = "'"),
    #VALUE!,
    tblPassengerNames[[#This Row],[InParentheses]]
)</f>
        <v>#VALUE!</v>
      </c>
      <c r="M135" t="e">
        <f>LEN(tblPassengerNames[[#This Row],[InParenthesesCleaned]]) - LEN(SUBSTITUTE(tblPassengerNames[[#This Row],[InParenthesesCleaned]], " ", ""))</f>
        <v>#VALUE!</v>
      </c>
      <c r="N135" t="e">
        <f>FIND("@", SUBSTITUTE(tblPassengerNames[[#This Row],[InParenthesesCleaned]], " ", "@", tblPassengerNames[[#This Row],[P_NSpaces]]))</f>
        <v>#VALUE!</v>
      </c>
      <c r="O135" t="e">
        <f>IF(tblPassengerNames[[#This Row],[P_NSpaces]] = 0,
    tblPassengerNames[[#This Row],[InParenthesesCleaned]],
    LEFT(tblPassengerNames[[#This Row],[InParenthesesCleaned]], tblPassengerNames[[#This Row],[P_FinalSpacePos]] - 1)
)</f>
        <v>#VALUE!</v>
      </c>
      <c r="P135" t="str">
        <f>IFERROR(tblPassengerNames[[#This Row],[P_Forenames]], tblPassengerNames[[#This Row],[ConvForenames]])</f>
        <v>Victor</v>
      </c>
      <c r="Q135" t="str">
        <f>MID(tblPassengerNames[[#This Row],[Name]], tblPassengerNames[[#This Row],[CommaPos]] + 2, tblPassengerNames[[#This Row],[DotPos]] - tblPassengerNames[[#This Row],[CommaPos]] - 1)</f>
        <v>Mr.</v>
      </c>
      <c r="R135" t="str">
        <f>LEFT(tblPassengerNames[[#This Row],[Name]], tblPassengerNames[[#This Row],[CommaPos]] - 1)</f>
        <v>Giglio</v>
      </c>
    </row>
    <row r="136" spans="2:18" x14ac:dyDescent="0.25">
      <c r="B136" s="21">
        <v>134</v>
      </c>
      <c r="C136" s="21" t="s">
        <v>270</v>
      </c>
      <c r="D136" s="21" t="s">
        <v>138</v>
      </c>
      <c r="E136">
        <f>FIND(",", tblPassengerNames[[#This Row],[Name]])</f>
        <v>11</v>
      </c>
      <c r="F136">
        <f>FIND(".", tblPassengerNames[[#This Row],[Name]])</f>
        <v>15</v>
      </c>
      <c r="G136" t="e">
        <f>FIND("(", tblPassengerNames[[#This Row],[Name]])</f>
        <v>#VALUE!</v>
      </c>
      <c r="H136" t="e">
        <f>FIND(")", tblPassengerNames[[#This Row],[Name]])</f>
        <v>#VALUE!</v>
      </c>
      <c r="I136">
        <f>IFERROR(tblPassengerNames[[#This Row],[OpenParPos]] - 2, LEN(tblPassengerNames[[#This Row],[Name]]))</f>
        <v>24</v>
      </c>
      <c r="J136" t="str">
        <f>MID(tblPassengerNames[[#This Row],[Name]], tblPassengerNames[[#This Row],[DotPos]] + 2, tblPassengerNames[[#This Row],[EndOfConvFNPos]] - tblPassengerNames[[#This Row],[DotPos]] - 1)</f>
        <v>Samuel L</v>
      </c>
      <c r="K136" t="e">
        <f>MID(tblPassengerNames[[#This Row],[Name]], tblPassengerNames[[#This Row],[OpenParPos]] + 1, tblPassengerNames[[#This Row],[CloseParPos]] - tblPassengerNames[[#This Row],[OpenParPos]] - 1)</f>
        <v>#VALUE!</v>
      </c>
      <c r="L136" t="e">
        <f>IF(AND(LEFT(tblPassengerNames[[#This Row],[InParentheses]], 1) = "'", RIGHT(tblPassengerNames[[#This Row],[InParentheses]], 1) = "'"),
    #VALUE!,
    tblPassengerNames[[#This Row],[InParentheses]]
)</f>
        <v>#VALUE!</v>
      </c>
      <c r="M136" t="e">
        <f>LEN(tblPassengerNames[[#This Row],[InParenthesesCleaned]]) - LEN(SUBSTITUTE(tblPassengerNames[[#This Row],[InParenthesesCleaned]], " ", ""))</f>
        <v>#VALUE!</v>
      </c>
      <c r="N136" t="e">
        <f>FIND("@", SUBSTITUTE(tblPassengerNames[[#This Row],[InParenthesesCleaned]], " ", "@", tblPassengerNames[[#This Row],[P_NSpaces]]))</f>
        <v>#VALUE!</v>
      </c>
      <c r="O136" t="e">
        <f>IF(tblPassengerNames[[#This Row],[P_NSpaces]] = 0,
    tblPassengerNames[[#This Row],[InParenthesesCleaned]],
    LEFT(tblPassengerNames[[#This Row],[InParenthesesCleaned]], tblPassengerNames[[#This Row],[P_FinalSpacePos]] - 1)
)</f>
        <v>#VALUE!</v>
      </c>
      <c r="P136" t="str">
        <f>IFERROR(tblPassengerNames[[#This Row],[P_Forenames]], tblPassengerNames[[#This Row],[ConvForenames]])</f>
        <v>Samuel L</v>
      </c>
      <c r="Q136" t="str">
        <f>MID(tblPassengerNames[[#This Row],[Name]], tblPassengerNames[[#This Row],[CommaPos]] + 2, tblPassengerNames[[#This Row],[DotPos]] - tblPassengerNames[[#This Row],[CommaPos]] - 1)</f>
        <v>Mr.</v>
      </c>
      <c r="R136" t="str">
        <f>LEFT(tblPassengerNames[[#This Row],[Name]], tblPassengerNames[[#This Row],[CommaPos]] - 1)</f>
        <v>Goldenberg</v>
      </c>
    </row>
    <row r="137" spans="2:18" x14ac:dyDescent="0.25">
      <c r="B137" s="21">
        <v>135</v>
      </c>
      <c r="C137" s="21" t="s">
        <v>271</v>
      </c>
      <c r="D137" s="21" t="s">
        <v>136</v>
      </c>
      <c r="E137">
        <f>FIND(",", tblPassengerNames[[#This Row],[Name]])</f>
        <v>11</v>
      </c>
      <c r="F137">
        <f>FIND(".", tblPassengerNames[[#This Row],[Name]])</f>
        <v>16</v>
      </c>
      <c r="G137">
        <f>FIND("(", tblPassengerNames[[#This Row],[Name]])</f>
        <v>27</v>
      </c>
      <c r="H137">
        <f>FIND(")", tblPassengerNames[[#This Row],[Name]])</f>
        <v>44</v>
      </c>
      <c r="I137">
        <f>IFERROR(tblPassengerNames[[#This Row],[OpenParPos]] - 2, LEN(tblPassengerNames[[#This Row],[Name]]))</f>
        <v>25</v>
      </c>
      <c r="J137" t="str">
        <f>MID(tblPassengerNames[[#This Row],[Name]], tblPassengerNames[[#This Row],[DotPos]] + 2, tblPassengerNames[[#This Row],[EndOfConvFNPos]] - tblPassengerNames[[#This Row],[DotPos]] - 1)</f>
        <v>Samuel L</v>
      </c>
      <c r="K137" t="str">
        <f>MID(tblPassengerNames[[#This Row],[Name]], tblPassengerNames[[#This Row],[OpenParPos]] + 1, tblPassengerNames[[#This Row],[CloseParPos]] - tblPassengerNames[[#This Row],[OpenParPos]] - 1)</f>
        <v>Edwiga Grabowska</v>
      </c>
      <c r="L137" t="str">
        <f>IF(AND(LEFT(tblPassengerNames[[#This Row],[InParentheses]], 1) = "'", RIGHT(tblPassengerNames[[#This Row],[InParentheses]], 1) = "'"),
    #VALUE!,
    tblPassengerNames[[#This Row],[InParentheses]]
)</f>
        <v>Edwiga Grabowska</v>
      </c>
      <c r="M137">
        <f>LEN(tblPassengerNames[[#This Row],[InParenthesesCleaned]]) - LEN(SUBSTITUTE(tblPassengerNames[[#This Row],[InParenthesesCleaned]], " ", ""))</f>
        <v>1</v>
      </c>
      <c r="N137">
        <f>FIND("@", SUBSTITUTE(tblPassengerNames[[#This Row],[InParenthesesCleaned]], " ", "@", tblPassengerNames[[#This Row],[P_NSpaces]]))</f>
        <v>7</v>
      </c>
      <c r="O137" t="str">
        <f>IF(tblPassengerNames[[#This Row],[P_NSpaces]] = 0,
    tblPassengerNames[[#This Row],[InParenthesesCleaned]],
    LEFT(tblPassengerNames[[#This Row],[InParenthesesCleaned]], tblPassengerNames[[#This Row],[P_FinalSpacePos]] - 1)
)</f>
        <v>Edwiga</v>
      </c>
      <c r="P137" t="str">
        <f>IFERROR(tblPassengerNames[[#This Row],[P_Forenames]], tblPassengerNames[[#This Row],[ConvForenames]])</f>
        <v>Edwiga</v>
      </c>
      <c r="Q137" t="str">
        <f>MID(tblPassengerNames[[#This Row],[Name]], tblPassengerNames[[#This Row],[CommaPos]] + 2, tblPassengerNames[[#This Row],[DotPos]] - tblPassengerNames[[#This Row],[CommaPos]] - 1)</f>
        <v>Mrs.</v>
      </c>
      <c r="R137" t="str">
        <f>LEFT(tblPassengerNames[[#This Row],[Name]], tblPassengerNames[[#This Row],[CommaPos]] - 1)</f>
        <v>Goldenberg</v>
      </c>
    </row>
    <row r="138" spans="2:18" x14ac:dyDescent="0.25">
      <c r="B138" s="21">
        <v>136</v>
      </c>
      <c r="C138" s="21" t="s">
        <v>272</v>
      </c>
      <c r="D138" s="21" t="s">
        <v>138</v>
      </c>
      <c r="E138">
        <f>FIND(",", tblPassengerNames[[#This Row],[Name]])</f>
        <v>12</v>
      </c>
      <c r="F138">
        <f>FIND(".", tblPassengerNames[[#This Row],[Name]])</f>
        <v>16</v>
      </c>
      <c r="G138" t="e">
        <f>FIND("(", tblPassengerNames[[#This Row],[Name]])</f>
        <v>#VALUE!</v>
      </c>
      <c r="H138" t="e">
        <f>FIND(")", tblPassengerNames[[#This Row],[Name]])</f>
        <v>#VALUE!</v>
      </c>
      <c r="I138">
        <f>IFERROR(tblPassengerNames[[#This Row],[OpenParPos]] - 2, LEN(tblPassengerNames[[#This Row],[Name]]))</f>
        <v>25</v>
      </c>
      <c r="J138" t="str">
        <f>MID(tblPassengerNames[[#This Row],[Name]], tblPassengerNames[[#This Row],[DotPos]] + 2, tblPassengerNames[[#This Row],[EndOfConvFNPos]] - tblPassengerNames[[#This Row],[DotPos]] - 1)</f>
        <v>George B</v>
      </c>
      <c r="K138" t="e">
        <f>MID(tblPassengerNames[[#This Row],[Name]], tblPassengerNames[[#This Row],[OpenParPos]] + 1, tblPassengerNames[[#This Row],[CloseParPos]] - tblPassengerNames[[#This Row],[OpenParPos]] - 1)</f>
        <v>#VALUE!</v>
      </c>
      <c r="L138" t="e">
        <f>IF(AND(LEFT(tblPassengerNames[[#This Row],[InParentheses]], 1) = "'", RIGHT(tblPassengerNames[[#This Row],[InParentheses]], 1) = "'"),
    #VALUE!,
    tblPassengerNames[[#This Row],[InParentheses]]
)</f>
        <v>#VALUE!</v>
      </c>
      <c r="M138" t="e">
        <f>LEN(tblPassengerNames[[#This Row],[InParenthesesCleaned]]) - LEN(SUBSTITUTE(tblPassengerNames[[#This Row],[InParenthesesCleaned]], " ", ""))</f>
        <v>#VALUE!</v>
      </c>
      <c r="N138" t="e">
        <f>FIND("@", SUBSTITUTE(tblPassengerNames[[#This Row],[InParenthesesCleaned]], " ", "@", tblPassengerNames[[#This Row],[P_NSpaces]]))</f>
        <v>#VALUE!</v>
      </c>
      <c r="O138" t="e">
        <f>IF(tblPassengerNames[[#This Row],[P_NSpaces]] = 0,
    tblPassengerNames[[#This Row],[InParenthesesCleaned]],
    LEFT(tblPassengerNames[[#This Row],[InParenthesesCleaned]], tblPassengerNames[[#This Row],[P_FinalSpacePos]] - 1)
)</f>
        <v>#VALUE!</v>
      </c>
      <c r="P138" t="str">
        <f>IFERROR(tblPassengerNames[[#This Row],[P_Forenames]], tblPassengerNames[[#This Row],[ConvForenames]])</f>
        <v>George B</v>
      </c>
      <c r="Q138" t="str">
        <f>MID(tblPassengerNames[[#This Row],[Name]], tblPassengerNames[[#This Row],[CommaPos]] + 2, tblPassengerNames[[#This Row],[DotPos]] - tblPassengerNames[[#This Row],[CommaPos]] - 1)</f>
        <v>Mr.</v>
      </c>
      <c r="R138" t="str">
        <f>LEFT(tblPassengerNames[[#This Row],[Name]], tblPassengerNames[[#This Row],[CommaPos]] - 1)</f>
        <v>Goldschmidt</v>
      </c>
    </row>
    <row r="139" spans="2:18" x14ac:dyDescent="0.25">
      <c r="B139" s="21">
        <v>137</v>
      </c>
      <c r="C139" s="21" t="s">
        <v>273</v>
      </c>
      <c r="D139" s="21" t="s">
        <v>138</v>
      </c>
      <c r="E139">
        <f>FIND(",", tblPassengerNames[[#This Row],[Name]])</f>
        <v>7</v>
      </c>
      <c r="F139">
        <f>FIND(".", tblPassengerNames[[#This Row],[Name]])</f>
        <v>12</v>
      </c>
      <c r="G139" t="e">
        <f>FIND("(", tblPassengerNames[[#This Row],[Name]])</f>
        <v>#VALUE!</v>
      </c>
      <c r="H139" t="e">
        <f>FIND(")", tblPassengerNames[[#This Row],[Name]])</f>
        <v>#VALUE!</v>
      </c>
      <c r="I139">
        <f>IFERROR(tblPassengerNames[[#This Row],[OpenParPos]] - 2, LEN(tblPassengerNames[[#This Row],[Name]]))</f>
        <v>25</v>
      </c>
      <c r="J139" t="str">
        <f>MID(tblPassengerNames[[#This Row],[Name]], tblPassengerNames[[#This Row],[DotPos]] + 2, tblPassengerNames[[#This Row],[EndOfConvFNPos]] - tblPassengerNames[[#This Row],[DotPos]] - 1)</f>
        <v>Archibald IV</v>
      </c>
      <c r="K139" t="e">
        <f>MID(tblPassengerNames[[#This Row],[Name]], tblPassengerNames[[#This Row],[OpenParPos]] + 1, tblPassengerNames[[#This Row],[CloseParPos]] - tblPassengerNames[[#This Row],[OpenParPos]] - 1)</f>
        <v>#VALUE!</v>
      </c>
      <c r="L139" t="e">
        <f>IF(AND(LEFT(tblPassengerNames[[#This Row],[InParentheses]], 1) = "'", RIGHT(tblPassengerNames[[#This Row],[InParentheses]], 1) = "'"),
    #VALUE!,
    tblPassengerNames[[#This Row],[InParentheses]]
)</f>
        <v>#VALUE!</v>
      </c>
      <c r="M139" t="e">
        <f>LEN(tblPassengerNames[[#This Row],[InParenthesesCleaned]]) - LEN(SUBSTITUTE(tblPassengerNames[[#This Row],[InParenthesesCleaned]], " ", ""))</f>
        <v>#VALUE!</v>
      </c>
      <c r="N139" t="e">
        <f>FIND("@", SUBSTITUTE(tblPassengerNames[[#This Row],[InParenthesesCleaned]], " ", "@", tblPassengerNames[[#This Row],[P_NSpaces]]))</f>
        <v>#VALUE!</v>
      </c>
      <c r="O139" t="e">
        <f>IF(tblPassengerNames[[#This Row],[P_NSpaces]] = 0,
    tblPassengerNames[[#This Row],[InParenthesesCleaned]],
    LEFT(tblPassengerNames[[#This Row],[InParenthesesCleaned]], tblPassengerNames[[#This Row],[P_FinalSpacePos]] - 1)
)</f>
        <v>#VALUE!</v>
      </c>
      <c r="P139" t="str">
        <f>IFERROR(tblPassengerNames[[#This Row],[P_Forenames]], tblPassengerNames[[#This Row],[ConvForenames]])</f>
        <v>Archibald IV</v>
      </c>
      <c r="Q139" t="str">
        <f>MID(tblPassengerNames[[#This Row],[Name]], tblPassengerNames[[#This Row],[CommaPos]] + 2, tblPassengerNames[[#This Row],[DotPos]] - tblPassengerNames[[#This Row],[CommaPos]] - 1)</f>
        <v>Col.</v>
      </c>
      <c r="R139" t="str">
        <f>LEFT(tblPassengerNames[[#This Row],[Name]], tblPassengerNames[[#This Row],[CommaPos]] - 1)</f>
        <v>Gracie</v>
      </c>
    </row>
    <row r="140" spans="2:18" x14ac:dyDescent="0.25">
      <c r="B140" s="21">
        <v>138</v>
      </c>
      <c r="C140" s="21" t="s">
        <v>274</v>
      </c>
      <c r="D140" s="21" t="s">
        <v>136</v>
      </c>
      <c r="E140">
        <f>FIND(",", tblPassengerNames[[#This Row],[Name]])</f>
        <v>7</v>
      </c>
      <c r="F140">
        <f>FIND(".", tblPassengerNames[[#This Row],[Name]])</f>
        <v>13</v>
      </c>
      <c r="G140" t="e">
        <f>FIND("(", tblPassengerNames[[#This Row],[Name]])</f>
        <v>#VALUE!</v>
      </c>
      <c r="H140" t="e">
        <f>FIND(")", tblPassengerNames[[#This Row],[Name]])</f>
        <v>#VALUE!</v>
      </c>
      <c r="I140">
        <f>IFERROR(tblPassengerNames[[#This Row],[OpenParPos]] - 2, LEN(tblPassengerNames[[#This Row],[Name]]))</f>
        <v>28</v>
      </c>
      <c r="J140" t="str">
        <f>MID(tblPassengerNames[[#This Row],[Name]], tblPassengerNames[[#This Row],[DotPos]] + 2, tblPassengerNames[[#This Row],[EndOfConvFNPos]] - tblPassengerNames[[#This Row],[DotPos]] - 1)</f>
        <v>Margaret Edith</v>
      </c>
      <c r="K140" t="e">
        <f>MID(tblPassengerNames[[#This Row],[Name]], tblPassengerNames[[#This Row],[OpenParPos]] + 1, tblPassengerNames[[#This Row],[CloseParPos]] - tblPassengerNames[[#This Row],[OpenParPos]] - 1)</f>
        <v>#VALUE!</v>
      </c>
      <c r="L140" t="e">
        <f>IF(AND(LEFT(tblPassengerNames[[#This Row],[InParentheses]], 1) = "'", RIGHT(tblPassengerNames[[#This Row],[InParentheses]], 1) = "'"),
    #VALUE!,
    tblPassengerNames[[#This Row],[InParentheses]]
)</f>
        <v>#VALUE!</v>
      </c>
      <c r="M140" t="e">
        <f>LEN(tblPassengerNames[[#This Row],[InParenthesesCleaned]]) - LEN(SUBSTITUTE(tblPassengerNames[[#This Row],[InParenthesesCleaned]], " ", ""))</f>
        <v>#VALUE!</v>
      </c>
      <c r="N140" t="e">
        <f>FIND("@", SUBSTITUTE(tblPassengerNames[[#This Row],[InParenthesesCleaned]], " ", "@", tblPassengerNames[[#This Row],[P_NSpaces]]))</f>
        <v>#VALUE!</v>
      </c>
      <c r="O140" t="e">
        <f>IF(tblPassengerNames[[#This Row],[P_NSpaces]] = 0,
    tblPassengerNames[[#This Row],[InParenthesesCleaned]],
    LEFT(tblPassengerNames[[#This Row],[InParenthesesCleaned]], tblPassengerNames[[#This Row],[P_FinalSpacePos]] - 1)
)</f>
        <v>#VALUE!</v>
      </c>
      <c r="P140" t="str">
        <f>IFERROR(tblPassengerNames[[#This Row],[P_Forenames]], tblPassengerNames[[#This Row],[ConvForenames]])</f>
        <v>Margaret Edith</v>
      </c>
      <c r="Q140" t="str">
        <f>MID(tblPassengerNames[[#This Row],[Name]], tblPassengerNames[[#This Row],[CommaPos]] + 2, tblPassengerNames[[#This Row],[DotPos]] - tblPassengerNames[[#This Row],[CommaPos]] - 1)</f>
        <v>Miss.</v>
      </c>
      <c r="R140" t="str">
        <f>LEFT(tblPassengerNames[[#This Row],[Name]], tblPassengerNames[[#This Row],[CommaPos]] - 1)</f>
        <v>Graham</v>
      </c>
    </row>
    <row r="141" spans="2:18" x14ac:dyDescent="0.25">
      <c r="B141" s="21">
        <v>139</v>
      </c>
      <c r="C141" s="21" t="s">
        <v>275</v>
      </c>
      <c r="D141" s="21" t="s">
        <v>138</v>
      </c>
      <c r="E141">
        <f>FIND(",", tblPassengerNames[[#This Row],[Name]])</f>
        <v>7</v>
      </c>
      <c r="F141">
        <f>FIND(".", tblPassengerNames[[#This Row],[Name]])</f>
        <v>11</v>
      </c>
      <c r="G141" t="e">
        <f>FIND("(", tblPassengerNames[[#This Row],[Name]])</f>
        <v>#VALUE!</v>
      </c>
      <c r="H141" t="e">
        <f>FIND(")", tblPassengerNames[[#This Row],[Name]])</f>
        <v>#VALUE!</v>
      </c>
      <c r="I141">
        <f>IFERROR(tblPassengerNames[[#This Row],[OpenParPos]] - 2, LEN(tblPassengerNames[[#This Row],[Name]]))</f>
        <v>25</v>
      </c>
      <c r="J141" t="str">
        <f>MID(tblPassengerNames[[#This Row],[Name]], tblPassengerNames[[#This Row],[DotPos]] + 2, tblPassengerNames[[#This Row],[EndOfConvFNPos]] - tblPassengerNames[[#This Row],[DotPos]] - 1)</f>
        <v>George Edward</v>
      </c>
      <c r="K141" t="e">
        <f>MID(tblPassengerNames[[#This Row],[Name]], tblPassengerNames[[#This Row],[OpenParPos]] + 1, tblPassengerNames[[#This Row],[CloseParPos]] - tblPassengerNames[[#This Row],[OpenParPos]] - 1)</f>
        <v>#VALUE!</v>
      </c>
      <c r="L141" t="e">
        <f>IF(AND(LEFT(tblPassengerNames[[#This Row],[InParentheses]], 1) = "'", RIGHT(tblPassengerNames[[#This Row],[InParentheses]], 1) = "'"),
    #VALUE!,
    tblPassengerNames[[#This Row],[InParentheses]]
)</f>
        <v>#VALUE!</v>
      </c>
      <c r="M141" t="e">
        <f>LEN(tblPassengerNames[[#This Row],[InParenthesesCleaned]]) - LEN(SUBSTITUTE(tblPassengerNames[[#This Row],[InParenthesesCleaned]], " ", ""))</f>
        <v>#VALUE!</v>
      </c>
      <c r="N141" t="e">
        <f>FIND("@", SUBSTITUTE(tblPassengerNames[[#This Row],[InParenthesesCleaned]], " ", "@", tblPassengerNames[[#This Row],[P_NSpaces]]))</f>
        <v>#VALUE!</v>
      </c>
      <c r="O141" t="e">
        <f>IF(tblPassengerNames[[#This Row],[P_NSpaces]] = 0,
    tblPassengerNames[[#This Row],[InParenthesesCleaned]],
    LEFT(tblPassengerNames[[#This Row],[InParenthesesCleaned]], tblPassengerNames[[#This Row],[P_FinalSpacePos]] - 1)
)</f>
        <v>#VALUE!</v>
      </c>
      <c r="P141" t="str">
        <f>IFERROR(tblPassengerNames[[#This Row],[P_Forenames]], tblPassengerNames[[#This Row],[ConvForenames]])</f>
        <v>George Edward</v>
      </c>
      <c r="Q141" t="str">
        <f>MID(tblPassengerNames[[#This Row],[Name]], tblPassengerNames[[#This Row],[CommaPos]] + 2, tblPassengerNames[[#This Row],[DotPos]] - tblPassengerNames[[#This Row],[CommaPos]] - 1)</f>
        <v>Mr.</v>
      </c>
      <c r="R141" t="str">
        <f>LEFT(tblPassengerNames[[#This Row],[Name]], tblPassengerNames[[#This Row],[CommaPos]] - 1)</f>
        <v>Graham</v>
      </c>
    </row>
    <row r="142" spans="2:18" x14ac:dyDescent="0.25">
      <c r="B142" s="21">
        <v>140</v>
      </c>
      <c r="C142" s="21" t="s">
        <v>276</v>
      </c>
      <c r="D142" s="21" t="s">
        <v>136</v>
      </c>
      <c r="E142">
        <f>FIND(",", tblPassengerNames[[#This Row],[Name]])</f>
        <v>7</v>
      </c>
      <c r="F142">
        <f>FIND(".", tblPassengerNames[[#This Row],[Name]])</f>
        <v>12</v>
      </c>
      <c r="G142">
        <f>FIND("(", tblPassengerNames[[#This Row],[Name]])</f>
        <v>31</v>
      </c>
      <c r="H142">
        <f>FIND(")", tblPassengerNames[[#This Row],[Name]])</f>
        <v>45</v>
      </c>
      <c r="I142">
        <f>IFERROR(tblPassengerNames[[#This Row],[OpenParPos]] - 2, LEN(tblPassengerNames[[#This Row],[Name]]))</f>
        <v>29</v>
      </c>
      <c r="J142" t="str">
        <f>MID(tblPassengerNames[[#This Row],[Name]], tblPassengerNames[[#This Row],[DotPos]] + 2, tblPassengerNames[[#This Row],[EndOfConvFNPos]] - tblPassengerNames[[#This Row],[DotPos]] - 1)</f>
        <v>William Thompson</v>
      </c>
      <c r="K142" t="str">
        <f>MID(tblPassengerNames[[#This Row],[Name]], tblPassengerNames[[#This Row],[OpenParPos]] + 1, tblPassengerNames[[#This Row],[CloseParPos]] - tblPassengerNames[[#This Row],[OpenParPos]] - 1)</f>
        <v>Edith Junkins</v>
      </c>
      <c r="L142" t="str">
        <f>IF(AND(LEFT(tblPassengerNames[[#This Row],[InParentheses]], 1) = "'", RIGHT(tblPassengerNames[[#This Row],[InParentheses]], 1) = "'"),
    #VALUE!,
    tblPassengerNames[[#This Row],[InParentheses]]
)</f>
        <v>Edith Junkins</v>
      </c>
      <c r="M142">
        <f>LEN(tblPassengerNames[[#This Row],[InParenthesesCleaned]]) - LEN(SUBSTITUTE(tblPassengerNames[[#This Row],[InParenthesesCleaned]], " ", ""))</f>
        <v>1</v>
      </c>
      <c r="N142">
        <f>FIND("@", SUBSTITUTE(tblPassengerNames[[#This Row],[InParenthesesCleaned]], " ", "@", tblPassengerNames[[#This Row],[P_NSpaces]]))</f>
        <v>6</v>
      </c>
      <c r="O142" t="str">
        <f>IF(tblPassengerNames[[#This Row],[P_NSpaces]] = 0,
    tblPassengerNames[[#This Row],[InParenthesesCleaned]],
    LEFT(tblPassengerNames[[#This Row],[InParenthesesCleaned]], tblPassengerNames[[#This Row],[P_FinalSpacePos]] - 1)
)</f>
        <v>Edith</v>
      </c>
      <c r="P142" t="str">
        <f>IFERROR(tblPassengerNames[[#This Row],[P_Forenames]], tblPassengerNames[[#This Row],[ConvForenames]])</f>
        <v>Edith</v>
      </c>
      <c r="Q142" t="str">
        <f>MID(tblPassengerNames[[#This Row],[Name]], tblPassengerNames[[#This Row],[CommaPos]] + 2, tblPassengerNames[[#This Row],[DotPos]] - tblPassengerNames[[#This Row],[CommaPos]] - 1)</f>
        <v>Mrs.</v>
      </c>
      <c r="R142" t="str">
        <f>LEFT(tblPassengerNames[[#This Row],[Name]], tblPassengerNames[[#This Row],[CommaPos]] - 1)</f>
        <v>Graham</v>
      </c>
    </row>
    <row r="143" spans="2:18" x14ac:dyDescent="0.25">
      <c r="B143" s="21">
        <v>141</v>
      </c>
      <c r="C143" s="21" t="s">
        <v>277</v>
      </c>
      <c r="D143" s="21" t="s">
        <v>138</v>
      </c>
      <c r="E143">
        <f>FIND(",", tblPassengerNames[[#This Row],[Name]])</f>
        <v>11</v>
      </c>
      <c r="F143">
        <f>FIND(".", tblPassengerNames[[#This Row],[Name]])</f>
        <v>15</v>
      </c>
      <c r="G143" t="e">
        <f>FIND("(", tblPassengerNames[[#This Row],[Name]])</f>
        <v>#VALUE!</v>
      </c>
      <c r="H143" t="e">
        <f>FIND(")", tblPassengerNames[[#This Row],[Name]])</f>
        <v>#VALUE!</v>
      </c>
      <c r="I143">
        <f>IFERROR(tblPassengerNames[[#This Row],[OpenParPos]] - 2, LEN(tblPassengerNames[[#This Row],[Name]]))</f>
        <v>31</v>
      </c>
      <c r="J143" t="str">
        <f>MID(tblPassengerNames[[#This Row],[Name]], tblPassengerNames[[#This Row],[DotPos]] + 2, tblPassengerNames[[#This Row],[EndOfConvFNPos]] - tblPassengerNames[[#This Row],[DotPos]] - 1)</f>
        <v>William Bertram</v>
      </c>
      <c r="K143" t="e">
        <f>MID(tblPassengerNames[[#This Row],[Name]], tblPassengerNames[[#This Row],[OpenParPos]] + 1, tblPassengerNames[[#This Row],[CloseParPos]] - tblPassengerNames[[#This Row],[OpenParPos]] - 1)</f>
        <v>#VALUE!</v>
      </c>
      <c r="L143" t="e">
        <f>IF(AND(LEFT(tblPassengerNames[[#This Row],[InParentheses]], 1) = "'", RIGHT(tblPassengerNames[[#This Row],[InParentheses]], 1) = "'"),
    #VALUE!,
    tblPassengerNames[[#This Row],[InParentheses]]
)</f>
        <v>#VALUE!</v>
      </c>
      <c r="M143" t="e">
        <f>LEN(tblPassengerNames[[#This Row],[InParenthesesCleaned]]) - LEN(SUBSTITUTE(tblPassengerNames[[#This Row],[InParenthesesCleaned]], " ", ""))</f>
        <v>#VALUE!</v>
      </c>
      <c r="N143" t="e">
        <f>FIND("@", SUBSTITUTE(tblPassengerNames[[#This Row],[InParenthesesCleaned]], " ", "@", tblPassengerNames[[#This Row],[P_NSpaces]]))</f>
        <v>#VALUE!</v>
      </c>
      <c r="O143" t="e">
        <f>IF(tblPassengerNames[[#This Row],[P_NSpaces]] = 0,
    tblPassengerNames[[#This Row],[InParenthesesCleaned]],
    LEFT(tblPassengerNames[[#This Row],[InParenthesesCleaned]], tblPassengerNames[[#This Row],[P_FinalSpacePos]] - 1)
)</f>
        <v>#VALUE!</v>
      </c>
      <c r="P143" t="str">
        <f>IFERROR(tblPassengerNames[[#This Row],[P_Forenames]], tblPassengerNames[[#This Row],[ConvForenames]])</f>
        <v>William Bertram</v>
      </c>
      <c r="Q143" t="str">
        <f>MID(tblPassengerNames[[#This Row],[Name]], tblPassengerNames[[#This Row],[CommaPos]] + 2, tblPassengerNames[[#This Row],[DotPos]] - tblPassengerNames[[#This Row],[CommaPos]] - 1)</f>
        <v>Mr.</v>
      </c>
      <c r="R143" t="str">
        <f>LEFT(tblPassengerNames[[#This Row],[Name]], tblPassengerNames[[#This Row],[CommaPos]] - 1)</f>
        <v>Greenfield</v>
      </c>
    </row>
    <row r="144" spans="2:18" x14ac:dyDescent="0.25">
      <c r="B144" s="21">
        <v>142</v>
      </c>
      <c r="C144" s="21" t="s">
        <v>278</v>
      </c>
      <c r="D144" s="21" t="s">
        <v>136</v>
      </c>
      <c r="E144">
        <f>FIND(",", tblPassengerNames[[#This Row],[Name]])</f>
        <v>11</v>
      </c>
      <c r="F144">
        <f>FIND(".", tblPassengerNames[[#This Row],[Name]])</f>
        <v>16</v>
      </c>
      <c r="G144">
        <f>FIND("(", tblPassengerNames[[#This Row],[Name]])</f>
        <v>28</v>
      </c>
      <c r="H144">
        <f>FIND(")", tblPassengerNames[[#This Row],[Name]])</f>
        <v>44</v>
      </c>
      <c r="I144">
        <f>IFERROR(tblPassengerNames[[#This Row],[OpenParPos]] - 2, LEN(tblPassengerNames[[#This Row],[Name]]))</f>
        <v>26</v>
      </c>
      <c r="J144" t="str">
        <f>MID(tblPassengerNames[[#This Row],[Name]], tblPassengerNames[[#This Row],[DotPos]] + 2, tblPassengerNames[[#This Row],[EndOfConvFNPos]] - tblPassengerNames[[#This Row],[DotPos]] - 1)</f>
        <v>Leo David</v>
      </c>
      <c r="K144" t="str">
        <f>MID(tblPassengerNames[[#This Row],[Name]], tblPassengerNames[[#This Row],[OpenParPos]] + 1, tblPassengerNames[[#This Row],[CloseParPos]] - tblPassengerNames[[#This Row],[OpenParPos]] - 1)</f>
        <v>Blanche Strouse</v>
      </c>
      <c r="L144" t="str">
        <f>IF(AND(LEFT(tblPassengerNames[[#This Row],[InParentheses]], 1) = "'", RIGHT(tblPassengerNames[[#This Row],[InParentheses]], 1) = "'"),
    #VALUE!,
    tblPassengerNames[[#This Row],[InParentheses]]
)</f>
        <v>Blanche Strouse</v>
      </c>
      <c r="M144">
        <f>LEN(tblPassengerNames[[#This Row],[InParenthesesCleaned]]) - LEN(SUBSTITUTE(tblPassengerNames[[#This Row],[InParenthesesCleaned]], " ", ""))</f>
        <v>1</v>
      </c>
      <c r="N144">
        <f>FIND("@", SUBSTITUTE(tblPassengerNames[[#This Row],[InParenthesesCleaned]], " ", "@", tblPassengerNames[[#This Row],[P_NSpaces]]))</f>
        <v>8</v>
      </c>
      <c r="O144" t="str">
        <f>IF(tblPassengerNames[[#This Row],[P_NSpaces]] = 0,
    tblPassengerNames[[#This Row],[InParenthesesCleaned]],
    LEFT(tblPassengerNames[[#This Row],[InParenthesesCleaned]], tblPassengerNames[[#This Row],[P_FinalSpacePos]] - 1)
)</f>
        <v>Blanche</v>
      </c>
      <c r="P144" t="str">
        <f>IFERROR(tblPassengerNames[[#This Row],[P_Forenames]], tblPassengerNames[[#This Row],[ConvForenames]])</f>
        <v>Blanche</v>
      </c>
      <c r="Q144" t="str">
        <f>MID(tblPassengerNames[[#This Row],[Name]], tblPassengerNames[[#This Row],[CommaPos]] + 2, tblPassengerNames[[#This Row],[DotPos]] - tblPassengerNames[[#This Row],[CommaPos]] - 1)</f>
        <v>Mrs.</v>
      </c>
      <c r="R144" t="str">
        <f>LEFT(tblPassengerNames[[#This Row],[Name]], tblPassengerNames[[#This Row],[CommaPos]] - 1)</f>
        <v>Greenfield</v>
      </c>
    </row>
    <row r="145" spans="2:18" x14ac:dyDescent="0.25">
      <c r="B145" s="21">
        <v>143</v>
      </c>
      <c r="C145" s="21" t="s">
        <v>279</v>
      </c>
      <c r="D145" s="21" t="s">
        <v>138</v>
      </c>
      <c r="E145">
        <f>FIND(",", tblPassengerNames[[#This Row],[Name]])</f>
        <v>11</v>
      </c>
      <c r="F145">
        <f>FIND(".", tblPassengerNames[[#This Row],[Name]])</f>
        <v>15</v>
      </c>
      <c r="G145" t="e">
        <f>FIND("(", tblPassengerNames[[#This Row],[Name]])</f>
        <v>#VALUE!</v>
      </c>
      <c r="H145" t="e">
        <f>FIND(")", tblPassengerNames[[#This Row],[Name]])</f>
        <v>#VALUE!</v>
      </c>
      <c r="I145">
        <f>IFERROR(tblPassengerNames[[#This Row],[OpenParPos]] - 2, LEN(tblPassengerNames[[#This Row],[Name]]))</f>
        <v>24</v>
      </c>
      <c r="J145" t="str">
        <f>MID(tblPassengerNames[[#This Row],[Name]], tblPassengerNames[[#This Row],[DotPos]] + 2, tblPassengerNames[[#This Row],[EndOfConvFNPos]] - tblPassengerNames[[#This Row],[DotPos]] - 1)</f>
        <v>Benjamin</v>
      </c>
      <c r="K145" t="e">
        <f>MID(tblPassengerNames[[#This Row],[Name]], tblPassengerNames[[#This Row],[OpenParPos]] + 1, tblPassengerNames[[#This Row],[CloseParPos]] - tblPassengerNames[[#This Row],[OpenParPos]] - 1)</f>
        <v>#VALUE!</v>
      </c>
      <c r="L145" t="e">
        <f>IF(AND(LEFT(tblPassengerNames[[#This Row],[InParentheses]], 1) = "'", RIGHT(tblPassengerNames[[#This Row],[InParentheses]], 1) = "'"),
    #VALUE!,
    tblPassengerNames[[#This Row],[InParentheses]]
)</f>
        <v>#VALUE!</v>
      </c>
      <c r="M145" t="e">
        <f>LEN(tblPassengerNames[[#This Row],[InParenthesesCleaned]]) - LEN(SUBSTITUTE(tblPassengerNames[[#This Row],[InParenthesesCleaned]], " ", ""))</f>
        <v>#VALUE!</v>
      </c>
      <c r="N145" t="e">
        <f>FIND("@", SUBSTITUTE(tblPassengerNames[[#This Row],[InParenthesesCleaned]], " ", "@", tblPassengerNames[[#This Row],[P_NSpaces]]))</f>
        <v>#VALUE!</v>
      </c>
      <c r="O145" t="e">
        <f>IF(tblPassengerNames[[#This Row],[P_NSpaces]] = 0,
    tblPassengerNames[[#This Row],[InParenthesesCleaned]],
    LEFT(tblPassengerNames[[#This Row],[InParenthesesCleaned]], tblPassengerNames[[#This Row],[P_FinalSpacePos]] - 1)
)</f>
        <v>#VALUE!</v>
      </c>
      <c r="P145" t="str">
        <f>IFERROR(tblPassengerNames[[#This Row],[P_Forenames]], tblPassengerNames[[#This Row],[ConvForenames]])</f>
        <v>Benjamin</v>
      </c>
      <c r="Q145" t="str">
        <f>MID(tblPassengerNames[[#This Row],[Name]], tblPassengerNames[[#This Row],[CommaPos]] + 2, tblPassengerNames[[#This Row],[DotPos]] - tblPassengerNames[[#This Row],[CommaPos]] - 1)</f>
        <v>Mr.</v>
      </c>
      <c r="R145" t="str">
        <f>LEFT(tblPassengerNames[[#This Row],[Name]], tblPassengerNames[[#This Row],[CommaPos]] - 1)</f>
        <v>Guggenheim</v>
      </c>
    </row>
    <row r="146" spans="2:18" x14ac:dyDescent="0.25">
      <c r="B146" s="21">
        <v>144</v>
      </c>
      <c r="C146" s="21" t="s">
        <v>280</v>
      </c>
      <c r="D146" s="21" t="s">
        <v>138</v>
      </c>
      <c r="E146">
        <f>FIND(",", tblPassengerNames[[#This Row],[Name]])</f>
        <v>7</v>
      </c>
      <c r="F146">
        <f>FIND(".", tblPassengerNames[[#This Row],[Name]])</f>
        <v>11</v>
      </c>
      <c r="G146" t="e">
        <f>FIND("(", tblPassengerNames[[#This Row],[Name]])</f>
        <v>#VALUE!</v>
      </c>
      <c r="H146" t="e">
        <f>FIND(")", tblPassengerNames[[#This Row],[Name]])</f>
        <v>#VALUE!</v>
      </c>
      <c r="I146">
        <f>IFERROR(tblPassengerNames[[#This Row],[OpenParPos]] - 2, LEN(tblPassengerNames[[#This Row],[Name]]))</f>
        <v>27</v>
      </c>
      <c r="J146" t="str">
        <f>MID(tblPassengerNames[[#This Row],[Name]], tblPassengerNames[[#This Row],[DotPos]] + 2, tblPassengerNames[[#This Row],[EndOfConvFNPos]] - tblPassengerNames[[#This Row],[DotPos]] - 1)</f>
        <v>George Achilles</v>
      </c>
      <c r="K146" t="e">
        <f>MID(tblPassengerNames[[#This Row],[Name]], tblPassengerNames[[#This Row],[OpenParPos]] + 1, tblPassengerNames[[#This Row],[CloseParPos]] - tblPassengerNames[[#This Row],[OpenParPos]] - 1)</f>
        <v>#VALUE!</v>
      </c>
      <c r="L146" t="e">
        <f>IF(AND(LEFT(tblPassengerNames[[#This Row],[InParentheses]], 1) = "'", RIGHT(tblPassengerNames[[#This Row],[InParentheses]], 1) = "'"),
    #VALUE!,
    tblPassengerNames[[#This Row],[InParentheses]]
)</f>
        <v>#VALUE!</v>
      </c>
      <c r="M146" t="e">
        <f>LEN(tblPassengerNames[[#This Row],[InParenthesesCleaned]]) - LEN(SUBSTITUTE(tblPassengerNames[[#This Row],[InParenthesesCleaned]], " ", ""))</f>
        <v>#VALUE!</v>
      </c>
      <c r="N146" t="e">
        <f>FIND("@", SUBSTITUTE(tblPassengerNames[[#This Row],[InParenthesesCleaned]], " ", "@", tblPassengerNames[[#This Row],[P_NSpaces]]))</f>
        <v>#VALUE!</v>
      </c>
      <c r="O146" t="e">
        <f>IF(tblPassengerNames[[#This Row],[P_NSpaces]] = 0,
    tblPassengerNames[[#This Row],[InParenthesesCleaned]],
    LEFT(tblPassengerNames[[#This Row],[InParenthesesCleaned]], tblPassengerNames[[#This Row],[P_FinalSpacePos]] - 1)
)</f>
        <v>#VALUE!</v>
      </c>
      <c r="P146" t="str">
        <f>IFERROR(tblPassengerNames[[#This Row],[P_Forenames]], tblPassengerNames[[#This Row],[ConvForenames]])</f>
        <v>George Achilles</v>
      </c>
      <c r="Q146" t="str">
        <f>MID(tblPassengerNames[[#This Row],[Name]], tblPassengerNames[[#This Row],[CommaPos]] + 2, tblPassengerNames[[#This Row],[DotPos]] - tblPassengerNames[[#This Row],[CommaPos]] - 1)</f>
        <v>Mr.</v>
      </c>
      <c r="R146" t="str">
        <f>LEFT(tblPassengerNames[[#This Row],[Name]], tblPassengerNames[[#This Row],[CommaPos]] - 1)</f>
        <v>Harder</v>
      </c>
    </row>
    <row r="147" spans="2:18" x14ac:dyDescent="0.25">
      <c r="B147" s="21">
        <v>145</v>
      </c>
      <c r="C147" s="21" t="s">
        <v>281</v>
      </c>
      <c r="D147" s="21" t="s">
        <v>136</v>
      </c>
      <c r="E147">
        <f>FIND(",", tblPassengerNames[[#This Row],[Name]])</f>
        <v>7</v>
      </c>
      <c r="F147">
        <f>FIND(".", tblPassengerNames[[#This Row],[Name]])</f>
        <v>12</v>
      </c>
      <c r="G147">
        <f>FIND("(", tblPassengerNames[[#This Row],[Name]])</f>
        <v>30</v>
      </c>
      <c r="H147">
        <f>FIND(")", tblPassengerNames[[#This Row],[Name]])</f>
        <v>44</v>
      </c>
      <c r="I147">
        <f>IFERROR(tblPassengerNames[[#This Row],[OpenParPos]] - 2, LEN(tblPassengerNames[[#This Row],[Name]]))</f>
        <v>28</v>
      </c>
      <c r="J147" t="str">
        <f>MID(tblPassengerNames[[#This Row],[Name]], tblPassengerNames[[#This Row],[DotPos]] + 2, tblPassengerNames[[#This Row],[EndOfConvFNPos]] - tblPassengerNames[[#This Row],[DotPos]] - 1)</f>
        <v>George Achilles</v>
      </c>
      <c r="K147" t="str">
        <f>MID(tblPassengerNames[[#This Row],[Name]], tblPassengerNames[[#This Row],[OpenParPos]] + 1, tblPassengerNames[[#This Row],[CloseParPos]] - tblPassengerNames[[#This Row],[OpenParPos]] - 1)</f>
        <v>Dorothy Annan</v>
      </c>
      <c r="L147" t="str">
        <f>IF(AND(LEFT(tblPassengerNames[[#This Row],[InParentheses]], 1) = "'", RIGHT(tblPassengerNames[[#This Row],[InParentheses]], 1) = "'"),
    #VALUE!,
    tblPassengerNames[[#This Row],[InParentheses]]
)</f>
        <v>Dorothy Annan</v>
      </c>
      <c r="M147">
        <f>LEN(tblPassengerNames[[#This Row],[InParenthesesCleaned]]) - LEN(SUBSTITUTE(tblPassengerNames[[#This Row],[InParenthesesCleaned]], " ", ""))</f>
        <v>1</v>
      </c>
      <c r="N147">
        <f>FIND("@", SUBSTITUTE(tblPassengerNames[[#This Row],[InParenthesesCleaned]], " ", "@", tblPassengerNames[[#This Row],[P_NSpaces]]))</f>
        <v>8</v>
      </c>
      <c r="O147" t="str">
        <f>IF(tblPassengerNames[[#This Row],[P_NSpaces]] = 0,
    tblPassengerNames[[#This Row],[InParenthesesCleaned]],
    LEFT(tblPassengerNames[[#This Row],[InParenthesesCleaned]], tblPassengerNames[[#This Row],[P_FinalSpacePos]] - 1)
)</f>
        <v>Dorothy</v>
      </c>
      <c r="P147" t="str">
        <f>IFERROR(tblPassengerNames[[#This Row],[P_Forenames]], tblPassengerNames[[#This Row],[ConvForenames]])</f>
        <v>Dorothy</v>
      </c>
      <c r="Q147" t="str">
        <f>MID(tblPassengerNames[[#This Row],[Name]], tblPassengerNames[[#This Row],[CommaPos]] + 2, tblPassengerNames[[#This Row],[DotPos]] - tblPassengerNames[[#This Row],[CommaPos]] - 1)</f>
        <v>Mrs.</v>
      </c>
      <c r="R147" t="str">
        <f>LEFT(tblPassengerNames[[#This Row],[Name]], tblPassengerNames[[#This Row],[CommaPos]] - 1)</f>
        <v>Harder</v>
      </c>
    </row>
    <row r="148" spans="2:18" x14ac:dyDescent="0.25">
      <c r="B148" s="21">
        <v>146</v>
      </c>
      <c r="C148" s="21" t="s">
        <v>282</v>
      </c>
      <c r="D148" s="21" t="s">
        <v>138</v>
      </c>
      <c r="E148">
        <f>FIND(",", tblPassengerNames[[#This Row],[Name]])</f>
        <v>7</v>
      </c>
      <c r="F148">
        <f>FIND(".", tblPassengerNames[[#This Row],[Name]])</f>
        <v>11</v>
      </c>
      <c r="G148" t="e">
        <f>FIND("(", tblPassengerNames[[#This Row],[Name]])</f>
        <v>#VALUE!</v>
      </c>
      <c r="H148" t="e">
        <f>FIND(")", tblPassengerNames[[#This Row],[Name]])</f>
        <v>#VALUE!</v>
      </c>
      <c r="I148">
        <f>IFERROR(tblPassengerNames[[#This Row],[OpenParPos]] - 2, LEN(tblPassengerNames[[#This Row],[Name]]))</f>
        <v>25</v>
      </c>
      <c r="J148" t="str">
        <f>MID(tblPassengerNames[[#This Row],[Name]], tblPassengerNames[[#This Row],[DotPos]] + 2, tblPassengerNames[[#This Row],[EndOfConvFNPos]] - tblPassengerNames[[#This Row],[DotPos]] - 1)</f>
        <v>Henry Sleeper</v>
      </c>
      <c r="K148" t="e">
        <f>MID(tblPassengerNames[[#This Row],[Name]], tblPassengerNames[[#This Row],[OpenParPos]] + 1, tblPassengerNames[[#This Row],[CloseParPos]] - tblPassengerNames[[#This Row],[OpenParPos]] - 1)</f>
        <v>#VALUE!</v>
      </c>
      <c r="L148" t="e">
        <f>IF(AND(LEFT(tblPassengerNames[[#This Row],[InParentheses]], 1) = "'", RIGHT(tblPassengerNames[[#This Row],[InParentheses]], 1) = "'"),
    #VALUE!,
    tblPassengerNames[[#This Row],[InParentheses]]
)</f>
        <v>#VALUE!</v>
      </c>
      <c r="M148" t="e">
        <f>LEN(tblPassengerNames[[#This Row],[InParenthesesCleaned]]) - LEN(SUBSTITUTE(tblPassengerNames[[#This Row],[InParenthesesCleaned]], " ", ""))</f>
        <v>#VALUE!</v>
      </c>
      <c r="N148" t="e">
        <f>FIND("@", SUBSTITUTE(tblPassengerNames[[#This Row],[InParenthesesCleaned]], " ", "@", tblPassengerNames[[#This Row],[P_NSpaces]]))</f>
        <v>#VALUE!</v>
      </c>
      <c r="O148" t="e">
        <f>IF(tblPassengerNames[[#This Row],[P_NSpaces]] = 0,
    tblPassengerNames[[#This Row],[InParenthesesCleaned]],
    LEFT(tblPassengerNames[[#This Row],[InParenthesesCleaned]], tblPassengerNames[[#This Row],[P_FinalSpacePos]] - 1)
)</f>
        <v>#VALUE!</v>
      </c>
      <c r="P148" t="str">
        <f>IFERROR(tblPassengerNames[[#This Row],[P_Forenames]], tblPassengerNames[[#This Row],[ConvForenames]])</f>
        <v>Henry Sleeper</v>
      </c>
      <c r="Q148" t="str">
        <f>MID(tblPassengerNames[[#This Row],[Name]], tblPassengerNames[[#This Row],[CommaPos]] + 2, tblPassengerNames[[#This Row],[DotPos]] - tblPassengerNames[[#This Row],[CommaPos]] - 1)</f>
        <v>Mr.</v>
      </c>
      <c r="R148" t="str">
        <f>LEFT(tblPassengerNames[[#This Row],[Name]], tblPassengerNames[[#This Row],[CommaPos]] - 1)</f>
        <v>Harper</v>
      </c>
    </row>
    <row r="149" spans="2:18" x14ac:dyDescent="0.25">
      <c r="B149" s="21">
        <v>147</v>
      </c>
      <c r="C149" s="21" t="s">
        <v>283</v>
      </c>
      <c r="D149" s="21" t="s">
        <v>136</v>
      </c>
      <c r="E149">
        <f>FIND(",", tblPassengerNames[[#This Row],[Name]])</f>
        <v>7</v>
      </c>
      <c r="F149">
        <f>FIND(".", tblPassengerNames[[#This Row],[Name]])</f>
        <v>12</v>
      </c>
      <c r="G149">
        <f>FIND("(", tblPassengerNames[[#This Row],[Name]])</f>
        <v>28</v>
      </c>
      <c r="H149">
        <f>FIND(")", tblPassengerNames[[#This Row],[Name]])</f>
        <v>40</v>
      </c>
      <c r="I149">
        <f>IFERROR(tblPassengerNames[[#This Row],[OpenParPos]] - 2, LEN(tblPassengerNames[[#This Row],[Name]]))</f>
        <v>26</v>
      </c>
      <c r="J149" t="str">
        <f>MID(tblPassengerNames[[#This Row],[Name]], tblPassengerNames[[#This Row],[DotPos]] + 2, tblPassengerNames[[#This Row],[EndOfConvFNPos]] - tblPassengerNames[[#This Row],[DotPos]] - 1)</f>
        <v>Henry Sleeper</v>
      </c>
      <c r="K149" t="str">
        <f>MID(tblPassengerNames[[#This Row],[Name]], tblPassengerNames[[#This Row],[OpenParPos]] + 1, tblPassengerNames[[#This Row],[CloseParPos]] - tblPassengerNames[[#This Row],[OpenParPos]] - 1)</f>
        <v>Myna Haxtun</v>
      </c>
      <c r="L149" t="str">
        <f>IF(AND(LEFT(tblPassengerNames[[#This Row],[InParentheses]], 1) = "'", RIGHT(tblPassengerNames[[#This Row],[InParentheses]], 1) = "'"),
    #VALUE!,
    tblPassengerNames[[#This Row],[InParentheses]]
)</f>
        <v>Myna Haxtun</v>
      </c>
      <c r="M149">
        <f>LEN(tblPassengerNames[[#This Row],[InParenthesesCleaned]]) - LEN(SUBSTITUTE(tblPassengerNames[[#This Row],[InParenthesesCleaned]], " ", ""))</f>
        <v>1</v>
      </c>
      <c r="N149">
        <f>FIND("@", SUBSTITUTE(tblPassengerNames[[#This Row],[InParenthesesCleaned]], " ", "@", tblPassengerNames[[#This Row],[P_NSpaces]]))</f>
        <v>5</v>
      </c>
      <c r="O149" t="str">
        <f>IF(tblPassengerNames[[#This Row],[P_NSpaces]] = 0,
    tblPassengerNames[[#This Row],[InParenthesesCleaned]],
    LEFT(tblPassengerNames[[#This Row],[InParenthesesCleaned]], tblPassengerNames[[#This Row],[P_FinalSpacePos]] - 1)
)</f>
        <v>Myna</v>
      </c>
      <c r="P149" t="str">
        <f>IFERROR(tblPassengerNames[[#This Row],[P_Forenames]], tblPassengerNames[[#This Row],[ConvForenames]])</f>
        <v>Myna</v>
      </c>
      <c r="Q149" t="str">
        <f>MID(tblPassengerNames[[#This Row],[Name]], tblPassengerNames[[#This Row],[CommaPos]] + 2, tblPassengerNames[[#This Row],[DotPos]] - tblPassengerNames[[#This Row],[CommaPos]] - 1)</f>
        <v>Mrs.</v>
      </c>
      <c r="R149" t="str">
        <f>LEFT(tblPassengerNames[[#This Row],[Name]], tblPassengerNames[[#This Row],[CommaPos]] - 1)</f>
        <v>Harper</v>
      </c>
    </row>
    <row r="150" spans="2:18" x14ac:dyDescent="0.25">
      <c r="B150" s="21">
        <v>148</v>
      </c>
      <c r="C150" s="21" t="s">
        <v>284</v>
      </c>
      <c r="D150" s="21" t="s">
        <v>138</v>
      </c>
      <c r="E150">
        <f>FIND(",", tblPassengerNames[[#This Row],[Name]])</f>
        <v>11</v>
      </c>
      <c r="F150">
        <f>FIND(".", tblPassengerNames[[#This Row],[Name]])</f>
        <v>15</v>
      </c>
      <c r="G150" t="e">
        <f>FIND("(", tblPassengerNames[[#This Row],[Name]])</f>
        <v>#VALUE!</v>
      </c>
      <c r="H150" t="e">
        <f>FIND(")", tblPassengerNames[[#This Row],[Name]])</f>
        <v>#VALUE!</v>
      </c>
      <c r="I150">
        <f>IFERROR(tblPassengerNames[[#This Row],[OpenParPos]] - 2, LEN(tblPassengerNames[[#This Row],[Name]]))</f>
        <v>25</v>
      </c>
      <c r="J150" t="str">
        <f>MID(tblPassengerNames[[#This Row],[Name]], tblPassengerNames[[#This Row],[DotPos]] + 2, tblPassengerNames[[#This Row],[EndOfConvFNPos]] - tblPassengerNames[[#This Row],[DotPos]] - 1)</f>
        <v>Charles H</v>
      </c>
      <c r="K150" t="e">
        <f>MID(tblPassengerNames[[#This Row],[Name]], tblPassengerNames[[#This Row],[OpenParPos]] + 1, tblPassengerNames[[#This Row],[CloseParPos]] - tblPassengerNames[[#This Row],[OpenParPos]] - 1)</f>
        <v>#VALUE!</v>
      </c>
      <c r="L150" t="e">
        <f>IF(AND(LEFT(tblPassengerNames[[#This Row],[InParentheses]], 1) = "'", RIGHT(tblPassengerNames[[#This Row],[InParentheses]], 1) = "'"),
    #VALUE!,
    tblPassengerNames[[#This Row],[InParentheses]]
)</f>
        <v>#VALUE!</v>
      </c>
      <c r="M150" t="e">
        <f>LEN(tblPassengerNames[[#This Row],[InParenthesesCleaned]]) - LEN(SUBSTITUTE(tblPassengerNames[[#This Row],[InParenthesesCleaned]], " ", ""))</f>
        <v>#VALUE!</v>
      </c>
      <c r="N150" t="e">
        <f>FIND("@", SUBSTITUTE(tblPassengerNames[[#This Row],[InParenthesesCleaned]], " ", "@", tblPassengerNames[[#This Row],[P_NSpaces]]))</f>
        <v>#VALUE!</v>
      </c>
      <c r="O150" t="e">
        <f>IF(tblPassengerNames[[#This Row],[P_NSpaces]] = 0,
    tblPassengerNames[[#This Row],[InParenthesesCleaned]],
    LEFT(tblPassengerNames[[#This Row],[InParenthesesCleaned]], tblPassengerNames[[#This Row],[P_FinalSpacePos]] - 1)
)</f>
        <v>#VALUE!</v>
      </c>
      <c r="P150" t="str">
        <f>IFERROR(tblPassengerNames[[#This Row],[P_Forenames]], tblPassengerNames[[#This Row],[ConvForenames]])</f>
        <v>Charles H</v>
      </c>
      <c r="Q150" t="str">
        <f>MID(tblPassengerNames[[#This Row],[Name]], tblPassengerNames[[#This Row],[CommaPos]] + 2, tblPassengerNames[[#This Row],[DotPos]] - tblPassengerNames[[#This Row],[CommaPos]] - 1)</f>
        <v>Mr.</v>
      </c>
      <c r="R150" t="str">
        <f>LEFT(tblPassengerNames[[#This Row],[Name]], tblPassengerNames[[#This Row],[CommaPos]] - 1)</f>
        <v>Harrington</v>
      </c>
    </row>
    <row r="151" spans="2:18" x14ac:dyDescent="0.25">
      <c r="B151" s="21">
        <v>149</v>
      </c>
      <c r="C151" s="21" t="s">
        <v>285</v>
      </c>
      <c r="D151" s="21" t="s">
        <v>138</v>
      </c>
      <c r="E151">
        <f>FIND(",", tblPassengerNames[[#This Row],[Name]])</f>
        <v>7</v>
      </c>
      <c r="F151">
        <f>FIND(".", tblPassengerNames[[#This Row],[Name]])</f>
        <v>11</v>
      </c>
      <c r="G151" t="e">
        <f>FIND("(", tblPassengerNames[[#This Row],[Name]])</f>
        <v>#VALUE!</v>
      </c>
      <c r="H151" t="e">
        <f>FIND(")", tblPassengerNames[[#This Row],[Name]])</f>
        <v>#VALUE!</v>
      </c>
      <c r="I151">
        <f>IFERROR(tblPassengerNames[[#This Row],[OpenParPos]] - 2, LEN(tblPassengerNames[[#This Row],[Name]]))</f>
        <v>27</v>
      </c>
      <c r="J151" t="str">
        <f>MID(tblPassengerNames[[#This Row],[Name]], tblPassengerNames[[#This Row],[DotPos]] + 2, tblPassengerNames[[#This Row],[EndOfConvFNPos]] - tblPassengerNames[[#This Row],[DotPos]] - 1)</f>
        <v>Henry Birkhardt</v>
      </c>
      <c r="K151" t="e">
        <f>MID(tblPassengerNames[[#This Row],[Name]], tblPassengerNames[[#This Row],[OpenParPos]] + 1, tblPassengerNames[[#This Row],[CloseParPos]] - tblPassengerNames[[#This Row],[OpenParPos]] - 1)</f>
        <v>#VALUE!</v>
      </c>
      <c r="L151" t="e">
        <f>IF(AND(LEFT(tblPassengerNames[[#This Row],[InParentheses]], 1) = "'", RIGHT(tblPassengerNames[[#This Row],[InParentheses]], 1) = "'"),
    #VALUE!,
    tblPassengerNames[[#This Row],[InParentheses]]
)</f>
        <v>#VALUE!</v>
      </c>
      <c r="M151" t="e">
        <f>LEN(tblPassengerNames[[#This Row],[InParenthesesCleaned]]) - LEN(SUBSTITUTE(tblPassengerNames[[#This Row],[InParenthesesCleaned]], " ", ""))</f>
        <v>#VALUE!</v>
      </c>
      <c r="N151" t="e">
        <f>FIND("@", SUBSTITUTE(tblPassengerNames[[#This Row],[InParenthesesCleaned]], " ", "@", tblPassengerNames[[#This Row],[P_NSpaces]]))</f>
        <v>#VALUE!</v>
      </c>
      <c r="O151" t="e">
        <f>IF(tblPassengerNames[[#This Row],[P_NSpaces]] = 0,
    tblPassengerNames[[#This Row],[InParenthesesCleaned]],
    LEFT(tblPassengerNames[[#This Row],[InParenthesesCleaned]], tblPassengerNames[[#This Row],[P_FinalSpacePos]] - 1)
)</f>
        <v>#VALUE!</v>
      </c>
      <c r="P151" t="str">
        <f>IFERROR(tblPassengerNames[[#This Row],[P_Forenames]], tblPassengerNames[[#This Row],[ConvForenames]])</f>
        <v>Henry Birkhardt</v>
      </c>
      <c r="Q151" t="str">
        <f>MID(tblPassengerNames[[#This Row],[Name]], tblPassengerNames[[#This Row],[CommaPos]] + 2, tblPassengerNames[[#This Row],[DotPos]] - tblPassengerNames[[#This Row],[CommaPos]] - 1)</f>
        <v>Mr.</v>
      </c>
      <c r="R151" t="str">
        <f>LEFT(tblPassengerNames[[#This Row],[Name]], tblPassengerNames[[#This Row],[CommaPos]] - 1)</f>
        <v>Harris</v>
      </c>
    </row>
    <row r="152" spans="2:18" x14ac:dyDescent="0.25">
      <c r="B152" s="21">
        <v>150</v>
      </c>
      <c r="C152" s="21" t="s">
        <v>286</v>
      </c>
      <c r="D152" s="21" t="s">
        <v>136</v>
      </c>
      <c r="E152">
        <f>FIND(",", tblPassengerNames[[#This Row],[Name]])</f>
        <v>7</v>
      </c>
      <c r="F152">
        <f>FIND(".", tblPassengerNames[[#This Row],[Name]])</f>
        <v>12</v>
      </c>
      <c r="G152">
        <f>FIND("(", tblPassengerNames[[#This Row],[Name]])</f>
        <v>30</v>
      </c>
      <c r="H152">
        <f>FIND(")", tblPassengerNames[[#This Row],[Name]])</f>
        <v>44</v>
      </c>
      <c r="I152">
        <f>IFERROR(tblPassengerNames[[#This Row],[OpenParPos]] - 2, LEN(tblPassengerNames[[#This Row],[Name]]))</f>
        <v>28</v>
      </c>
      <c r="J152" t="str">
        <f>MID(tblPassengerNames[[#This Row],[Name]], tblPassengerNames[[#This Row],[DotPos]] + 2, tblPassengerNames[[#This Row],[EndOfConvFNPos]] - tblPassengerNames[[#This Row],[DotPos]] - 1)</f>
        <v>Henry Birkhardt</v>
      </c>
      <c r="K152" t="str">
        <f>MID(tblPassengerNames[[#This Row],[Name]], tblPassengerNames[[#This Row],[OpenParPos]] + 1, tblPassengerNames[[#This Row],[CloseParPos]] - tblPassengerNames[[#This Row],[OpenParPos]] - 1)</f>
        <v>Irene Wallach</v>
      </c>
      <c r="L152" t="str">
        <f>IF(AND(LEFT(tblPassengerNames[[#This Row],[InParentheses]], 1) = "'", RIGHT(tblPassengerNames[[#This Row],[InParentheses]], 1) = "'"),
    #VALUE!,
    tblPassengerNames[[#This Row],[InParentheses]]
)</f>
        <v>Irene Wallach</v>
      </c>
      <c r="M152">
        <f>LEN(tblPassengerNames[[#This Row],[InParenthesesCleaned]]) - LEN(SUBSTITUTE(tblPassengerNames[[#This Row],[InParenthesesCleaned]], " ", ""))</f>
        <v>1</v>
      </c>
      <c r="N152">
        <f>FIND("@", SUBSTITUTE(tblPassengerNames[[#This Row],[InParenthesesCleaned]], " ", "@", tblPassengerNames[[#This Row],[P_NSpaces]]))</f>
        <v>6</v>
      </c>
      <c r="O152" t="str">
        <f>IF(tblPassengerNames[[#This Row],[P_NSpaces]] = 0,
    tblPassengerNames[[#This Row],[InParenthesesCleaned]],
    LEFT(tblPassengerNames[[#This Row],[InParenthesesCleaned]], tblPassengerNames[[#This Row],[P_FinalSpacePos]] - 1)
)</f>
        <v>Irene</v>
      </c>
      <c r="P152" t="str">
        <f>IFERROR(tblPassengerNames[[#This Row],[P_Forenames]], tblPassengerNames[[#This Row],[ConvForenames]])</f>
        <v>Irene</v>
      </c>
      <c r="Q152" t="str">
        <f>MID(tblPassengerNames[[#This Row],[Name]], tblPassengerNames[[#This Row],[CommaPos]] + 2, tblPassengerNames[[#This Row],[DotPos]] - tblPassengerNames[[#This Row],[CommaPos]] - 1)</f>
        <v>Mrs.</v>
      </c>
      <c r="R152" t="str">
        <f>LEFT(tblPassengerNames[[#This Row],[Name]], tblPassengerNames[[#This Row],[CommaPos]] - 1)</f>
        <v>Harris</v>
      </c>
    </row>
    <row r="153" spans="2:18" x14ac:dyDescent="0.25">
      <c r="B153" s="21">
        <v>151</v>
      </c>
      <c r="C153" s="21" t="s">
        <v>287</v>
      </c>
      <c r="D153" s="21" t="s">
        <v>138</v>
      </c>
      <c r="E153">
        <f>FIND(",", tblPassengerNames[[#This Row],[Name]])</f>
        <v>9</v>
      </c>
      <c r="F153">
        <f>FIND(".", tblPassengerNames[[#This Row],[Name]])</f>
        <v>13</v>
      </c>
      <c r="G153" t="e">
        <f>FIND("(", tblPassengerNames[[#This Row],[Name]])</f>
        <v>#VALUE!</v>
      </c>
      <c r="H153" t="e">
        <f>FIND(")", tblPassengerNames[[#This Row],[Name]])</f>
        <v>#VALUE!</v>
      </c>
      <c r="I153">
        <f>IFERROR(tblPassengerNames[[#This Row],[OpenParPos]] - 2, LEN(tblPassengerNames[[#This Row],[Name]]))</f>
        <v>21</v>
      </c>
      <c r="J153" t="str">
        <f>MID(tblPassengerNames[[#This Row],[Name]], tblPassengerNames[[#This Row],[DotPos]] + 2, tblPassengerNames[[#This Row],[EndOfConvFNPos]] - tblPassengerNames[[#This Row],[DotPos]] - 1)</f>
        <v>William</v>
      </c>
      <c r="K153" t="e">
        <f>MID(tblPassengerNames[[#This Row],[Name]], tblPassengerNames[[#This Row],[OpenParPos]] + 1, tblPassengerNames[[#This Row],[CloseParPos]] - tblPassengerNames[[#This Row],[OpenParPos]] - 1)</f>
        <v>#VALUE!</v>
      </c>
      <c r="L153" t="e">
        <f>IF(AND(LEFT(tblPassengerNames[[#This Row],[InParentheses]], 1) = "'", RIGHT(tblPassengerNames[[#This Row],[InParentheses]], 1) = "'"),
    #VALUE!,
    tblPassengerNames[[#This Row],[InParentheses]]
)</f>
        <v>#VALUE!</v>
      </c>
      <c r="M153" t="e">
        <f>LEN(tblPassengerNames[[#This Row],[InParenthesesCleaned]]) - LEN(SUBSTITUTE(tblPassengerNames[[#This Row],[InParenthesesCleaned]], " ", ""))</f>
        <v>#VALUE!</v>
      </c>
      <c r="N153" t="e">
        <f>FIND("@", SUBSTITUTE(tblPassengerNames[[#This Row],[InParenthesesCleaned]], " ", "@", tblPassengerNames[[#This Row],[P_NSpaces]]))</f>
        <v>#VALUE!</v>
      </c>
      <c r="O153" t="e">
        <f>IF(tblPassengerNames[[#This Row],[P_NSpaces]] = 0,
    tblPassengerNames[[#This Row],[InParenthesesCleaned]],
    LEFT(tblPassengerNames[[#This Row],[InParenthesesCleaned]], tblPassengerNames[[#This Row],[P_FinalSpacePos]] - 1)
)</f>
        <v>#VALUE!</v>
      </c>
      <c r="P153" t="str">
        <f>IFERROR(tblPassengerNames[[#This Row],[P_Forenames]], tblPassengerNames[[#This Row],[ConvForenames]])</f>
        <v>William</v>
      </c>
      <c r="Q153" t="str">
        <f>MID(tblPassengerNames[[#This Row],[Name]], tblPassengerNames[[#This Row],[CommaPos]] + 2, tblPassengerNames[[#This Row],[DotPos]] - tblPassengerNames[[#This Row],[CommaPos]] - 1)</f>
        <v>Mr.</v>
      </c>
      <c r="R153" t="str">
        <f>LEFT(tblPassengerNames[[#This Row],[Name]], tblPassengerNames[[#This Row],[CommaPos]] - 1)</f>
        <v>Harrison</v>
      </c>
    </row>
    <row r="154" spans="2:18" x14ac:dyDescent="0.25">
      <c r="B154" s="21">
        <v>152</v>
      </c>
      <c r="C154" s="21" t="s">
        <v>288</v>
      </c>
      <c r="D154" s="21" t="s">
        <v>138</v>
      </c>
      <c r="E154">
        <f>FIND(",", tblPassengerNames[[#This Row],[Name]])</f>
        <v>7</v>
      </c>
      <c r="F154">
        <f>FIND(".", tblPassengerNames[[#This Row],[Name]])</f>
        <v>11</v>
      </c>
      <c r="G154" t="e">
        <f>FIND("(", tblPassengerNames[[#This Row],[Name]])</f>
        <v>#VALUE!</v>
      </c>
      <c r="H154" t="e">
        <f>FIND(")", tblPassengerNames[[#This Row],[Name]])</f>
        <v>#VALUE!</v>
      </c>
      <c r="I154">
        <f>IFERROR(tblPassengerNames[[#This Row],[OpenParPos]] - 2, LEN(tblPassengerNames[[#This Row],[Name]]))</f>
        <v>18</v>
      </c>
      <c r="J154" t="str">
        <f>MID(tblPassengerNames[[#This Row],[Name]], tblPassengerNames[[#This Row],[DotPos]] + 2, tblPassengerNames[[#This Row],[EndOfConvFNPos]] - tblPassengerNames[[#This Row],[DotPos]] - 1)</f>
        <v>Hammad</v>
      </c>
      <c r="K154" t="e">
        <f>MID(tblPassengerNames[[#This Row],[Name]], tblPassengerNames[[#This Row],[OpenParPos]] + 1, tblPassengerNames[[#This Row],[CloseParPos]] - tblPassengerNames[[#This Row],[OpenParPos]] - 1)</f>
        <v>#VALUE!</v>
      </c>
      <c r="L154" t="e">
        <f>IF(AND(LEFT(tblPassengerNames[[#This Row],[InParentheses]], 1) = "'", RIGHT(tblPassengerNames[[#This Row],[InParentheses]], 1) = "'"),
    #VALUE!,
    tblPassengerNames[[#This Row],[InParentheses]]
)</f>
        <v>#VALUE!</v>
      </c>
      <c r="M154" t="e">
        <f>LEN(tblPassengerNames[[#This Row],[InParenthesesCleaned]]) - LEN(SUBSTITUTE(tblPassengerNames[[#This Row],[InParenthesesCleaned]], " ", ""))</f>
        <v>#VALUE!</v>
      </c>
      <c r="N154" t="e">
        <f>FIND("@", SUBSTITUTE(tblPassengerNames[[#This Row],[InParenthesesCleaned]], " ", "@", tblPassengerNames[[#This Row],[P_NSpaces]]))</f>
        <v>#VALUE!</v>
      </c>
      <c r="O154" t="e">
        <f>IF(tblPassengerNames[[#This Row],[P_NSpaces]] = 0,
    tblPassengerNames[[#This Row],[InParenthesesCleaned]],
    LEFT(tblPassengerNames[[#This Row],[InParenthesesCleaned]], tblPassengerNames[[#This Row],[P_FinalSpacePos]] - 1)
)</f>
        <v>#VALUE!</v>
      </c>
      <c r="P154" t="str">
        <f>IFERROR(tblPassengerNames[[#This Row],[P_Forenames]], tblPassengerNames[[#This Row],[ConvForenames]])</f>
        <v>Hammad</v>
      </c>
      <c r="Q154" t="str">
        <f>MID(tblPassengerNames[[#This Row],[Name]], tblPassengerNames[[#This Row],[CommaPos]] + 2, tblPassengerNames[[#This Row],[DotPos]] - tblPassengerNames[[#This Row],[CommaPos]] - 1)</f>
        <v>Mr.</v>
      </c>
      <c r="R154" t="str">
        <f>LEFT(tblPassengerNames[[#This Row],[Name]], tblPassengerNames[[#This Row],[CommaPos]] - 1)</f>
        <v>Hassab</v>
      </c>
    </row>
    <row r="155" spans="2:18" x14ac:dyDescent="0.25">
      <c r="B155" s="21">
        <v>153</v>
      </c>
      <c r="C155" s="21" t="s">
        <v>289</v>
      </c>
      <c r="D155" s="21" t="s">
        <v>138</v>
      </c>
      <c r="E155">
        <f>FIND(",", tblPassengerNames[[#This Row],[Name]])</f>
        <v>10</v>
      </c>
      <c r="F155">
        <f>FIND(".", tblPassengerNames[[#This Row],[Name]])</f>
        <v>14</v>
      </c>
      <c r="G155" t="e">
        <f>FIND("(", tblPassengerNames[[#This Row],[Name]])</f>
        <v>#VALUE!</v>
      </c>
      <c r="H155" t="e">
        <f>FIND(")", tblPassengerNames[[#This Row],[Name]])</f>
        <v>#VALUE!</v>
      </c>
      <c r="I155">
        <f>IFERROR(tblPassengerNames[[#This Row],[OpenParPos]] - 2, LEN(tblPassengerNames[[#This Row],[Name]]))</f>
        <v>27</v>
      </c>
      <c r="J155" t="str">
        <f>MID(tblPassengerNames[[#This Row],[Name]], tblPassengerNames[[#This Row],[DotPos]] + 2, tblPassengerNames[[#This Row],[EndOfConvFNPos]] - tblPassengerNames[[#This Row],[DotPos]] - 1)</f>
        <v>Walter James</v>
      </c>
      <c r="K155" t="e">
        <f>MID(tblPassengerNames[[#This Row],[Name]], tblPassengerNames[[#This Row],[OpenParPos]] + 1, tblPassengerNames[[#This Row],[CloseParPos]] - tblPassengerNames[[#This Row],[OpenParPos]] - 1)</f>
        <v>#VALUE!</v>
      </c>
      <c r="L155" t="e">
        <f>IF(AND(LEFT(tblPassengerNames[[#This Row],[InParentheses]], 1) = "'", RIGHT(tblPassengerNames[[#This Row],[InParentheses]], 1) = "'"),
    #VALUE!,
    tblPassengerNames[[#This Row],[InParentheses]]
)</f>
        <v>#VALUE!</v>
      </c>
      <c r="M155" t="e">
        <f>LEN(tblPassengerNames[[#This Row],[InParenthesesCleaned]]) - LEN(SUBSTITUTE(tblPassengerNames[[#This Row],[InParenthesesCleaned]], " ", ""))</f>
        <v>#VALUE!</v>
      </c>
      <c r="N155" t="e">
        <f>FIND("@", SUBSTITUTE(tblPassengerNames[[#This Row],[InParenthesesCleaned]], " ", "@", tblPassengerNames[[#This Row],[P_NSpaces]]))</f>
        <v>#VALUE!</v>
      </c>
      <c r="O155" t="e">
        <f>IF(tblPassengerNames[[#This Row],[P_NSpaces]] = 0,
    tblPassengerNames[[#This Row],[InParenthesesCleaned]],
    LEFT(tblPassengerNames[[#This Row],[InParenthesesCleaned]], tblPassengerNames[[#This Row],[P_FinalSpacePos]] - 1)
)</f>
        <v>#VALUE!</v>
      </c>
      <c r="P155" t="str">
        <f>IFERROR(tblPassengerNames[[#This Row],[P_Forenames]], tblPassengerNames[[#This Row],[ConvForenames]])</f>
        <v>Walter James</v>
      </c>
      <c r="Q155" t="str">
        <f>MID(tblPassengerNames[[#This Row],[Name]], tblPassengerNames[[#This Row],[CommaPos]] + 2, tblPassengerNames[[#This Row],[DotPos]] - tblPassengerNames[[#This Row],[CommaPos]] - 1)</f>
        <v>Mr.</v>
      </c>
      <c r="R155" t="str">
        <f>LEFT(tblPassengerNames[[#This Row],[Name]], tblPassengerNames[[#This Row],[CommaPos]] - 1)</f>
        <v>Hawksford</v>
      </c>
    </row>
    <row r="156" spans="2:18" x14ac:dyDescent="0.25">
      <c r="B156" s="21">
        <v>154</v>
      </c>
      <c r="C156" s="21" t="s">
        <v>290</v>
      </c>
      <c r="D156" s="21" t="s">
        <v>136</v>
      </c>
      <c r="E156">
        <f>FIND(",", tblPassengerNames[[#This Row],[Name]])</f>
        <v>5</v>
      </c>
      <c r="F156">
        <f>FIND(".", tblPassengerNames[[#This Row],[Name]])</f>
        <v>11</v>
      </c>
      <c r="G156" t="e">
        <f>FIND("(", tblPassengerNames[[#This Row],[Name]])</f>
        <v>#VALUE!</v>
      </c>
      <c r="H156" t="e">
        <f>FIND(")", tblPassengerNames[[#This Row],[Name]])</f>
        <v>#VALUE!</v>
      </c>
      <c r="I156">
        <f>IFERROR(tblPassengerNames[[#This Row],[OpenParPos]] - 2, LEN(tblPassengerNames[[#This Row],[Name]]))</f>
        <v>30</v>
      </c>
      <c r="J156" t="str">
        <f>MID(tblPassengerNames[[#This Row],[Name]], tblPassengerNames[[#This Row],[DotPos]] + 2, tblPassengerNames[[#This Row],[EndOfConvFNPos]] - tblPassengerNames[[#This Row],[DotPos]] - 1)</f>
        <v>Margaret Bechstein</v>
      </c>
      <c r="K156" t="e">
        <f>MID(tblPassengerNames[[#This Row],[Name]], tblPassengerNames[[#This Row],[OpenParPos]] + 1, tblPassengerNames[[#This Row],[CloseParPos]] - tblPassengerNames[[#This Row],[OpenParPos]] - 1)</f>
        <v>#VALUE!</v>
      </c>
      <c r="L156" t="e">
        <f>IF(AND(LEFT(tblPassengerNames[[#This Row],[InParentheses]], 1) = "'", RIGHT(tblPassengerNames[[#This Row],[InParentheses]], 1) = "'"),
    #VALUE!,
    tblPassengerNames[[#This Row],[InParentheses]]
)</f>
        <v>#VALUE!</v>
      </c>
      <c r="M156" t="e">
        <f>LEN(tblPassengerNames[[#This Row],[InParenthesesCleaned]]) - LEN(SUBSTITUTE(tblPassengerNames[[#This Row],[InParenthesesCleaned]], " ", ""))</f>
        <v>#VALUE!</v>
      </c>
      <c r="N156" t="e">
        <f>FIND("@", SUBSTITUTE(tblPassengerNames[[#This Row],[InParenthesesCleaned]], " ", "@", tblPassengerNames[[#This Row],[P_NSpaces]]))</f>
        <v>#VALUE!</v>
      </c>
      <c r="O156" t="e">
        <f>IF(tblPassengerNames[[#This Row],[P_NSpaces]] = 0,
    tblPassengerNames[[#This Row],[InParenthesesCleaned]],
    LEFT(tblPassengerNames[[#This Row],[InParenthesesCleaned]], tblPassengerNames[[#This Row],[P_FinalSpacePos]] - 1)
)</f>
        <v>#VALUE!</v>
      </c>
      <c r="P156" t="str">
        <f>IFERROR(tblPassengerNames[[#This Row],[P_Forenames]], tblPassengerNames[[#This Row],[ConvForenames]])</f>
        <v>Margaret Bechstein</v>
      </c>
      <c r="Q156" t="str">
        <f>MID(tblPassengerNames[[#This Row],[Name]], tblPassengerNames[[#This Row],[CommaPos]] + 2, tblPassengerNames[[#This Row],[DotPos]] - tblPassengerNames[[#This Row],[CommaPos]] - 1)</f>
        <v>Miss.</v>
      </c>
      <c r="R156" t="str">
        <f>LEFT(tblPassengerNames[[#This Row],[Name]], tblPassengerNames[[#This Row],[CommaPos]] - 1)</f>
        <v>Hays</v>
      </c>
    </row>
    <row r="157" spans="2:18" x14ac:dyDescent="0.25">
      <c r="B157" s="21">
        <v>155</v>
      </c>
      <c r="C157" s="21" t="s">
        <v>291</v>
      </c>
      <c r="D157" s="21" t="s">
        <v>138</v>
      </c>
      <c r="E157">
        <f>FIND(",", tblPassengerNames[[#This Row],[Name]])</f>
        <v>5</v>
      </c>
      <c r="F157">
        <f>FIND(".", tblPassengerNames[[#This Row],[Name]])</f>
        <v>9</v>
      </c>
      <c r="G157" t="e">
        <f>FIND("(", tblPassengerNames[[#This Row],[Name]])</f>
        <v>#VALUE!</v>
      </c>
      <c r="H157" t="e">
        <f>FIND(")", tblPassengerNames[[#This Row],[Name]])</f>
        <v>#VALUE!</v>
      </c>
      <c r="I157">
        <f>IFERROR(tblPassengerNames[[#This Row],[OpenParPos]] - 2, LEN(tblPassengerNames[[#This Row],[Name]]))</f>
        <v>26</v>
      </c>
      <c r="J157" t="str">
        <f>MID(tblPassengerNames[[#This Row],[Name]], tblPassengerNames[[#This Row],[DotPos]] + 2, tblPassengerNames[[#This Row],[EndOfConvFNPos]] - tblPassengerNames[[#This Row],[DotPos]] - 1)</f>
        <v>Charles Melville</v>
      </c>
      <c r="K157" t="e">
        <f>MID(tblPassengerNames[[#This Row],[Name]], tblPassengerNames[[#This Row],[OpenParPos]] + 1, tblPassengerNames[[#This Row],[CloseParPos]] - tblPassengerNames[[#This Row],[OpenParPos]] - 1)</f>
        <v>#VALUE!</v>
      </c>
      <c r="L157" t="e">
        <f>IF(AND(LEFT(tblPassengerNames[[#This Row],[InParentheses]], 1) = "'", RIGHT(tblPassengerNames[[#This Row],[InParentheses]], 1) = "'"),
    #VALUE!,
    tblPassengerNames[[#This Row],[InParentheses]]
)</f>
        <v>#VALUE!</v>
      </c>
      <c r="M157" t="e">
        <f>LEN(tblPassengerNames[[#This Row],[InParenthesesCleaned]]) - LEN(SUBSTITUTE(tblPassengerNames[[#This Row],[InParenthesesCleaned]], " ", ""))</f>
        <v>#VALUE!</v>
      </c>
      <c r="N157" t="e">
        <f>FIND("@", SUBSTITUTE(tblPassengerNames[[#This Row],[InParenthesesCleaned]], " ", "@", tblPassengerNames[[#This Row],[P_NSpaces]]))</f>
        <v>#VALUE!</v>
      </c>
      <c r="O157" t="e">
        <f>IF(tblPassengerNames[[#This Row],[P_NSpaces]] = 0,
    tblPassengerNames[[#This Row],[InParenthesesCleaned]],
    LEFT(tblPassengerNames[[#This Row],[InParenthesesCleaned]], tblPassengerNames[[#This Row],[P_FinalSpacePos]] - 1)
)</f>
        <v>#VALUE!</v>
      </c>
      <c r="P157" t="str">
        <f>IFERROR(tblPassengerNames[[#This Row],[P_Forenames]], tblPassengerNames[[#This Row],[ConvForenames]])</f>
        <v>Charles Melville</v>
      </c>
      <c r="Q157" t="str">
        <f>MID(tblPassengerNames[[#This Row],[Name]], tblPassengerNames[[#This Row],[CommaPos]] + 2, tblPassengerNames[[#This Row],[DotPos]] - tblPassengerNames[[#This Row],[CommaPos]] - 1)</f>
        <v>Mr.</v>
      </c>
      <c r="R157" t="str">
        <f>LEFT(tblPassengerNames[[#This Row],[Name]], tblPassengerNames[[#This Row],[CommaPos]] - 1)</f>
        <v>Hays</v>
      </c>
    </row>
    <row r="158" spans="2:18" x14ac:dyDescent="0.25">
      <c r="B158" s="21">
        <v>156</v>
      </c>
      <c r="C158" s="21" t="s">
        <v>292</v>
      </c>
      <c r="D158" s="21" t="s">
        <v>136</v>
      </c>
      <c r="E158">
        <f>FIND(",", tblPassengerNames[[#This Row],[Name]])</f>
        <v>5</v>
      </c>
      <c r="F158">
        <f>FIND(".", tblPassengerNames[[#This Row],[Name]])</f>
        <v>10</v>
      </c>
      <c r="G158">
        <f>FIND("(", tblPassengerNames[[#This Row],[Name]])</f>
        <v>29</v>
      </c>
      <c r="H158">
        <f>FIND(")", tblPassengerNames[[#This Row],[Name]])</f>
        <v>50</v>
      </c>
      <c r="I158">
        <f>IFERROR(tblPassengerNames[[#This Row],[OpenParPos]] - 2, LEN(tblPassengerNames[[#This Row],[Name]]))</f>
        <v>27</v>
      </c>
      <c r="J158" t="str">
        <f>MID(tblPassengerNames[[#This Row],[Name]], tblPassengerNames[[#This Row],[DotPos]] + 2, tblPassengerNames[[#This Row],[EndOfConvFNPos]] - tblPassengerNames[[#This Row],[DotPos]] - 1)</f>
        <v>Charles Melville</v>
      </c>
      <c r="K158" t="str">
        <f>MID(tblPassengerNames[[#This Row],[Name]], tblPassengerNames[[#This Row],[OpenParPos]] + 1, tblPassengerNames[[#This Row],[CloseParPos]] - tblPassengerNames[[#This Row],[OpenParPos]] - 1)</f>
        <v>Clara Jennings Gregg</v>
      </c>
      <c r="L158" t="str">
        <f>IF(AND(LEFT(tblPassengerNames[[#This Row],[InParentheses]], 1) = "'", RIGHT(tblPassengerNames[[#This Row],[InParentheses]], 1) = "'"),
    #VALUE!,
    tblPassengerNames[[#This Row],[InParentheses]]
)</f>
        <v>Clara Jennings Gregg</v>
      </c>
      <c r="M158">
        <f>LEN(tblPassengerNames[[#This Row],[InParenthesesCleaned]]) - LEN(SUBSTITUTE(tblPassengerNames[[#This Row],[InParenthesesCleaned]], " ", ""))</f>
        <v>2</v>
      </c>
      <c r="N158">
        <f>FIND("@", SUBSTITUTE(tblPassengerNames[[#This Row],[InParenthesesCleaned]], " ", "@", tblPassengerNames[[#This Row],[P_NSpaces]]))</f>
        <v>15</v>
      </c>
      <c r="O158" t="str">
        <f>IF(tblPassengerNames[[#This Row],[P_NSpaces]] = 0,
    tblPassengerNames[[#This Row],[InParenthesesCleaned]],
    LEFT(tblPassengerNames[[#This Row],[InParenthesesCleaned]], tblPassengerNames[[#This Row],[P_FinalSpacePos]] - 1)
)</f>
        <v>Clara Jennings</v>
      </c>
      <c r="P158" t="str">
        <f>IFERROR(tblPassengerNames[[#This Row],[P_Forenames]], tblPassengerNames[[#This Row],[ConvForenames]])</f>
        <v>Clara Jennings</v>
      </c>
      <c r="Q158" t="str">
        <f>MID(tblPassengerNames[[#This Row],[Name]], tblPassengerNames[[#This Row],[CommaPos]] + 2, tblPassengerNames[[#This Row],[DotPos]] - tblPassengerNames[[#This Row],[CommaPos]] - 1)</f>
        <v>Mrs.</v>
      </c>
      <c r="R158" t="str">
        <f>LEFT(tblPassengerNames[[#This Row],[Name]], tblPassengerNames[[#This Row],[CommaPos]] - 1)</f>
        <v>Hays</v>
      </c>
    </row>
    <row r="159" spans="2:18" x14ac:dyDescent="0.25">
      <c r="B159" s="21">
        <v>157</v>
      </c>
      <c r="C159" s="21" t="s">
        <v>293</v>
      </c>
      <c r="D159" s="21" t="s">
        <v>138</v>
      </c>
      <c r="E159">
        <f>FIND(",", tblPassengerNames[[#This Row],[Name]])</f>
        <v>5</v>
      </c>
      <c r="F159">
        <f>FIND(".", tblPassengerNames[[#This Row],[Name]])</f>
        <v>9</v>
      </c>
      <c r="G159" t="e">
        <f>FIND("(", tblPassengerNames[[#This Row],[Name]])</f>
        <v>#VALUE!</v>
      </c>
      <c r="H159" t="e">
        <f>FIND(")", tblPassengerNames[[#This Row],[Name]])</f>
        <v>#VALUE!</v>
      </c>
      <c r="I159">
        <f>IFERROR(tblPassengerNames[[#This Row],[OpenParPos]] - 2, LEN(tblPassengerNames[[#This Row],[Name]]))</f>
        <v>21</v>
      </c>
      <c r="J159" t="str">
        <f>MID(tblPassengerNames[[#This Row],[Name]], tblPassengerNames[[#This Row],[DotPos]] + 2, tblPassengerNames[[#This Row],[EndOfConvFNPos]] - tblPassengerNames[[#This Row],[DotPos]] - 1)</f>
        <v>Christopher</v>
      </c>
      <c r="K159" t="e">
        <f>MID(tblPassengerNames[[#This Row],[Name]], tblPassengerNames[[#This Row],[OpenParPos]] + 1, tblPassengerNames[[#This Row],[CloseParPos]] - tblPassengerNames[[#This Row],[OpenParPos]] - 1)</f>
        <v>#VALUE!</v>
      </c>
      <c r="L159" t="e">
        <f>IF(AND(LEFT(tblPassengerNames[[#This Row],[InParentheses]], 1) = "'", RIGHT(tblPassengerNames[[#This Row],[InParentheses]], 1) = "'"),
    #VALUE!,
    tblPassengerNames[[#This Row],[InParentheses]]
)</f>
        <v>#VALUE!</v>
      </c>
      <c r="M159" t="e">
        <f>LEN(tblPassengerNames[[#This Row],[InParenthesesCleaned]]) - LEN(SUBSTITUTE(tblPassengerNames[[#This Row],[InParenthesesCleaned]], " ", ""))</f>
        <v>#VALUE!</v>
      </c>
      <c r="N159" t="e">
        <f>FIND("@", SUBSTITUTE(tblPassengerNames[[#This Row],[InParenthesesCleaned]], " ", "@", tblPassengerNames[[#This Row],[P_NSpaces]]))</f>
        <v>#VALUE!</v>
      </c>
      <c r="O159" t="e">
        <f>IF(tblPassengerNames[[#This Row],[P_NSpaces]] = 0,
    tblPassengerNames[[#This Row],[InParenthesesCleaned]],
    LEFT(tblPassengerNames[[#This Row],[InParenthesesCleaned]], tblPassengerNames[[#This Row],[P_FinalSpacePos]] - 1)
)</f>
        <v>#VALUE!</v>
      </c>
      <c r="P159" t="str">
        <f>IFERROR(tblPassengerNames[[#This Row],[P_Forenames]], tblPassengerNames[[#This Row],[ConvForenames]])</f>
        <v>Christopher</v>
      </c>
      <c r="Q159" t="str">
        <f>MID(tblPassengerNames[[#This Row],[Name]], tblPassengerNames[[#This Row],[CommaPos]] + 2, tblPassengerNames[[#This Row],[DotPos]] - tblPassengerNames[[#This Row],[CommaPos]] - 1)</f>
        <v>Mr.</v>
      </c>
      <c r="R159" t="str">
        <f>LEFT(tblPassengerNames[[#This Row],[Name]], tblPassengerNames[[#This Row],[CommaPos]] - 1)</f>
        <v>Head</v>
      </c>
    </row>
    <row r="160" spans="2:18" x14ac:dyDescent="0.25">
      <c r="B160" s="21">
        <v>158</v>
      </c>
      <c r="C160" s="21" t="s">
        <v>294</v>
      </c>
      <c r="D160" s="21" t="s">
        <v>138</v>
      </c>
      <c r="E160">
        <f>FIND(",", tblPassengerNames[[#This Row],[Name]])</f>
        <v>9</v>
      </c>
      <c r="F160">
        <f>FIND(".", tblPassengerNames[[#This Row],[Name]])</f>
        <v>13</v>
      </c>
      <c r="G160" t="e">
        <f>FIND("(", tblPassengerNames[[#This Row],[Name]])</f>
        <v>#VALUE!</v>
      </c>
      <c r="H160" t="e">
        <f>FIND(")", tblPassengerNames[[#This Row],[Name]])</f>
        <v>#VALUE!</v>
      </c>
      <c r="I160">
        <f>IFERROR(tblPassengerNames[[#This Row],[OpenParPos]] - 2, LEN(tblPassengerNames[[#This Row],[Name]]))</f>
        <v>27</v>
      </c>
      <c r="J160" t="str">
        <f>MID(tblPassengerNames[[#This Row],[Name]], tblPassengerNames[[#This Row],[DotPos]] + 2, tblPassengerNames[[#This Row],[EndOfConvFNPos]] - tblPassengerNames[[#This Row],[DotPos]] - 1)</f>
        <v>Herbert Henry</v>
      </c>
      <c r="K160" t="e">
        <f>MID(tblPassengerNames[[#This Row],[Name]], tblPassengerNames[[#This Row],[OpenParPos]] + 1, tblPassengerNames[[#This Row],[CloseParPos]] - tblPassengerNames[[#This Row],[OpenParPos]] - 1)</f>
        <v>#VALUE!</v>
      </c>
      <c r="L160" t="e">
        <f>IF(AND(LEFT(tblPassengerNames[[#This Row],[InParentheses]], 1) = "'", RIGHT(tblPassengerNames[[#This Row],[InParentheses]], 1) = "'"),
    #VALUE!,
    tblPassengerNames[[#This Row],[InParentheses]]
)</f>
        <v>#VALUE!</v>
      </c>
      <c r="M160" t="e">
        <f>LEN(tblPassengerNames[[#This Row],[InParenthesesCleaned]]) - LEN(SUBSTITUTE(tblPassengerNames[[#This Row],[InParenthesesCleaned]], " ", ""))</f>
        <v>#VALUE!</v>
      </c>
      <c r="N160" t="e">
        <f>FIND("@", SUBSTITUTE(tblPassengerNames[[#This Row],[InParenthesesCleaned]], " ", "@", tblPassengerNames[[#This Row],[P_NSpaces]]))</f>
        <v>#VALUE!</v>
      </c>
      <c r="O160" t="e">
        <f>IF(tblPassengerNames[[#This Row],[P_NSpaces]] = 0,
    tblPassengerNames[[#This Row],[InParenthesesCleaned]],
    LEFT(tblPassengerNames[[#This Row],[InParenthesesCleaned]], tblPassengerNames[[#This Row],[P_FinalSpacePos]] - 1)
)</f>
        <v>#VALUE!</v>
      </c>
      <c r="P160" t="str">
        <f>IFERROR(tblPassengerNames[[#This Row],[P_Forenames]], tblPassengerNames[[#This Row],[ConvForenames]])</f>
        <v>Herbert Henry</v>
      </c>
      <c r="Q160" t="str">
        <f>MID(tblPassengerNames[[#This Row],[Name]], tblPassengerNames[[#This Row],[CommaPos]] + 2, tblPassengerNames[[#This Row],[DotPos]] - tblPassengerNames[[#This Row],[CommaPos]] - 1)</f>
        <v>Mr.</v>
      </c>
      <c r="R160" t="str">
        <f>LEFT(tblPassengerNames[[#This Row],[Name]], tblPassengerNames[[#This Row],[CommaPos]] - 1)</f>
        <v>Hilliard</v>
      </c>
    </row>
    <row r="161" spans="2:18" x14ac:dyDescent="0.25">
      <c r="B161" s="21">
        <v>159</v>
      </c>
      <c r="C161" s="21" t="s">
        <v>295</v>
      </c>
      <c r="D161" s="21" t="s">
        <v>138</v>
      </c>
      <c r="E161">
        <f>FIND(",", tblPassengerNames[[#This Row],[Name]])</f>
        <v>8</v>
      </c>
      <c r="F161">
        <f>FIND(".", tblPassengerNames[[#This Row],[Name]])</f>
        <v>12</v>
      </c>
      <c r="G161" t="e">
        <f>FIND("(", tblPassengerNames[[#This Row],[Name]])</f>
        <v>#VALUE!</v>
      </c>
      <c r="H161" t="e">
        <f>FIND(")", tblPassengerNames[[#This Row],[Name]])</f>
        <v>#VALUE!</v>
      </c>
      <c r="I161">
        <f>IFERROR(tblPassengerNames[[#This Row],[OpenParPos]] - 2, LEN(tblPassengerNames[[#This Row],[Name]]))</f>
        <v>27</v>
      </c>
      <c r="J161" t="str">
        <f>MID(tblPassengerNames[[#This Row],[Name]], tblPassengerNames[[#This Row],[DotPos]] + 2, tblPassengerNames[[#This Row],[EndOfConvFNPos]] - tblPassengerNames[[#This Row],[DotPos]] - 1)</f>
        <v>William Edward</v>
      </c>
      <c r="K161" t="e">
        <f>MID(tblPassengerNames[[#This Row],[Name]], tblPassengerNames[[#This Row],[OpenParPos]] + 1, tblPassengerNames[[#This Row],[CloseParPos]] - tblPassengerNames[[#This Row],[OpenParPos]] - 1)</f>
        <v>#VALUE!</v>
      </c>
      <c r="L161" t="e">
        <f>IF(AND(LEFT(tblPassengerNames[[#This Row],[InParentheses]], 1) = "'", RIGHT(tblPassengerNames[[#This Row],[InParentheses]], 1) = "'"),
    #VALUE!,
    tblPassengerNames[[#This Row],[InParentheses]]
)</f>
        <v>#VALUE!</v>
      </c>
      <c r="M161" t="e">
        <f>LEN(tblPassengerNames[[#This Row],[InParenthesesCleaned]]) - LEN(SUBSTITUTE(tblPassengerNames[[#This Row],[InParenthesesCleaned]], " ", ""))</f>
        <v>#VALUE!</v>
      </c>
      <c r="N161" t="e">
        <f>FIND("@", SUBSTITUTE(tblPassengerNames[[#This Row],[InParenthesesCleaned]], " ", "@", tblPassengerNames[[#This Row],[P_NSpaces]]))</f>
        <v>#VALUE!</v>
      </c>
      <c r="O161" t="e">
        <f>IF(tblPassengerNames[[#This Row],[P_NSpaces]] = 0,
    tblPassengerNames[[#This Row],[InParenthesesCleaned]],
    LEFT(tblPassengerNames[[#This Row],[InParenthesesCleaned]], tblPassengerNames[[#This Row],[P_FinalSpacePos]] - 1)
)</f>
        <v>#VALUE!</v>
      </c>
      <c r="P161" t="str">
        <f>IFERROR(tblPassengerNames[[#This Row],[P_Forenames]], tblPassengerNames[[#This Row],[ConvForenames]])</f>
        <v>William Edward</v>
      </c>
      <c r="Q161" t="str">
        <f>MID(tblPassengerNames[[#This Row],[Name]], tblPassengerNames[[#This Row],[CommaPos]] + 2, tblPassengerNames[[#This Row],[DotPos]] - tblPassengerNames[[#This Row],[CommaPos]] - 1)</f>
        <v>Mr.</v>
      </c>
      <c r="R161" t="str">
        <f>LEFT(tblPassengerNames[[#This Row],[Name]], tblPassengerNames[[#This Row],[CommaPos]] - 1)</f>
        <v>Hipkins</v>
      </c>
    </row>
    <row r="162" spans="2:18" x14ac:dyDescent="0.25">
      <c r="B162" s="21">
        <v>160</v>
      </c>
      <c r="C162" s="21" t="s">
        <v>296</v>
      </c>
      <c r="D162" s="21" t="s">
        <v>136</v>
      </c>
      <c r="E162">
        <f>FIND(",", tblPassengerNames[[#This Row],[Name]])</f>
        <v>8</v>
      </c>
      <c r="F162">
        <f>FIND(".", tblPassengerNames[[#This Row],[Name]])</f>
        <v>14</v>
      </c>
      <c r="G162" t="e">
        <f>FIND("(", tblPassengerNames[[#This Row],[Name]])</f>
        <v>#VALUE!</v>
      </c>
      <c r="H162" t="e">
        <f>FIND(")", tblPassengerNames[[#This Row],[Name]])</f>
        <v>#VALUE!</v>
      </c>
      <c r="I162">
        <f>IFERROR(tblPassengerNames[[#This Row],[OpenParPos]] - 2, LEN(tblPassengerNames[[#This Row],[Name]]))</f>
        <v>28</v>
      </c>
      <c r="J162" t="str">
        <f>MID(tblPassengerNames[[#This Row],[Name]], tblPassengerNames[[#This Row],[DotPos]] + 2, tblPassengerNames[[#This Row],[EndOfConvFNPos]] - tblPassengerNames[[#This Row],[DotPos]] - 1)</f>
        <v>Jean Gertrude</v>
      </c>
      <c r="K162" t="e">
        <f>MID(tblPassengerNames[[#This Row],[Name]], tblPassengerNames[[#This Row],[OpenParPos]] + 1, tblPassengerNames[[#This Row],[CloseParPos]] - tblPassengerNames[[#This Row],[OpenParPos]] - 1)</f>
        <v>#VALUE!</v>
      </c>
      <c r="L162" t="e">
        <f>IF(AND(LEFT(tblPassengerNames[[#This Row],[InParentheses]], 1) = "'", RIGHT(tblPassengerNames[[#This Row],[InParentheses]], 1) = "'"),
    #VALUE!,
    tblPassengerNames[[#This Row],[InParentheses]]
)</f>
        <v>#VALUE!</v>
      </c>
      <c r="M162" t="e">
        <f>LEN(tblPassengerNames[[#This Row],[InParenthesesCleaned]]) - LEN(SUBSTITUTE(tblPassengerNames[[#This Row],[InParenthesesCleaned]], " ", ""))</f>
        <v>#VALUE!</v>
      </c>
      <c r="N162" t="e">
        <f>FIND("@", SUBSTITUTE(tblPassengerNames[[#This Row],[InParenthesesCleaned]], " ", "@", tblPassengerNames[[#This Row],[P_NSpaces]]))</f>
        <v>#VALUE!</v>
      </c>
      <c r="O162" t="e">
        <f>IF(tblPassengerNames[[#This Row],[P_NSpaces]] = 0,
    tblPassengerNames[[#This Row],[InParenthesesCleaned]],
    LEFT(tblPassengerNames[[#This Row],[InParenthesesCleaned]], tblPassengerNames[[#This Row],[P_FinalSpacePos]] - 1)
)</f>
        <v>#VALUE!</v>
      </c>
      <c r="P162" t="str">
        <f>IFERROR(tblPassengerNames[[#This Row],[P_Forenames]], tblPassengerNames[[#This Row],[ConvForenames]])</f>
        <v>Jean Gertrude</v>
      </c>
      <c r="Q162" t="str">
        <f>MID(tblPassengerNames[[#This Row],[Name]], tblPassengerNames[[#This Row],[CommaPos]] + 2, tblPassengerNames[[#This Row],[DotPos]] - tblPassengerNames[[#This Row],[CommaPos]] - 1)</f>
        <v>Miss.</v>
      </c>
      <c r="R162" t="str">
        <f>LEFT(tblPassengerNames[[#This Row],[Name]], tblPassengerNames[[#This Row],[CommaPos]] - 1)</f>
        <v>Hippach</v>
      </c>
    </row>
    <row r="163" spans="2:18" x14ac:dyDescent="0.25">
      <c r="B163" s="21">
        <v>161</v>
      </c>
      <c r="C163" s="21" t="s">
        <v>297</v>
      </c>
      <c r="D163" s="21" t="s">
        <v>136</v>
      </c>
      <c r="E163">
        <f>FIND(",", tblPassengerNames[[#This Row],[Name]])</f>
        <v>8</v>
      </c>
      <c r="F163">
        <f>FIND(".", tblPassengerNames[[#This Row],[Name]])</f>
        <v>13</v>
      </c>
      <c r="G163">
        <f>FIND("(", tblPassengerNames[[#This Row],[Name]])</f>
        <v>28</v>
      </c>
      <c r="H163">
        <f>FIND(")", tblPassengerNames[[#This Row],[Name]])</f>
        <v>47</v>
      </c>
      <c r="I163">
        <f>IFERROR(tblPassengerNames[[#This Row],[OpenParPos]] - 2, LEN(tblPassengerNames[[#This Row],[Name]]))</f>
        <v>26</v>
      </c>
      <c r="J163" t="str">
        <f>MID(tblPassengerNames[[#This Row],[Name]], tblPassengerNames[[#This Row],[DotPos]] + 2, tblPassengerNames[[#This Row],[EndOfConvFNPos]] - tblPassengerNames[[#This Row],[DotPos]] - 1)</f>
        <v>Louis Albert</v>
      </c>
      <c r="K163" t="str">
        <f>MID(tblPassengerNames[[#This Row],[Name]], tblPassengerNames[[#This Row],[OpenParPos]] + 1, tblPassengerNames[[#This Row],[CloseParPos]] - tblPassengerNames[[#This Row],[OpenParPos]] - 1)</f>
        <v>Ida Sophia Fischer</v>
      </c>
      <c r="L163" t="str">
        <f>IF(AND(LEFT(tblPassengerNames[[#This Row],[InParentheses]], 1) = "'", RIGHT(tblPassengerNames[[#This Row],[InParentheses]], 1) = "'"),
    #VALUE!,
    tblPassengerNames[[#This Row],[InParentheses]]
)</f>
        <v>Ida Sophia Fischer</v>
      </c>
      <c r="M163">
        <f>LEN(tblPassengerNames[[#This Row],[InParenthesesCleaned]]) - LEN(SUBSTITUTE(tblPassengerNames[[#This Row],[InParenthesesCleaned]], " ", ""))</f>
        <v>2</v>
      </c>
      <c r="N163">
        <f>FIND("@", SUBSTITUTE(tblPassengerNames[[#This Row],[InParenthesesCleaned]], " ", "@", tblPassengerNames[[#This Row],[P_NSpaces]]))</f>
        <v>11</v>
      </c>
      <c r="O163" t="str">
        <f>IF(tblPassengerNames[[#This Row],[P_NSpaces]] = 0,
    tblPassengerNames[[#This Row],[InParenthesesCleaned]],
    LEFT(tblPassengerNames[[#This Row],[InParenthesesCleaned]], tblPassengerNames[[#This Row],[P_FinalSpacePos]] - 1)
)</f>
        <v>Ida Sophia</v>
      </c>
      <c r="P163" t="str">
        <f>IFERROR(tblPassengerNames[[#This Row],[P_Forenames]], tblPassengerNames[[#This Row],[ConvForenames]])</f>
        <v>Ida Sophia</v>
      </c>
      <c r="Q163" t="str">
        <f>MID(tblPassengerNames[[#This Row],[Name]], tblPassengerNames[[#This Row],[CommaPos]] + 2, tblPassengerNames[[#This Row],[DotPos]] - tblPassengerNames[[#This Row],[CommaPos]] - 1)</f>
        <v>Mrs.</v>
      </c>
      <c r="R163" t="str">
        <f>LEFT(tblPassengerNames[[#This Row],[Name]], tblPassengerNames[[#This Row],[CommaPos]] - 1)</f>
        <v>Hippach</v>
      </c>
    </row>
    <row r="164" spans="2:18" x14ac:dyDescent="0.25">
      <c r="B164" s="21">
        <v>162</v>
      </c>
      <c r="C164" s="21" t="s">
        <v>298</v>
      </c>
      <c r="D164" s="21" t="s">
        <v>136</v>
      </c>
      <c r="E164">
        <f>FIND(",", tblPassengerNames[[#This Row],[Name]])</f>
        <v>9</v>
      </c>
      <c r="F164">
        <f>FIND(".", tblPassengerNames[[#This Row],[Name]])</f>
        <v>14</v>
      </c>
      <c r="G164">
        <f>FIND("(", tblPassengerNames[[#This Row],[Name]])</f>
        <v>23</v>
      </c>
      <c r="H164">
        <f>FIND(")", tblPassengerNames[[#This Row],[Name]])</f>
        <v>36</v>
      </c>
      <c r="I164">
        <f>IFERROR(tblPassengerNames[[#This Row],[OpenParPos]] - 2, LEN(tblPassengerNames[[#This Row],[Name]]))</f>
        <v>21</v>
      </c>
      <c r="J164" t="str">
        <f>MID(tblPassengerNames[[#This Row],[Name]], tblPassengerNames[[#This Row],[DotPos]] + 2, tblPassengerNames[[#This Row],[EndOfConvFNPos]] - tblPassengerNames[[#This Row],[DotPos]] - 1)</f>
        <v>John C</v>
      </c>
      <c r="K164" t="str">
        <f>MID(tblPassengerNames[[#This Row],[Name]], tblPassengerNames[[#This Row],[OpenParPos]] + 1, tblPassengerNames[[#This Row],[CloseParPos]] - tblPassengerNames[[#This Row],[OpenParPos]] - 1)</f>
        <v>Anna Andrews</v>
      </c>
      <c r="L164" t="str">
        <f>IF(AND(LEFT(tblPassengerNames[[#This Row],[InParentheses]], 1) = "'", RIGHT(tblPassengerNames[[#This Row],[InParentheses]], 1) = "'"),
    #VALUE!,
    tblPassengerNames[[#This Row],[InParentheses]]
)</f>
        <v>Anna Andrews</v>
      </c>
      <c r="M164">
        <f>LEN(tblPassengerNames[[#This Row],[InParenthesesCleaned]]) - LEN(SUBSTITUTE(tblPassengerNames[[#This Row],[InParenthesesCleaned]], " ", ""))</f>
        <v>1</v>
      </c>
      <c r="N164">
        <f>FIND("@", SUBSTITUTE(tblPassengerNames[[#This Row],[InParenthesesCleaned]], " ", "@", tblPassengerNames[[#This Row],[P_NSpaces]]))</f>
        <v>5</v>
      </c>
      <c r="O164" t="str">
        <f>IF(tblPassengerNames[[#This Row],[P_NSpaces]] = 0,
    tblPassengerNames[[#This Row],[InParenthesesCleaned]],
    LEFT(tblPassengerNames[[#This Row],[InParenthesesCleaned]], tblPassengerNames[[#This Row],[P_FinalSpacePos]] - 1)
)</f>
        <v>Anna</v>
      </c>
      <c r="P164" t="str">
        <f>IFERROR(tblPassengerNames[[#This Row],[P_Forenames]], tblPassengerNames[[#This Row],[ConvForenames]])</f>
        <v>Anna</v>
      </c>
      <c r="Q164" t="str">
        <f>MID(tblPassengerNames[[#This Row],[Name]], tblPassengerNames[[#This Row],[CommaPos]] + 2, tblPassengerNames[[#This Row],[DotPos]] - tblPassengerNames[[#This Row],[CommaPos]] - 1)</f>
        <v>Mrs.</v>
      </c>
      <c r="R164" t="str">
        <f>LEFT(tblPassengerNames[[#This Row],[Name]], tblPassengerNames[[#This Row],[CommaPos]] - 1)</f>
        <v>Hogeboom</v>
      </c>
    </row>
    <row r="165" spans="2:18" x14ac:dyDescent="0.25">
      <c r="B165" s="21">
        <v>163</v>
      </c>
      <c r="C165" s="21" t="s">
        <v>299</v>
      </c>
      <c r="D165" s="21" t="s">
        <v>138</v>
      </c>
      <c r="E165">
        <f>FIND(",", tblPassengerNames[[#This Row],[Name]])</f>
        <v>10</v>
      </c>
      <c r="F165">
        <f>FIND(".", tblPassengerNames[[#This Row],[Name]])</f>
        <v>14</v>
      </c>
      <c r="G165" t="e">
        <f>FIND("(", tblPassengerNames[[#This Row],[Name]])</f>
        <v>#VALUE!</v>
      </c>
      <c r="H165" t="e">
        <f>FIND(")", tblPassengerNames[[#This Row],[Name]])</f>
        <v>#VALUE!</v>
      </c>
      <c r="I165">
        <f>IFERROR(tblPassengerNames[[#This Row],[OpenParPos]] - 2, LEN(tblPassengerNames[[#This Row],[Name]]))</f>
        <v>30</v>
      </c>
      <c r="J165" t="str">
        <f>MID(tblPassengerNames[[#This Row],[Name]], tblPassengerNames[[#This Row],[DotPos]] + 2, tblPassengerNames[[#This Row],[EndOfConvFNPos]] - tblPassengerNames[[#This Row],[DotPos]] - 1)</f>
        <v>Alexander Oskar</v>
      </c>
      <c r="K165" t="e">
        <f>MID(tblPassengerNames[[#This Row],[Name]], tblPassengerNames[[#This Row],[OpenParPos]] + 1, tblPassengerNames[[#This Row],[CloseParPos]] - tblPassengerNames[[#This Row],[OpenParPos]] - 1)</f>
        <v>#VALUE!</v>
      </c>
      <c r="L165" t="e">
        <f>IF(AND(LEFT(tblPassengerNames[[#This Row],[InParentheses]], 1) = "'", RIGHT(tblPassengerNames[[#This Row],[InParentheses]], 1) = "'"),
    #VALUE!,
    tblPassengerNames[[#This Row],[InParentheses]]
)</f>
        <v>#VALUE!</v>
      </c>
      <c r="M165" t="e">
        <f>LEN(tblPassengerNames[[#This Row],[InParenthesesCleaned]]) - LEN(SUBSTITUTE(tblPassengerNames[[#This Row],[InParenthesesCleaned]], " ", ""))</f>
        <v>#VALUE!</v>
      </c>
      <c r="N165" t="e">
        <f>FIND("@", SUBSTITUTE(tblPassengerNames[[#This Row],[InParenthesesCleaned]], " ", "@", tblPassengerNames[[#This Row],[P_NSpaces]]))</f>
        <v>#VALUE!</v>
      </c>
      <c r="O165" t="e">
        <f>IF(tblPassengerNames[[#This Row],[P_NSpaces]] = 0,
    tblPassengerNames[[#This Row],[InParenthesesCleaned]],
    LEFT(tblPassengerNames[[#This Row],[InParenthesesCleaned]], tblPassengerNames[[#This Row],[P_FinalSpacePos]] - 1)
)</f>
        <v>#VALUE!</v>
      </c>
      <c r="P165" t="str">
        <f>IFERROR(tblPassengerNames[[#This Row],[P_Forenames]], tblPassengerNames[[#This Row],[ConvForenames]])</f>
        <v>Alexander Oskar</v>
      </c>
      <c r="Q165" t="str">
        <f>MID(tblPassengerNames[[#This Row],[Name]], tblPassengerNames[[#This Row],[CommaPos]] + 2, tblPassengerNames[[#This Row],[DotPos]] - tblPassengerNames[[#This Row],[CommaPos]] - 1)</f>
        <v>Mr.</v>
      </c>
      <c r="R165" t="str">
        <f>LEFT(tblPassengerNames[[#This Row],[Name]], tblPassengerNames[[#This Row],[CommaPos]] - 1)</f>
        <v>Holverson</v>
      </c>
    </row>
    <row r="166" spans="2:18" x14ac:dyDescent="0.25">
      <c r="B166" s="21">
        <v>164</v>
      </c>
      <c r="C166" s="21" t="s">
        <v>300</v>
      </c>
      <c r="D166" s="21" t="s">
        <v>136</v>
      </c>
      <c r="E166">
        <f>FIND(",", tblPassengerNames[[#This Row],[Name]])</f>
        <v>10</v>
      </c>
      <c r="F166">
        <f>FIND(".", tblPassengerNames[[#This Row],[Name]])</f>
        <v>15</v>
      </c>
      <c r="G166">
        <f>FIND("(", tblPassengerNames[[#This Row],[Name]])</f>
        <v>33</v>
      </c>
      <c r="H166">
        <f>FIND(")", tblPassengerNames[[#This Row],[Name]])</f>
        <v>51</v>
      </c>
      <c r="I166">
        <f>IFERROR(tblPassengerNames[[#This Row],[OpenParPos]] - 2, LEN(tblPassengerNames[[#This Row],[Name]]))</f>
        <v>31</v>
      </c>
      <c r="J166" t="str">
        <f>MID(tblPassengerNames[[#This Row],[Name]], tblPassengerNames[[#This Row],[DotPos]] + 2, tblPassengerNames[[#This Row],[EndOfConvFNPos]] - tblPassengerNames[[#This Row],[DotPos]] - 1)</f>
        <v>Alexander Oskar</v>
      </c>
      <c r="K166" t="str">
        <f>MID(tblPassengerNames[[#This Row],[Name]], tblPassengerNames[[#This Row],[OpenParPos]] + 1, tblPassengerNames[[#This Row],[CloseParPos]] - tblPassengerNames[[#This Row],[OpenParPos]] - 1)</f>
        <v>Mary Aline Towner</v>
      </c>
      <c r="L166" t="str">
        <f>IF(AND(LEFT(tblPassengerNames[[#This Row],[InParentheses]], 1) = "'", RIGHT(tblPassengerNames[[#This Row],[InParentheses]], 1) = "'"),
    #VALUE!,
    tblPassengerNames[[#This Row],[InParentheses]]
)</f>
        <v>Mary Aline Towner</v>
      </c>
      <c r="M166">
        <f>LEN(tblPassengerNames[[#This Row],[InParenthesesCleaned]]) - LEN(SUBSTITUTE(tblPassengerNames[[#This Row],[InParenthesesCleaned]], " ", ""))</f>
        <v>2</v>
      </c>
      <c r="N166">
        <f>FIND("@", SUBSTITUTE(tblPassengerNames[[#This Row],[InParenthesesCleaned]], " ", "@", tblPassengerNames[[#This Row],[P_NSpaces]]))</f>
        <v>11</v>
      </c>
      <c r="O166" t="str">
        <f>IF(tblPassengerNames[[#This Row],[P_NSpaces]] = 0,
    tblPassengerNames[[#This Row],[InParenthesesCleaned]],
    LEFT(tblPassengerNames[[#This Row],[InParenthesesCleaned]], tblPassengerNames[[#This Row],[P_FinalSpacePos]] - 1)
)</f>
        <v>Mary Aline</v>
      </c>
      <c r="P166" t="str">
        <f>IFERROR(tblPassengerNames[[#This Row],[P_Forenames]], tblPassengerNames[[#This Row],[ConvForenames]])</f>
        <v>Mary Aline</v>
      </c>
      <c r="Q166" t="str">
        <f>MID(tblPassengerNames[[#This Row],[Name]], tblPassengerNames[[#This Row],[CommaPos]] + 2, tblPassengerNames[[#This Row],[DotPos]] - tblPassengerNames[[#This Row],[CommaPos]] - 1)</f>
        <v>Mrs.</v>
      </c>
      <c r="R166" t="str">
        <f>LEFT(tblPassengerNames[[#This Row],[Name]], tblPassengerNames[[#This Row],[CommaPos]] - 1)</f>
        <v>Holverson</v>
      </c>
    </row>
    <row r="167" spans="2:18" x14ac:dyDescent="0.25">
      <c r="B167" s="21">
        <v>165</v>
      </c>
      <c r="C167" s="21" t="s">
        <v>301</v>
      </c>
      <c r="D167" s="21" t="s">
        <v>138</v>
      </c>
      <c r="E167">
        <f>FIND(",", tblPassengerNames[[#This Row],[Name]])</f>
        <v>6</v>
      </c>
      <c r="F167">
        <f>FIND(".", tblPassengerNames[[#This Row],[Name]])</f>
        <v>10</v>
      </c>
      <c r="G167">
        <f>FIND("(", tblPassengerNames[[#This Row],[Name]])</f>
        <v>18</v>
      </c>
      <c r="H167">
        <f>FIND(")", tblPassengerNames[[#This Row],[Name]])</f>
        <v>31</v>
      </c>
      <c r="I167">
        <f>IFERROR(tblPassengerNames[[#This Row],[OpenParPos]] - 2, LEN(tblPassengerNames[[#This Row],[Name]]))</f>
        <v>16</v>
      </c>
      <c r="J167" t="str">
        <f>MID(tblPassengerNames[[#This Row],[Name]], tblPassengerNames[[#This Row],[DotPos]] + 2, tblPassengerNames[[#This Row],[EndOfConvFNPos]] - tblPassengerNames[[#This Row],[DotPos]] - 1)</f>
        <v>Harry</v>
      </c>
      <c r="K167" t="str">
        <f>MID(tblPassengerNames[[#This Row],[Name]], tblPassengerNames[[#This Row],[OpenParPos]] + 1, tblPassengerNames[[#This Row],[CloseParPos]] - tblPassengerNames[[#This Row],[OpenParPos]] - 1)</f>
        <v>'Mr E Haven'</v>
      </c>
      <c r="L167" t="e">
        <f>IF(AND(LEFT(tblPassengerNames[[#This Row],[InParentheses]], 1) = "'", RIGHT(tblPassengerNames[[#This Row],[InParentheses]], 1) = "'"),
    #VALUE!,
    tblPassengerNames[[#This Row],[InParentheses]]
)</f>
        <v>#VALUE!</v>
      </c>
      <c r="M167" t="e">
        <f>LEN(tblPassengerNames[[#This Row],[InParenthesesCleaned]]) - LEN(SUBSTITUTE(tblPassengerNames[[#This Row],[InParenthesesCleaned]], " ", ""))</f>
        <v>#VALUE!</v>
      </c>
      <c r="N167" t="e">
        <f>FIND("@", SUBSTITUTE(tblPassengerNames[[#This Row],[InParenthesesCleaned]], " ", "@", tblPassengerNames[[#This Row],[P_NSpaces]]))</f>
        <v>#VALUE!</v>
      </c>
      <c r="O167" t="e">
        <f>IF(tblPassengerNames[[#This Row],[P_NSpaces]] = 0,
    tblPassengerNames[[#This Row],[InParenthesesCleaned]],
    LEFT(tblPassengerNames[[#This Row],[InParenthesesCleaned]], tblPassengerNames[[#This Row],[P_FinalSpacePos]] - 1)
)</f>
        <v>#VALUE!</v>
      </c>
      <c r="P167" t="str">
        <f>IFERROR(tblPassengerNames[[#This Row],[P_Forenames]], tblPassengerNames[[#This Row],[ConvForenames]])</f>
        <v>Harry</v>
      </c>
      <c r="Q167" t="str">
        <f>MID(tblPassengerNames[[#This Row],[Name]], tblPassengerNames[[#This Row],[CommaPos]] + 2, tblPassengerNames[[#This Row],[DotPos]] - tblPassengerNames[[#This Row],[CommaPos]] - 1)</f>
        <v>Mr.</v>
      </c>
      <c r="R167" t="str">
        <f>LEFT(tblPassengerNames[[#This Row],[Name]], tblPassengerNames[[#This Row],[CommaPos]] - 1)</f>
        <v>Homer</v>
      </c>
    </row>
    <row r="168" spans="2:18" x14ac:dyDescent="0.25">
      <c r="B168" s="21">
        <v>166</v>
      </c>
      <c r="C168" s="21" t="s">
        <v>302</v>
      </c>
      <c r="D168" s="21" t="s">
        <v>138</v>
      </c>
      <c r="E168">
        <f>FIND(",", tblPassengerNames[[#This Row],[Name]])</f>
        <v>5</v>
      </c>
      <c r="F168">
        <f>FIND(".", tblPassengerNames[[#This Row],[Name]])</f>
        <v>9</v>
      </c>
      <c r="G168" t="e">
        <f>FIND("(", tblPassengerNames[[#This Row],[Name]])</f>
        <v>#VALUE!</v>
      </c>
      <c r="H168" t="e">
        <f>FIND(")", tblPassengerNames[[#This Row],[Name]])</f>
        <v>#VALUE!</v>
      </c>
      <c r="I168">
        <f>IFERROR(tblPassengerNames[[#This Row],[OpenParPos]] - 2, LEN(tblPassengerNames[[#This Row],[Name]]))</f>
        <v>28</v>
      </c>
      <c r="J168" t="str">
        <f>MID(tblPassengerNames[[#This Row],[Name]], tblPassengerNames[[#This Row],[DotPos]] + 2, tblPassengerNames[[#This Row],[EndOfConvFNPos]] - tblPassengerNames[[#This Row],[DotPos]] - 1)</f>
        <v>Frederick Maxfield</v>
      </c>
      <c r="K168" t="e">
        <f>MID(tblPassengerNames[[#This Row],[Name]], tblPassengerNames[[#This Row],[OpenParPos]] + 1, tblPassengerNames[[#This Row],[CloseParPos]] - tblPassengerNames[[#This Row],[OpenParPos]] - 1)</f>
        <v>#VALUE!</v>
      </c>
      <c r="L168" t="e">
        <f>IF(AND(LEFT(tblPassengerNames[[#This Row],[InParentheses]], 1) = "'", RIGHT(tblPassengerNames[[#This Row],[InParentheses]], 1) = "'"),
    #VALUE!,
    tblPassengerNames[[#This Row],[InParentheses]]
)</f>
        <v>#VALUE!</v>
      </c>
      <c r="M168" t="e">
        <f>LEN(tblPassengerNames[[#This Row],[InParenthesesCleaned]]) - LEN(SUBSTITUTE(tblPassengerNames[[#This Row],[InParenthesesCleaned]], " ", ""))</f>
        <v>#VALUE!</v>
      </c>
      <c r="N168" t="e">
        <f>FIND("@", SUBSTITUTE(tblPassengerNames[[#This Row],[InParenthesesCleaned]], " ", "@", tblPassengerNames[[#This Row],[P_NSpaces]]))</f>
        <v>#VALUE!</v>
      </c>
      <c r="O168" t="e">
        <f>IF(tblPassengerNames[[#This Row],[P_NSpaces]] = 0,
    tblPassengerNames[[#This Row],[InParenthesesCleaned]],
    LEFT(tblPassengerNames[[#This Row],[InParenthesesCleaned]], tblPassengerNames[[#This Row],[P_FinalSpacePos]] - 1)
)</f>
        <v>#VALUE!</v>
      </c>
      <c r="P168" t="str">
        <f>IFERROR(tblPassengerNames[[#This Row],[P_Forenames]], tblPassengerNames[[#This Row],[ConvForenames]])</f>
        <v>Frederick Maxfield</v>
      </c>
      <c r="Q168" t="str">
        <f>MID(tblPassengerNames[[#This Row],[Name]], tblPassengerNames[[#This Row],[CommaPos]] + 2, tblPassengerNames[[#This Row],[DotPos]] - tblPassengerNames[[#This Row],[CommaPos]] - 1)</f>
        <v>Mr.</v>
      </c>
      <c r="R168" t="str">
        <f>LEFT(tblPassengerNames[[#This Row],[Name]], tblPassengerNames[[#This Row],[CommaPos]] - 1)</f>
        <v>Hoyt</v>
      </c>
    </row>
    <row r="169" spans="2:18" x14ac:dyDescent="0.25">
      <c r="B169" s="21">
        <v>167</v>
      </c>
      <c r="C169" s="21" t="s">
        <v>303</v>
      </c>
      <c r="D169" s="21" t="s">
        <v>138</v>
      </c>
      <c r="E169">
        <f>FIND(",", tblPassengerNames[[#This Row],[Name]])</f>
        <v>5</v>
      </c>
      <c r="F169">
        <f>FIND(".", tblPassengerNames[[#This Row],[Name]])</f>
        <v>9</v>
      </c>
      <c r="G169" t="e">
        <f>FIND("(", tblPassengerNames[[#This Row],[Name]])</f>
        <v>#VALUE!</v>
      </c>
      <c r="H169" t="e">
        <f>FIND(")", tblPassengerNames[[#This Row],[Name]])</f>
        <v>#VALUE!</v>
      </c>
      <c r="I169">
        <f>IFERROR(tblPassengerNames[[#This Row],[OpenParPos]] - 2, LEN(tblPassengerNames[[#This Row],[Name]]))</f>
        <v>24</v>
      </c>
      <c r="J169" t="str">
        <f>MID(tblPassengerNames[[#This Row],[Name]], tblPassengerNames[[#This Row],[DotPos]] + 2, tblPassengerNames[[#This Row],[EndOfConvFNPos]] - tblPassengerNames[[#This Row],[DotPos]] - 1)</f>
        <v>William Fisher</v>
      </c>
      <c r="K169" t="e">
        <f>MID(tblPassengerNames[[#This Row],[Name]], tblPassengerNames[[#This Row],[OpenParPos]] + 1, tblPassengerNames[[#This Row],[CloseParPos]] - tblPassengerNames[[#This Row],[OpenParPos]] - 1)</f>
        <v>#VALUE!</v>
      </c>
      <c r="L169" t="e">
        <f>IF(AND(LEFT(tblPassengerNames[[#This Row],[InParentheses]], 1) = "'", RIGHT(tblPassengerNames[[#This Row],[InParentheses]], 1) = "'"),
    #VALUE!,
    tblPassengerNames[[#This Row],[InParentheses]]
)</f>
        <v>#VALUE!</v>
      </c>
      <c r="M169" t="e">
        <f>LEN(tblPassengerNames[[#This Row],[InParenthesesCleaned]]) - LEN(SUBSTITUTE(tblPassengerNames[[#This Row],[InParenthesesCleaned]], " ", ""))</f>
        <v>#VALUE!</v>
      </c>
      <c r="N169" t="e">
        <f>FIND("@", SUBSTITUTE(tblPassengerNames[[#This Row],[InParenthesesCleaned]], " ", "@", tblPassengerNames[[#This Row],[P_NSpaces]]))</f>
        <v>#VALUE!</v>
      </c>
      <c r="O169" t="e">
        <f>IF(tblPassengerNames[[#This Row],[P_NSpaces]] = 0,
    tblPassengerNames[[#This Row],[InParenthesesCleaned]],
    LEFT(tblPassengerNames[[#This Row],[InParenthesesCleaned]], tblPassengerNames[[#This Row],[P_FinalSpacePos]] - 1)
)</f>
        <v>#VALUE!</v>
      </c>
      <c r="P169" t="str">
        <f>IFERROR(tblPassengerNames[[#This Row],[P_Forenames]], tblPassengerNames[[#This Row],[ConvForenames]])</f>
        <v>William Fisher</v>
      </c>
      <c r="Q169" t="str">
        <f>MID(tblPassengerNames[[#This Row],[Name]], tblPassengerNames[[#This Row],[CommaPos]] + 2, tblPassengerNames[[#This Row],[DotPos]] - tblPassengerNames[[#This Row],[CommaPos]] - 1)</f>
        <v>Mr.</v>
      </c>
      <c r="R169" t="str">
        <f>LEFT(tblPassengerNames[[#This Row],[Name]], tblPassengerNames[[#This Row],[CommaPos]] - 1)</f>
        <v>Hoyt</v>
      </c>
    </row>
    <row r="170" spans="2:18" x14ac:dyDescent="0.25">
      <c r="B170" s="21">
        <v>168</v>
      </c>
      <c r="C170" s="21" t="s">
        <v>304</v>
      </c>
      <c r="D170" s="21" t="s">
        <v>136</v>
      </c>
      <c r="E170">
        <f>FIND(",", tblPassengerNames[[#This Row],[Name]])</f>
        <v>5</v>
      </c>
      <c r="F170">
        <f>FIND(".", tblPassengerNames[[#This Row],[Name]])</f>
        <v>10</v>
      </c>
      <c r="G170">
        <f>FIND("(", tblPassengerNames[[#This Row],[Name]])</f>
        <v>31</v>
      </c>
      <c r="H170">
        <f>FIND(")", tblPassengerNames[[#This Row],[Name]])</f>
        <v>47</v>
      </c>
      <c r="I170">
        <f>IFERROR(tblPassengerNames[[#This Row],[OpenParPos]] - 2, LEN(tblPassengerNames[[#This Row],[Name]]))</f>
        <v>29</v>
      </c>
      <c r="J170" t="str">
        <f>MID(tblPassengerNames[[#This Row],[Name]], tblPassengerNames[[#This Row],[DotPos]] + 2, tblPassengerNames[[#This Row],[EndOfConvFNPos]] - tblPassengerNames[[#This Row],[DotPos]] - 1)</f>
        <v>Frederick Maxfield</v>
      </c>
      <c r="K170" t="str">
        <f>MID(tblPassengerNames[[#This Row],[Name]], tblPassengerNames[[#This Row],[OpenParPos]] + 1, tblPassengerNames[[#This Row],[CloseParPos]] - tblPassengerNames[[#This Row],[OpenParPos]] - 1)</f>
        <v>Jane Anne Forby</v>
      </c>
      <c r="L170" t="str">
        <f>IF(AND(LEFT(tblPassengerNames[[#This Row],[InParentheses]], 1) = "'", RIGHT(tblPassengerNames[[#This Row],[InParentheses]], 1) = "'"),
    #VALUE!,
    tblPassengerNames[[#This Row],[InParentheses]]
)</f>
        <v>Jane Anne Forby</v>
      </c>
      <c r="M170">
        <f>LEN(tblPassengerNames[[#This Row],[InParenthesesCleaned]]) - LEN(SUBSTITUTE(tblPassengerNames[[#This Row],[InParenthesesCleaned]], " ", ""))</f>
        <v>2</v>
      </c>
      <c r="N170">
        <f>FIND("@", SUBSTITUTE(tblPassengerNames[[#This Row],[InParenthesesCleaned]], " ", "@", tblPassengerNames[[#This Row],[P_NSpaces]]))</f>
        <v>10</v>
      </c>
      <c r="O170" t="str">
        <f>IF(tblPassengerNames[[#This Row],[P_NSpaces]] = 0,
    tblPassengerNames[[#This Row],[InParenthesesCleaned]],
    LEFT(tblPassengerNames[[#This Row],[InParenthesesCleaned]], tblPassengerNames[[#This Row],[P_FinalSpacePos]] - 1)
)</f>
        <v>Jane Anne</v>
      </c>
      <c r="P170" t="str">
        <f>IFERROR(tblPassengerNames[[#This Row],[P_Forenames]], tblPassengerNames[[#This Row],[ConvForenames]])</f>
        <v>Jane Anne</v>
      </c>
      <c r="Q170" t="str">
        <f>MID(tblPassengerNames[[#This Row],[Name]], tblPassengerNames[[#This Row],[CommaPos]] + 2, tblPassengerNames[[#This Row],[DotPos]] - tblPassengerNames[[#This Row],[CommaPos]] - 1)</f>
        <v>Mrs.</v>
      </c>
      <c r="R170" t="str">
        <f>LEFT(tblPassengerNames[[#This Row],[Name]], tblPassengerNames[[#This Row],[CommaPos]] - 1)</f>
        <v>Hoyt</v>
      </c>
    </row>
    <row r="171" spans="2:18" x14ac:dyDescent="0.25">
      <c r="B171" s="21">
        <v>169</v>
      </c>
      <c r="C171" s="21" t="s">
        <v>305</v>
      </c>
      <c r="D171" s="21" t="s">
        <v>136</v>
      </c>
      <c r="E171">
        <f>FIND(",", tblPassengerNames[[#This Row],[Name]])</f>
        <v>6</v>
      </c>
      <c r="F171">
        <f>FIND(".", tblPassengerNames[[#This Row],[Name]])</f>
        <v>12</v>
      </c>
      <c r="G171" t="e">
        <f>FIND("(", tblPassengerNames[[#This Row],[Name]])</f>
        <v>#VALUE!</v>
      </c>
      <c r="H171" t="e">
        <f>FIND(")", tblPassengerNames[[#This Row],[Name]])</f>
        <v>#VALUE!</v>
      </c>
      <c r="I171">
        <f>IFERROR(tblPassengerNames[[#This Row],[OpenParPos]] - 2, LEN(tblPassengerNames[[#This Row],[Name]]))</f>
        <v>19</v>
      </c>
      <c r="J171" t="str">
        <f>MID(tblPassengerNames[[#This Row],[Name]], tblPassengerNames[[#This Row],[DotPos]] + 2, tblPassengerNames[[#This Row],[EndOfConvFNPos]] - tblPassengerNames[[#This Row],[DotPos]] - 1)</f>
        <v>Amelie</v>
      </c>
      <c r="K171" t="e">
        <f>MID(tblPassengerNames[[#This Row],[Name]], tblPassengerNames[[#This Row],[OpenParPos]] + 1, tblPassengerNames[[#This Row],[CloseParPos]] - tblPassengerNames[[#This Row],[OpenParPos]] - 1)</f>
        <v>#VALUE!</v>
      </c>
      <c r="L171" t="e">
        <f>IF(AND(LEFT(tblPassengerNames[[#This Row],[InParentheses]], 1) = "'", RIGHT(tblPassengerNames[[#This Row],[InParentheses]], 1) = "'"),
    #VALUE!,
    tblPassengerNames[[#This Row],[InParentheses]]
)</f>
        <v>#VALUE!</v>
      </c>
      <c r="M171" t="e">
        <f>LEN(tblPassengerNames[[#This Row],[InParenthesesCleaned]]) - LEN(SUBSTITUTE(tblPassengerNames[[#This Row],[InParenthesesCleaned]], " ", ""))</f>
        <v>#VALUE!</v>
      </c>
      <c r="N171" t="e">
        <f>FIND("@", SUBSTITUTE(tblPassengerNames[[#This Row],[InParenthesesCleaned]], " ", "@", tblPassengerNames[[#This Row],[P_NSpaces]]))</f>
        <v>#VALUE!</v>
      </c>
      <c r="O171" t="e">
        <f>IF(tblPassengerNames[[#This Row],[P_NSpaces]] = 0,
    tblPassengerNames[[#This Row],[InParenthesesCleaned]],
    LEFT(tblPassengerNames[[#This Row],[InParenthesesCleaned]], tblPassengerNames[[#This Row],[P_FinalSpacePos]] - 1)
)</f>
        <v>#VALUE!</v>
      </c>
      <c r="P171" t="str">
        <f>IFERROR(tblPassengerNames[[#This Row],[P_Forenames]], tblPassengerNames[[#This Row],[ConvForenames]])</f>
        <v>Amelie</v>
      </c>
      <c r="Q171" t="str">
        <f>MID(tblPassengerNames[[#This Row],[Name]], tblPassengerNames[[#This Row],[CommaPos]] + 2, tblPassengerNames[[#This Row],[DotPos]] - tblPassengerNames[[#This Row],[CommaPos]] - 1)</f>
        <v>Miss.</v>
      </c>
      <c r="R171" t="str">
        <f>LEFT(tblPassengerNames[[#This Row],[Name]], tblPassengerNames[[#This Row],[CommaPos]] - 1)</f>
        <v>Icard</v>
      </c>
    </row>
    <row r="172" spans="2:18" x14ac:dyDescent="0.25">
      <c r="B172" s="21">
        <v>170</v>
      </c>
      <c r="C172" s="21" t="s">
        <v>306</v>
      </c>
      <c r="D172" s="21" t="s">
        <v>136</v>
      </c>
      <c r="E172">
        <f>FIND(",", tblPassengerNames[[#This Row],[Name]])</f>
        <v>6</v>
      </c>
      <c r="F172">
        <f>FIND(".", tblPassengerNames[[#This Row],[Name]])</f>
        <v>12</v>
      </c>
      <c r="G172" t="e">
        <f>FIND("(", tblPassengerNames[[#This Row],[Name]])</f>
        <v>#VALUE!</v>
      </c>
      <c r="H172" t="e">
        <f>FIND(")", tblPassengerNames[[#This Row],[Name]])</f>
        <v>#VALUE!</v>
      </c>
      <c r="I172">
        <f>IFERROR(tblPassengerNames[[#This Row],[OpenParPos]] - 2, LEN(tblPassengerNames[[#This Row],[Name]]))</f>
        <v>26</v>
      </c>
      <c r="J172" t="str">
        <f>MID(tblPassengerNames[[#This Row],[Name]], tblPassengerNames[[#This Row],[DotPos]] + 2, tblPassengerNames[[#This Row],[EndOfConvFNPos]] - tblPassengerNames[[#This Row],[DotPos]] - 1)</f>
        <v>Ann Elizabeth</v>
      </c>
      <c r="K172" t="e">
        <f>MID(tblPassengerNames[[#This Row],[Name]], tblPassengerNames[[#This Row],[OpenParPos]] + 1, tblPassengerNames[[#This Row],[CloseParPos]] - tblPassengerNames[[#This Row],[OpenParPos]] - 1)</f>
        <v>#VALUE!</v>
      </c>
      <c r="L172" t="e">
        <f>IF(AND(LEFT(tblPassengerNames[[#This Row],[InParentheses]], 1) = "'", RIGHT(tblPassengerNames[[#This Row],[InParentheses]], 1) = "'"),
    #VALUE!,
    tblPassengerNames[[#This Row],[InParentheses]]
)</f>
        <v>#VALUE!</v>
      </c>
      <c r="M172" t="e">
        <f>LEN(tblPassengerNames[[#This Row],[InParenthesesCleaned]]) - LEN(SUBSTITUTE(tblPassengerNames[[#This Row],[InParenthesesCleaned]], " ", ""))</f>
        <v>#VALUE!</v>
      </c>
      <c r="N172" t="e">
        <f>FIND("@", SUBSTITUTE(tblPassengerNames[[#This Row],[InParenthesesCleaned]], " ", "@", tblPassengerNames[[#This Row],[P_NSpaces]]))</f>
        <v>#VALUE!</v>
      </c>
      <c r="O172" t="e">
        <f>IF(tblPassengerNames[[#This Row],[P_NSpaces]] = 0,
    tblPassengerNames[[#This Row],[InParenthesesCleaned]],
    LEFT(tblPassengerNames[[#This Row],[InParenthesesCleaned]], tblPassengerNames[[#This Row],[P_FinalSpacePos]] - 1)
)</f>
        <v>#VALUE!</v>
      </c>
      <c r="P172" t="str">
        <f>IFERROR(tblPassengerNames[[#This Row],[P_Forenames]], tblPassengerNames[[#This Row],[ConvForenames]])</f>
        <v>Ann Elizabeth</v>
      </c>
      <c r="Q172" t="str">
        <f>MID(tblPassengerNames[[#This Row],[Name]], tblPassengerNames[[#This Row],[CommaPos]] + 2, tblPassengerNames[[#This Row],[DotPos]] - tblPassengerNames[[#This Row],[CommaPos]] - 1)</f>
        <v>Miss.</v>
      </c>
      <c r="R172" t="str">
        <f>LEFT(tblPassengerNames[[#This Row],[Name]], tblPassengerNames[[#This Row],[CommaPos]] - 1)</f>
        <v>Isham</v>
      </c>
    </row>
    <row r="173" spans="2:18" x14ac:dyDescent="0.25">
      <c r="B173" s="21">
        <v>171</v>
      </c>
      <c r="C173" s="21" t="s">
        <v>307</v>
      </c>
      <c r="D173" s="21" t="s">
        <v>138</v>
      </c>
      <c r="E173">
        <f>FIND(",", tblPassengerNames[[#This Row],[Name]])</f>
        <v>6</v>
      </c>
      <c r="F173">
        <f>FIND(".", tblPassengerNames[[#This Row],[Name]])</f>
        <v>10</v>
      </c>
      <c r="G173" t="e">
        <f>FIND("(", tblPassengerNames[[#This Row],[Name]])</f>
        <v>#VALUE!</v>
      </c>
      <c r="H173" t="e">
        <f>FIND(")", tblPassengerNames[[#This Row],[Name]])</f>
        <v>#VALUE!</v>
      </c>
      <c r="I173">
        <f>IFERROR(tblPassengerNames[[#This Row],[OpenParPos]] - 2, LEN(tblPassengerNames[[#This Row],[Name]]))</f>
        <v>23</v>
      </c>
      <c r="J173" t="str">
        <f>MID(tblPassengerNames[[#This Row],[Name]], tblPassengerNames[[#This Row],[DotPos]] + 2, tblPassengerNames[[#This Row],[EndOfConvFNPos]] - tblPassengerNames[[#This Row],[DotPos]] - 1)</f>
        <v>Joseph Bruce</v>
      </c>
      <c r="K173" t="e">
        <f>MID(tblPassengerNames[[#This Row],[Name]], tblPassengerNames[[#This Row],[OpenParPos]] + 1, tblPassengerNames[[#This Row],[CloseParPos]] - tblPassengerNames[[#This Row],[OpenParPos]] - 1)</f>
        <v>#VALUE!</v>
      </c>
      <c r="L173" t="e">
        <f>IF(AND(LEFT(tblPassengerNames[[#This Row],[InParentheses]], 1) = "'", RIGHT(tblPassengerNames[[#This Row],[InParentheses]], 1) = "'"),
    #VALUE!,
    tblPassengerNames[[#This Row],[InParentheses]]
)</f>
        <v>#VALUE!</v>
      </c>
      <c r="M173" t="e">
        <f>LEN(tblPassengerNames[[#This Row],[InParenthesesCleaned]]) - LEN(SUBSTITUTE(tblPassengerNames[[#This Row],[InParenthesesCleaned]], " ", ""))</f>
        <v>#VALUE!</v>
      </c>
      <c r="N173" t="e">
        <f>FIND("@", SUBSTITUTE(tblPassengerNames[[#This Row],[InParenthesesCleaned]], " ", "@", tblPassengerNames[[#This Row],[P_NSpaces]]))</f>
        <v>#VALUE!</v>
      </c>
      <c r="O173" t="e">
        <f>IF(tblPassengerNames[[#This Row],[P_NSpaces]] = 0,
    tblPassengerNames[[#This Row],[InParenthesesCleaned]],
    LEFT(tblPassengerNames[[#This Row],[InParenthesesCleaned]], tblPassengerNames[[#This Row],[P_FinalSpacePos]] - 1)
)</f>
        <v>#VALUE!</v>
      </c>
      <c r="P173" t="str">
        <f>IFERROR(tblPassengerNames[[#This Row],[P_Forenames]], tblPassengerNames[[#This Row],[ConvForenames]])</f>
        <v>Joseph Bruce</v>
      </c>
      <c r="Q173" t="str">
        <f>MID(tblPassengerNames[[#This Row],[Name]], tblPassengerNames[[#This Row],[CommaPos]] + 2, tblPassengerNames[[#This Row],[DotPos]] - tblPassengerNames[[#This Row],[CommaPos]] - 1)</f>
        <v>Mr.</v>
      </c>
      <c r="R173" t="str">
        <f>LEFT(tblPassengerNames[[#This Row],[Name]], tblPassengerNames[[#This Row],[CommaPos]] - 1)</f>
        <v>Ismay</v>
      </c>
    </row>
    <row r="174" spans="2:18" x14ac:dyDescent="0.25">
      <c r="B174" s="21">
        <v>172</v>
      </c>
      <c r="C174" s="21" t="s">
        <v>308</v>
      </c>
      <c r="D174" s="21" t="s">
        <v>138</v>
      </c>
      <c r="E174">
        <f>FIND(",", tblPassengerNames[[#This Row],[Name]])</f>
        <v>6</v>
      </c>
      <c r="F174">
        <f>FIND(".", tblPassengerNames[[#This Row],[Name]])</f>
        <v>10</v>
      </c>
      <c r="G174" t="e">
        <f>FIND("(", tblPassengerNames[[#This Row],[Name]])</f>
        <v>#VALUE!</v>
      </c>
      <c r="H174" t="e">
        <f>FIND(")", tblPassengerNames[[#This Row],[Name]])</f>
        <v>#VALUE!</v>
      </c>
      <c r="I174">
        <f>IFERROR(tblPassengerNames[[#This Row],[OpenParPos]] - 2, LEN(tblPassengerNames[[#This Row],[Name]]))</f>
        <v>26</v>
      </c>
      <c r="J174" t="str">
        <f>MID(tblPassengerNames[[#This Row],[Name]], tblPassengerNames[[#This Row],[DotPos]] + 2, tblPassengerNames[[#This Row],[EndOfConvFNPos]] - tblPassengerNames[[#This Row],[DotPos]] - 1)</f>
        <v>Charles Cresson</v>
      </c>
      <c r="K174" t="e">
        <f>MID(tblPassengerNames[[#This Row],[Name]], tblPassengerNames[[#This Row],[OpenParPos]] + 1, tblPassengerNames[[#This Row],[CloseParPos]] - tblPassengerNames[[#This Row],[OpenParPos]] - 1)</f>
        <v>#VALUE!</v>
      </c>
      <c r="L174" t="e">
        <f>IF(AND(LEFT(tblPassengerNames[[#This Row],[InParentheses]], 1) = "'", RIGHT(tblPassengerNames[[#This Row],[InParentheses]], 1) = "'"),
    #VALUE!,
    tblPassengerNames[[#This Row],[InParentheses]]
)</f>
        <v>#VALUE!</v>
      </c>
      <c r="M174" t="e">
        <f>LEN(tblPassengerNames[[#This Row],[InParenthesesCleaned]]) - LEN(SUBSTITUTE(tblPassengerNames[[#This Row],[InParenthesesCleaned]], " ", ""))</f>
        <v>#VALUE!</v>
      </c>
      <c r="N174" t="e">
        <f>FIND("@", SUBSTITUTE(tblPassengerNames[[#This Row],[InParenthesesCleaned]], " ", "@", tblPassengerNames[[#This Row],[P_NSpaces]]))</f>
        <v>#VALUE!</v>
      </c>
      <c r="O174" t="e">
        <f>IF(tblPassengerNames[[#This Row],[P_NSpaces]] = 0,
    tblPassengerNames[[#This Row],[InParenthesesCleaned]],
    LEFT(tblPassengerNames[[#This Row],[InParenthesesCleaned]], tblPassengerNames[[#This Row],[P_FinalSpacePos]] - 1)
)</f>
        <v>#VALUE!</v>
      </c>
      <c r="P174" t="str">
        <f>IFERROR(tblPassengerNames[[#This Row],[P_Forenames]], tblPassengerNames[[#This Row],[ConvForenames]])</f>
        <v>Charles Cresson</v>
      </c>
      <c r="Q174" t="str">
        <f>MID(tblPassengerNames[[#This Row],[Name]], tblPassengerNames[[#This Row],[CommaPos]] + 2, tblPassengerNames[[#This Row],[DotPos]] - tblPassengerNames[[#This Row],[CommaPos]] - 1)</f>
        <v>Mr.</v>
      </c>
      <c r="R174" t="str">
        <f>LEFT(tblPassengerNames[[#This Row],[Name]], tblPassengerNames[[#This Row],[CommaPos]] - 1)</f>
        <v>Jones</v>
      </c>
    </row>
    <row r="175" spans="2:18" x14ac:dyDescent="0.25">
      <c r="B175" s="21">
        <v>173</v>
      </c>
      <c r="C175" s="21" t="s">
        <v>309</v>
      </c>
      <c r="D175" s="21" t="s">
        <v>138</v>
      </c>
      <c r="E175">
        <f>FIND(",", tblPassengerNames[[#This Row],[Name]])</f>
        <v>7</v>
      </c>
      <c r="F175">
        <f>FIND(".", tblPassengerNames[[#This Row],[Name]])</f>
        <v>11</v>
      </c>
      <c r="G175" t="e">
        <f>FIND("(", tblPassengerNames[[#This Row],[Name]])</f>
        <v>#VALUE!</v>
      </c>
      <c r="H175" t="e">
        <f>FIND(")", tblPassengerNames[[#This Row],[Name]])</f>
        <v>#VALUE!</v>
      </c>
      <c r="I175">
        <f>IFERROR(tblPassengerNames[[#This Row],[OpenParPos]] - 2, LEN(tblPassengerNames[[#This Row],[Name]]))</f>
        <v>24</v>
      </c>
      <c r="J175" t="str">
        <f>MID(tblPassengerNames[[#This Row],[Name]], tblPassengerNames[[#This Row],[DotPos]] + 2, tblPassengerNames[[#This Row],[EndOfConvFNPos]] - tblPassengerNames[[#This Row],[DotPos]] - 1)</f>
        <v>Henry Forbes</v>
      </c>
      <c r="K175" t="e">
        <f>MID(tblPassengerNames[[#This Row],[Name]], tblPassengerNames[[#This Row],[OpenParPos]] + 1, tblPassengerNames[[#This Row],[CloseParPos]] - tblPassengerNames[[#This Row],[OpenParPos]] - 1)</f>
        <v>#VALUE!</v>
      </c>
      <c r="L175" t="e">
        <f>IF(AND(LEFT(tblPassengerNames[[#This Row],[InParentheses]], 1) = "'", RIGHT(tblPassengerNames[[#This Row],[InParentheses]], 1) = "'"),
    #VALUE!,
    tblPassengerNames[[#This Row],[InParentheses]]
)</f>
        <v>#VALUE!</v>
      </c>
      <c r="M175" t="e">
        <f>LEN(tblPassengerNames[[#This Row],[InParenthesesCleaned]]) - LEN(SUBSTITUTE(tblPassengerNames[[#This Row],[InParenthesesCleaned]], " ", ""))</f>
        <v>#VALUE!</v>
      </c>
      <c r="N175" t="e">
        <f>FIND("@", SUBSTITUTE(tblPassengerNames[[#This Row],[InParenthesesCleaned]], " ", "@", tblPassengerNames[[#This Row],[P_NSpaces]]))</f>
        <v>#VALUE!</v>
      </c>
      <c r="O175" t="e">
        <f>IF(tblPassengerNames[[#This Row],[P_NSpaces]] = 0,
    tblPassengerNames[[#This Row],[InParenthesesCleaned]],
    LEFT(tblPassengerNames[[#This Row],[InParenthesesCleaned]], tblPassengerNames[[#This Row],[P_FinalSpacePos]] - 1)
)</f>
        <v>#VALUE!</v>
      </c>
      <c r="P175" t="str">
        <f>IFERROR(tblPassengerNames[[#This Row],[P_Forenames]], tblPassengerNames[[#This Row],[ConvForenames]])</f>
        <v>Henry Forbes</v>
      </c>
      <c r="Q175" t="str">
        <f>MID(tblPassengerNames[[#This Row],[Name]], tblPassengerNames[[#This Row],[CommaPos]] + 2, tblPassengerNames[[#This Row],[DotPos]] - tblPassengerNames[[#This Row],[CommaPos]] - 1)</f>
        <v>Mr.</v>
      </c>
      <c r="R175" t="str">
        <f>LEFT(tblPassengerNames[[#This Row],[Name]], tblPassengerNames[[#This Row],[CommaPos]] - 1)</f>
        <v>Julian</v>
      </c>
    </row>
    <row r="176" spans="2:18" x14ac:dyDescent="0.25">
      <c r="B176" s="21">
        <v>174</v>
      </c>
      <c r="C176" s="21" t="s">
        <v>310</v>
      </c>
      <c r="D176" s="21" t="s">
        <v>138</v>
      </c>
      <c r="E176">
        <f>FIND(",", tblPassengerNames[[#This Row],[Name]])</f>
        <v>8</v>
      </c>
      <c r="F176">
        <f>FIND(".", tblPassengerNames[[#This Row],[Name]])</f>
        <v>12</v>
      </c>
      <c r="G176" t="e">
        <f>FIND("(", tblPassengerNames[[#This Row],[Name]])</f>
        <v>#VALUE!</v>
      </c>
      <c r="H176" t="e">
        <f>FIND(")", tblPassengerNames[[#This Row],[Name]])</f>
        <v>#VALUE!</v>
      </c>
      <c r="I176">
        <f>IFERROR(tblPassengerNames[[#This Row],[OpenParPos]] - 2, LEN(tblPassengerNames[[#This Row],[Name]]))</f>
        <v>18</v>
      </c>
      <c r="J176" t="str">
        <f>MID(tblPassengerNames[[#This Row],[Name]], tblPassengerNames[[#This Row],[DotPos]] + 2, tblPassengerNames[[#This Row],[EndOfConvFNPos]] - tblPassengerNames[[#This Row],[DotPos]] - 1)</f>
        <v>Edwin</v>
      </c>
      <c r="K176" t="e">
        <f>MID(tblPassengerNames[[#This Row],[Name]], tblPassengerNames[[#This Row],[OpenParPos]] + 1, tblPassengerNames[[#This Row],[CloseParPos]] - tblPassengerNames[[#This Row],[OpenParPos]] - 1)</f>
        <v>#VALUE!</v>
      </c>
      <c r="L176" t="e">
        <f>IF(AND(LEFT(tblPassengerNames[[#This Row],[InParentheses]], 1) = "'", RIGHT(tblPassengerNames[[#This Row],[InParentheses]], 1) = "'"),
    #VALUE!,
    tblPassengerNames[[#This Row],[InParentheses]]
)</f>
        <v>#VALUE!</v>
      </c>
      <c r="M176" t="e">
        <f>LEN(tblPassengerNames[[#This Row],[InParenthesesCleaned]]) - LEN(SUBSTITUTE(tblPassengerNames[[#This Row],[InParenthesesCleaned]], " ", ""))</f>
        <v>#VALUE!</v>
      </c>
      <c r="N176" t="e">
        <f>FIND("@", SUBSTITUTE(tblPassengerNames[[#This Row],[InParenthesesCleaned]], " ", "@", tblPassengerNames[[#This Row],[P_NSpaces]]))</f>
        <v>#VALUE!</v>
      </c>
      <c r="O176" t="e">
        <f>IF(tblPassengerNames[[#This Row],[P_NSpaces]] = 0,
    tblPassengerNames[[#This Row],[InParenthesesCleaned]],
    LEFT(tblPassengerNames[[#This Row],[InParenthesesCleaned]], tblPassengerNames[[#This Row],[P_FinalSpacePos]] - 1)
)</f>
        <v>#VALUE!</v>
      </c>
      <c r="P176" t="str">
        <f>IFERROR(tblPassengerNames[[#This Row],[P_Forenames]], tblPassengerNames[[#This Row],[ConvForenames]])</f>
        <v>Edwin</v>
      </c>
      <c r="Q176" t="str">
        <f>MID(tblPassengerNames[[#This Row],[Name]], tblPassengerNames[[#This Row],[CommaPos]] + 2, tblPassengerNames[[#This Row],[DotPos]] - tblPassengerNames[[#This Row],[CommaPos]] - 1)</f>
        <v>Mr.</v>
      </c>
      <c r="R176" t="str">
        <f>LEFT(tblPassengerNames[[#This Row],[Name]], tblPassengerNames[[#This Row],[CommaPos]] - 1)</f>
        <v>Keeping</v>
      </c>
    </row>
    <row r="177" spans="2:18" x14ac:dyDescent="0.25">
      <c r="B177" s="21">
        <v>175</v>
      </c>
      <c r="C177" s="21" t="s">
        <v>311</v>
      </c>
      <c r="D177" s="21" t="s">
        <v>138</v>
      </c>
      <c r="E177">
        <f>FIND(",", tblPassengerNames[[#This Row],[Name]])</f>
        <v>5</v>
      </c>
      <c r="F177">
        <f>FIND(".", tblPassengerNames[[#This Row],[Name]])</f>
        <v>9</v>
      </c>
      <c r="G177" t="e">
        <f>FIND("(", tblPassengerNames[[#This Row],[Name]])</f>
        <v>#VALUE!</v>
      </c>
      <c r="H177" t="e">
        <f>FIND(")", tblPassengerNames[[#This Row],[Name]])</f>
        <v>#VALUE!</v>
      </c>
      <c r="I177">
        <f>IFERROR(tblPassengerNames[[#This Row],[OpenParPos]] - 2, LEN(tblPassengerNames[[#This Row],[Name]]))</f>
        <v>23</v>
      </c>
      <c r="J177" t="str">
        <f>MID(tblPassengerNames[[#This Row],[Name]], tblPassengerNames[[#This Row],[DotPos]] + 2, tblPassengerNames[[#This Row],[EndOfConvFNPos]] - tblPassengerNames[[#This Row],[DotPos]] - 1)</f>
        <v>Edward Austin</v>
      </c>
      <c r="K177" t="e">
        <f>MID(tblPassengerNames[[#This Row],[Name]], tblPassengerNames[[#This Row],[OpenParPos]] + 1, tblPassengerNames[[#This Row],[CloseParPos]] - tblPassengerNames[[#This Row],[OpenParPos]] - 1)</f>
        <v>#VALUE!</v>
      </c>
      <c r="L177" t="e">
        <f>IF(AND(LEFT(tblPassengerNames[[#This Row],[InParentheses]], 1) = "'", RIGHT(tblPassengerNames[[#This Row],[InParentheses]], 1) = "'"),
    #VALUE!,
    tblPassengerNames[[#This Row],[InParentheses]]
)</f>
        <v>#VALUE!</v>
      </c>
      <c r="M177" t="e">
        <f>LEN(tblPassengerNames[[#This Row],[InParenthesesCleaned]]) - LEN(SUBSTITUTE(tblPassengerNames[[#This Row],[InParenthesesCleaned]], " ", ""))</f>
        <v>#VALUE!</v>
      </c>
      <c r="N177" t="e">
        <f>FIND("@", SUBSTITUTE(tblPassengerNames[[#This Row],[InParenthesesCleaned]], " ", "@", tblPassengerNames[[#This Row],[P_NSpaces]]))</f>
        <v>#VALUE!</v>
      </c>
      <c r="O177" t="e">
        <f>IF(tblPassengerNames[[#This Row],[P_NSpaces]] = 0,
    tblPassengerNames[[#This Row],[InParenthesesCleaned]],
    LEFT(tblPassengerNames[[#This Row],[InParenthesesCleaned]], tblPassengerNames[[#This Row],[P_FinalSpacePos]] - 1)
)</f>
        <v>#VALUE!</v>
      </c>
      <c r="P177" t="str">
        <f>IFERROR(tblPassengerNames[[#This Row],[P_Forenames]], tblPassengerNames[[#This Row],[ConvForenames]])</f>
        <v>Edward Austin</v>
      </c>
      <c r="Q177" t="str">
        <f>MID(tblPassengerNames[[#This Row],[Name]], tblPassengerNames[[#This Row],[CommaPos]] + 2, tblPassengerNames[[#This Row],[DotPos]] - tblPassengerNames[[#This Row],[CommaPos]] - 1)</f>
        <v>Mr.</v>
      </c>
      <c r="R177" t="str">
        <f>LEFT(tblPassengerNames[[#This Row],[Name]], tblPassengerNames[[#This Row],[CommaPos]] - 1)</f>
        <v>Kent</v>
      </c>
    </row>
    <row r="178" spans="2:18" x14ac:dyDescent="0.25">
      <c r="B178" s="21">
        <v>176</v>
      </c>
      <c r="C178" s="21" t="s">
        <v>312</v>
      </c>
      <c r="D178" s="21" t="s">
        <v>138</v>
      </c>
      <c r="E178">
        <f>FIND(",", tblPassengerNames[[#This Row],[Name]])</f>
        <v>7</v>
      </c>
      <c r="F178">
        <f>FIND(".", tblPassengerNames[[#This Row],[Name]])</f>
        <v>11</v>
      </c>
      <c r="G178" t="e">
        <f>FIND("(", tblPassengerNames[[#This Row],[Name]])</f>
        <v>#VALUE!</v>
      </c>
      <c r="H178" t="e">
        <f>FIND(")", tblPassengerNames[[#This Row],[Name]])</f>
        <v>#VALUE!</v>
      </c>
      <c r="I178">
        <f>IFERROR(tblPassengerNames[[#This Row],[OpenParPos]] - 2, LEN(tblPassengerNames[[#This Row],[Name]]))</f>
        <v>23</v>
      </c>
      <c r="J178" t="str">
        <f>MID(tblPassengerNames[[#This Row],[Name]], tblPassengerNames[[#This Row],[DotPos]] + 2, tblPassengerNames[[#This Row],[EndOfConvFNPos]] - tblPassengerNames[[#This Row],[DotPos]] - 1)</f>
        <v>Frederick R</v>
      </c>
      <c r="K178" t="e">
        <f>MID(tblPassengerNames[[#This Row],[Name]], tblPassengerNames[[#This Row],[OpenParPos]] + 1, tblPassengerNames[[#This Row],[CloseParPos]] - tblPassengerNames[[#This Row],[OpenParPos]] - 1)</f>
        <v>#VALUE!</v>
      </c>
      <c r="L178" t="e">
        <f>IF(AND(LEFT(tblPassengerNames[[#This Row],[InParentheses]], 1) = "'", RIGHT(tblPassengerNames[[#This Row],[InParentheses]], 1) = "'"),
    #VALUE!,
    tblPassengerNames[[#This Row],[InParentheses]]
)</f>
        <v>#VALUE!</v>
      </c>
      <c r="M178" t="e">
        <f>LEN(tblPassengerNames[[#This Row],[InParenthesesCleaned]]) - LEN(SUBSTITUTE(tblPassengerNames[[#This Row],[InParenthesesCleaned]], " ", ""))</f>
        <v>#VALUE!</v>
      </c>
      <c r="N178" t="e">
        <f>FIND("@", SUBSTITUTE(tblPassengerNames[[#This Row],[InParenthesesCleaned]], " ", "@", tblPassengerNames[[#This Row],[P_NSpaces]]))</f>
        <v>#VALUE!</v>
      </c>
      <c r="O178" t="e">
        <f>IF(tblPassengerNames[[#This Row],[P_NSpaces]] = 0,
    tblPassengerNames[[#This Row],[InParenthesesCleaned]],
    LEFT(tblPassengerNames[[#This Row],[InParenthesesCleaned]], tblPassengerNames[[#This Row],[P_FinalSpacePos]] - 1)
)</f>
        <v>#VALUE!</v>
      </c>
      <c r="P178" t="str">
        <f>IFERROR(tblPassengerNames[[#This Row],[P_Forenames]], tblPassengerNames[[#This Row],[ConvForenames]])</f>
        <v>Frederick R</v>
      </c>
      <c r="Q178" t="str">
        <f>MID(tblPassengerNames[[#This Row],[Name]], tblPassengerNames[[#This Row],[CommaPos]] + 2, tblPassengerNames[[#This Row],[DotPos]] - tblPassengerNames[[#This Row],[CommaPos]] - 1)</f>
        <v>Mr.</v>
      </c>
      <c r="R178" t="str">
        <f>LEFT(tblPassengerNames[[#This Row],[Name]], tblPassengerNames[[#This Row],[CommaPos]] - 1)</f>
        <v>Kenyon</v>
      </c>
    </row>
    <row r="179" spans="2:18" x14ac:dyDescent="0.25">
      <c r="B179" s="21">
        <v>177</v>
      </c>
      <c r="C179" s="21" t="s">
        <v>313</v>
      </c>
      <c r="D179" s="21" t="s">
        <v>136</v>
      </c>
      <c r="E179">
        <f>FIND(",", tblPassengerNames[[#This Row],[Name]])</f>
        <v>7</v>
      </c>
      <c r="F179">
        <f>FIND(".", tblPassengerNames[[#This Row],[Name]])</f>
        <v>12</v>
      </c>
      <c r="G179">
        <f>FIND("(", tblPassengerNames[[#This Row],[Name]])</f>
        <v>26</v>
      </c>
      <c r="H179">
        <f>FIND(")", tblPassengerNames[[#This Row],[Name]])</f>
        <v>33</v>
      </c>
      <c r="I179">
        <f>IFERROR(tblPassengerNames[[#This Row],[OpenParPos]] - 2, LEN(tblPassengerNames[[#This Row],[Name]]))</f>
        <v>24</v>
      </c>
      <c r="J179" t="str">
        <f>MID(tblPassengerNames[[#This Row],[Name]], tblPassengerNames[[#This Row],[DotPos]] + 2, tblPassengerNames[[#This Row],[EndOfConvFNPos]] - tblPassengerNames[[#This Row],[DotPos]] - 1)</f>
        <v>Frederick R</v>
      </c>
      <c r="K179" t="str">
        <f>MID(tblPassengerNames[[#This Row],[Name]], tblPassengerNames[[#This Row],[OpenParPos]] + 1, tblPassengerNames[[#This Row],[CloseParPos]] - tblPassengerNames[[#This Row],[OpenParPos]] - 1)</f>
        <v>Marion</v>
      </c>
      <c r="L179" t="str">
        <f>IF(AND(LEFT(tblPassengerNames[[#This Row],[InParentheses]], 1) = "'", RIGHT(tblPassengerNames[[#This Row],[InParentheses]], 1) = "'"),
    #VALUE!,
    tblPassengerNames[[#This Row],[InParentheses]]
)</f>
        <v>Marion</v>
      </c>
      <c r="M179">
        <f>LEN(tblPassengerNames[[#This Row],[InParenthesesCleaned]]) - LEN(SUBSTITUTE(tblPassengerNames[[#This Row],[InParenthesesCleaned]], " ", ""))</f>
        <v>0</v>
      </c>
      <c r="N179" t="e">
        <f>FIND("@", SUBSTITUTE(tblPassengerNames[[#This Row],[InParenthesesCleaned]], " ", "@", tblPassengerNames[[#This Row],[P_NSpaces]]))</f>
        <v>#VALUE!</v>
      </c>
      <c r="O179" t="str">
        <f>IF(tblPassengerNames[[#This Row],[P_NSpaces]] = 0,
    tblPassengerNames[[#This Row],[InParenthesesCleaned]],
    LEFT(tblPassengerNames[[#This Row],[InParenthesesCleaned]], tblPassengerNames[[#This Row],[P_FinalSpacePos]] - 1)
)</f>
        <v>Marion</v>
      </c>
      <c r="P179" t="str">
        <f>IFERROR(tblPassengerNames[[#This Row],[P_Forenames]], tblPassengerNames[[#This Row],[ConvForenames]])</f>
        <v>Marion</v>
      </c>
      <c r="Q179" t="str">
        <f>MID(tblPassengerNames[[#This Row],[Name]], tblPassengerNames[[#This Row],[CommaPos]] + 2, tblPassengerNames[[#This Row],[DotPos]] - tblPassengerNames[[#This Row],[CommaPos]] - 1)</f>
        <v>Mrs.</v>
      </c>
      <c r="R179" t="str">
        <f>LEFT(tblPassengerNames[[#This Row],[Name]], tblPassengerNames[[#This Row],[CommaPos]] - 1)</f>
        <v>Kenyon</v>
      </c>
    </row>
    <row r="180" spans="2:18" x14ac:dyDescent="0.25">
      <c r="B180" s="21">
        <v>178</v>
      </c>
      <c r="C180" s="21" t="s">
        <v>314</v>
      </c>
      <c r="D180" s="21" t="s">
        <v>138</v>
      </c>
      <c r="E180">
        <f>FIND(",", tblPassengerNames[[#This Row],[Name]])</f>
        <v>8</v>
      </c>
      <c r="F180">
        <f>FIND(".", tblPassengerNames[[#This Row],[Name]])</f>
        <v>12</v>
      </c>
      <c r="G180" t="e">
        <f>FIND("(", tblPassengerNames[[#This Row],[Name]])</f>
        <v>#VALUE!</v>
      </c>
      <c r="H180" t="e">
        <f>FIND(")", tblPassengerNames[[#This Row],[Name]])</f>
        <v>#VALUE!</v>
      </c>
      <c r="I180">
        <f>IFERROR(tblPassengerNames[[#This Row],[OpenParPos]] - 2, LEN(tblPassengerNames[[#This Row],[Name]]))</f>
        <v>28</v>
      </c>
      <c r="J180" t="str">
        <f>MID(tblPassengerNames[[#This Row],[Name]], tblPassengerNames[[#This Row],[DotPos]] + 2, tblPassengerNames[[#This Row],[EndOfConvFNPos]] - tblPassengerNames[[#This Row],[DotPos]] - 1)</f>
        <v>Edwin Nelson Jr</v>
      </c>
      <c r="K180" t="e">
        <f>MID(tblPassengerNames[[#This Row],[Name]], tblPassengerNames[[#This Row],[OpenParPos]] + 1, tblPassengerNames[[#This Row],[CloseParPos]] - tblPassengerNames[[#This Row],[OpenParPos]] - 1)</f>
        <v>#VALUE!</v>
      </c>
      <c r="L180" t="e">
        <f>IF(AND(LEFT(tblPassengerNames[[#This Row],[InParentheses]], 1) = "'", RIGHT(tblPassengerNames[[#This Row],[InParentheses]], 1) = "'"),
    #VALUE!,
    tblPassengerNames[[#This Row],[InParentheses]]
)</f>
        <v>#VALUE!</v>
      </c>
      <c r="M180" t="e">
        <f>LEN(tblPassengerNames[[#This Row],[InParenthesesCleaned]]) - LEN(SUBSTITUTE(tblPassengerNames[[#This Row],[InParenthesesCleaned]], " ", ""))</f>
        <v>#VALUE!</v>
      </c>
      <c r="N180" t="e">
        <f>FIND("@", SUBSTITUTE(tblPassengerNames[[#This Row],[InParenthesesCleaned]], " ", "@", tblPassengerNames[[#This Row],[P_NSpaces]]))</f>
        <v>#VALUE!</v>
      </c>
      <c r="O180" t="e">
        <f>IF(tblPassengerNames[[#This Row],[P_NSpaces]] = 0,
    tblPassengerNames[[#This Row],[InParenthesesCleaned]],
    LEFT(tblPassengerNames[[#This Row],[InParenthesesCleaned]], tblPassengerNames[[#This Row],[P_FinalSpacePos]] - 1)
)</f>
        <v>#VALUE!</v>
      </c>
      <c r="P180" t="str">
        <f>IFERROR(tblPassengerNames[[#This Row],[P_Forenames]], tblPassengerNames[[#This Row],[ConvForenames]])</f>
        <v>Edwin Nelson Jr</v>
      </c>
      <c r="Q180" t="str">
        <f>MID(tblPassengerNames[[#This Row],[Name]], tblPassengerNames[[#This Row],[CommaPos]] + 2, tblPassengerNames[[#This Row],[DotPos]] - tblPassengerNames[[#This Row],[CommaPos]] - 1)</f>
        <v>Mr.</v>
      </c>
      <c r="R180" t="str">
        <f>LEFT(tblPassengerNames[[#This Row],[Name]], tblPassengerNames[[#This Row],[CommaPos]] - 1)</f>
        <v>Kimball</v>
      </c>
    </row>
    <row r="181" spans="2:18" x14ac:dyDescent="0.25">
      <c r="B181" s="21">
        <v>179</v>
      </c>
      <c r="C181" s="21" t="s">
        <v>315</v>
      </c>
      <c r="D181" s="21" t="s">
        <v>136</v>
      </c>
      <c r="E181">
        <f>FIND(",", tblPassengerNames[[#This Row],[Name]])</f>
        <v>8</v>
      </c>
      <c r="F181">
        <f>FIND(".", tblPassengerNames[[#This Row],[Name]])</f>
        <v>13</v>
      </c>
      <c r="G181">
        <f>FIND("(", tblPassengerNames[[#This Row],[Name]])</f>
        <v>31</v>
      </c>
      <c r="H181">
        <f>FIND(")", tblPassengerNames[[#This Row],[Name]])</f>
        <v>48</v>
      </c>
      <c r="I181">
        <f>IFERROR(tblPassengerNames[[#This Row],[OpenParPos]] - 2, LEN(tblPassengerNames[[#This Row],[Name]]))</f>
        <v>29</v>
      </c>
      <c r="J181" t="str">
        <f>MID(tblPassengerNames[[#This Row],[Name]], tblPassengerNames[[#This Row],[DotPos]] + 2, tblPassengerNames[[#This Row],[EndOfConvFNPos]] - tblPassengerNames[[#This Row],[DotPos]] - 1)</f>
        <v>Edwin Nelson Jr</v>
      </c>
      <c r="K181" t="str">
        <f>MID(tblPassengerNames[[#This Row],[Name]], tblPassengerNames[[#This Row],[OpenParPos]] + 1, tblPassengerNames[[#This Row],[CloseParPos]] - tblPassengerNames[[#This Row],[OpenParPos]] - 1)</f>
        <v>Gertrude Parsons</v>
      </c>
      <c r="L181" t="str">
        <f>IF(AND(LEFT(tblPassengerNames[[#This Row],[InParentheses]], 1) = "'", RIGHT(tblPassengerNames[[#This Row],[InParentheses]], 1) = "'"),
    #VALUE!,
    tblPassengerNames[[#This Row],[InParentheses]]
)</f>
        <v>Gertrude Parsons</v>
      </c>
      <c r="M181">
        <f>LEN(tblPassengerNames[[#This Row],[InParenthesesCleaned]]) - LEN(SUBSTITUTE(tblPassengerNames[[#This Row],[InParenthesesCleaned]], " ", ""))</f>
        <v>1</v>
      </c>
      <c r="N181">
        <f>FIND("@", SUBSTITUTE(tblPassengerNames[[#This Row],[InParenthesesCleaned]], " ", "@", tblPassengerNames[[#This Row],[P_NSpaces]]))</f>
        <v>9</v>
      </c>
      <c r="O181" t="str">
        <f>IF(tblPassengerNames[[#This Row],[P_NSpaces]] = 0,
    tblPassengerNames[[#This Row],[InParenthesesCleaned]],
    LEFT(tblPassengerNames[[#This Row],[InParenthesesCleaned]], tblPassengerNames[[#This Row],[P_FinalSpacePos]] - 1)
)</f>
        <v>Gertrude</v>
      </c>
      <c r="P181" t="str">
        <f>IFERROR(tblPassengerNames[[#This Row],[P_Forenames]], tblPassengerNames[[#This Row],[ConvForenames]])</f>
        <v>Gertrude</v>
      </c>
      <c r="Q181" t="str">
        <f>MID(tblPassengerNames[[#This Row],[Name]], tblPassengerNames[[#This Row],[CommaPos]] + 2, tblPassengerNames[[#This Row],[DotPos]] - tblPassengerNames[[#This Row],[CommaPos]] - 1)</f>
        <v>Mrs.</v>
      </c>
      <c r="R181" t="str">
        <f>LEFT(tblPassengerNames[[#This Row],[Name]], tblPassengerNames[[#This Row],[CommaPos]] - 1)</f>
        <v>Kimball</v>
      </c>
    </row>
    <row r="182" spans="2:18" x14ac:dyDescent="0.25">
      <c r="B182" s="21">
        <v>180</v>
      </c>
      <c r="C182" s="21" t="s">
        <v>316</v>
      </c>
      <c r="D182" s="21" t="s">
        <v>138</v>
      </c>
      <c r="E182">
        <f>FIND(",", tblPassengerNames[[#This Row],[Name]])</f>
        <v>7</v>
      </c>
      <c r="F182">
        <f>FIND(".", tblPassengerNames[[#This Row],[Name]])</f>
        <v>11</v>
      </c>
      <c r="G182" t="e">
        <f>FIND("(", tblPassengerNames[[#This Row],[Name]])</f>
        <v>#VALUE!</v>
      </c>
      <c r="H182" t="e">
        <f>FIND(")", tblPassengerNames[[#This Row],[Name]])</f>
        <v>#VALUE!</v>
      </c>
      <c r="I182">
        <f>IFERROR(tblPassengerNames[[#This Row],[OpenParPos]] - 2, LEN(tblPassengerNames[[#This Row],[Name]]))</f>
        <v>18</v>
      </c>
      <c r="J182" t="str">
        <f>MID(tblPassengerNames[[#This Row],[Name]], tblPassengerNames[[#This Row],[DotPos]] + 2, tblPassengerNames[[#This Row],[EndOfConvFNPos]] - tblPassengerNames[[#This Row],[DotPos]] - 1)</f>
        <v>Herman</v>
      </c>
      <c r="K182" t="e">
        <f>MID(tblPassengerNames[[#This Row],[Name]], tblPassengerNames[[#This Row],[OpenParPos]] + 1, tblPassengerNames[[#This Row],[CloseParPos]] - tblPassengerNames[[#This Row],[OpenParPos]] - 1)</f>
        <v>#VALUE!</v>
      </c>
      <c r="L182" t="e">
        <f>IF(AND(LEFT(tblPassengerNames[[#This Row],[InParentheses]], 1) = "'", RIGHT(tblPassengerNames[[#This Row],[InParentheses]], 1) = "'"),
    #VALUE!,
    tblPassengerNames[[#This Row],[InParentheses]]
)</f>
        <v>#VALUE!</v>
      </c>
      <c r="M182" t="e">
        <f>LEN(tblPassengerNames[[#This Row],[InParenthesesCleaned]]) - LEN(SUBSTITUTE(tblPassengerNames[[#This Row],[InParenthesesCleaned]], " ", ""))</f>
        <v>#VALUE!</v>
      </c>
      <c r="N182" t="e">
        <f>FIND("@", SUBSTITUTE(tblPassengerNames[[#This Row],[InParenthesesCleaned]], " ", "@", tblPassengerNames[[#This Row],[P_NSpaces]]))</f>
        <v>#VALUE!</v>
      </c>
      <c r="O182" t="e">
        <f>IF(tblPassengerNames[[#This Row],[P_NSpaces]] = 0,
    tblPassengerNames[[#This Row],[InParenthesesCleaned]],
    LEFT(tblPassengerNames[[#This Row],[InParenthesesCleaned]], tblPassengerNames[[#This Row],[P_FinalSpacePos]] - 1)
)</f>
        <v>#VALUE!</v>
      </c>
      <c r="P182" t="str">
        <f>IFERROR(tblPassengerNames[[#This Row],[P_Forenames]], tblPassengerNames[[#This Row],[ConvForenames]])</f>
        <v>Herman</v>
      </c>
      <c r="Q182" t="str">
        <f>MID(tblPassengerNames[[#This Row],[Name]], tblPassengerNames[[#This Row],[CommaPos]] + 2, tblPassengerNames[[#This Row],[DotPos]] - tblPassengerNames[[#This Row],[CommaPos]] - 1)</f>
        <v>Mr.</v>
      </c>
      <c r="R182" t="str">
        <f>LEFT(tblPassengerNames[[#This Row],[Name]], tblPassengerNames[[#This Row],[CommaPos]] - 1)</f>
        <v>Klaber</v>
      </c>
    </row>
    <row r="183" spans="2:18" x14ac:dyDescent="0.25">
      <c r="B183" s="21">
        <v>181</v>
      </c>
      <c r="C183" s="21" t="s">
        <v>317</v>
      </c>
      <c r="D183" s="21" t="s">
        <v>136</v>
      </c>
      <c r="E183">
        <f>FIND(",", tblPassengerNames[[#This Row],[Name]])</f>
        <v>9</v>
      </c>
      <c r="F183">
        <f>FIND(".", tblPassengerNames[[#This Row],[Name]])</f>
        <v>15</v>
      </c>
      <c r="G183" t="e">
        <f>FIND("(", tblPassengerNames[[#This Row],[Name]])</f>
        <v>#VALUE!</v>
      </c>
      <c r="H183" t="e">
        <f>FIND(")", tblPassengerNames[[#This Row],[Name]])</f>
        <v>#VALUE!</v>
      </c>
      <c r="I183">
        <f>IFERROR(tblPassengerNames[[#This Row],[OpenParPos]] - 2, LEN(tblPassengerNames[[#This Row],[Name]]))</f>
        <v>22</v>
      </c>
      <c r="J183" t="str">
        <f>MID(tblPassengerNames[[#This Row],[Name]], tblPassengerNames[[#This Row],[DotPos]] + 2, tblPassengerNames[[#This Row],[EndOfConvFNPos]] - tblPassengerNames[[#This Row],[DotPos]] - 1)</f>
        <v>Emilie</v>
      </c>
      <c r="K183" t="e">
        <f>MID(tblPassengerNames[[#This Row],[Name]], tblPassengerNames[[#This Row],[OpenParPos]] + 1, tblPassengerNames[[#This Row],[CloseParPos]] - tblPassengerNames[[#This Row],[OpenParPos]] - 1)</f>
        <v>#VALUE!</v>
      </c>
      <c r="L183" t="e">
        <f>IF(AND(LEFT(tblPassengerNames[[#This Row],[InParentheses]], 1) = "'", RIGHT(tblPassengerNames[[#This Row],[InParentheses]], 1) = "'"),
    #VALUE!,
    tblPassengerNames[[#This Row],[InParentheses]]
)</f>
        <v>#VALUE!</v>
      </c>
      <c r="M183" t="e">
        <f>LEN(tblPassengerNames[[#This Row],[InParenthesesCleaned]]) - LEN(SUBSTITUTE(tblPassengerNames[[#This Row],[InParenthesesCleaned]], " ", ""))</f>
        <v>#VALUE!</v>
      </c>
      <c r="N183" t="e">
        <f>FIND("@", SUBSTITUTE(tblPassengerNames[[#This Row],[InParenthesesCleaned]], " ", "@", tblPassengerNames[[#This Row],[P_NSpaces]]))</f>
        <v>#VALUE!</v>
      </c>
      <c r="O183" t="e">
        <f>IF(tblPassengerNames[[#This Row],[P_NSpaces]] = 0,
    tblPassengerNames[[#This Row],[InParenthesesCleaned]],
    LEFT(tblPassengerNames[[#This Row],[InParenthesesCleaned]], tblPassengerNames[[#This Row],[P_FinalSpacePos]] - 1)
)</f>
        <v>#VALUE!</v>
      </c>
      <c r="P183" t="str">
        <f>IFERROR(tblPassengerNames[[#This Row],[P_Forenames]], tblPassengerNames[[#This Row],[ConvForenames]])</f>
        <v>Emilie</v>
      </c>
      <c r="Q183" t="str">
        <f>MID(tblPassengerNames[[#This Row],[Name]], tblPassengerNames[[#This Row],[CommaPos]] + 2, tblPassengerNames[[#This Row],[DotPos]] - tblPassengerNames[[#This Row],[CommaPos]] - 1)</f>
        <v>Miss.</v>
      </c>
      <c r="R183" t="str">
        <f>LEFT(tblPassengerNames[[#This Row],[Name]], tblPassengerNames[[#This Row],[CommaPos]] - 1)</f>
        <v>Kreuchen</v>
      </c>
    </row>
    <row r="184" spans="2:18" x14ac:dyDescent="0.25">
      <c r="B184" s="21">
        <v>182</v>
      </c>
      <c r="C184" s="21" t="s">
        <v>318</v>
      </c>
      <c r="D184" s="21" t="s">
        <v>136</v>
      </c>
      <c r="E184">
        <f>FIND(",", tblPassengerNames[[#This Row],[Name]])</f>
        <v>7</v>
      </c>
      <c r="F184">
        <f>FIND(".", tblPassengerNames[[#This Row],[Name]])</f>
        <v>11</v>
      </c>
      <c r="G184">
        <f>FIND("(", tblPassengerNames[[#This Row],[Name]])</f>
        <v>19</v>
      </c>
      <c r="H184">
        <f>FIND(")", tblPassengerNames[[#This Row],[Name]])</f>
        <v>27</v>
      </c>
      <c r="I184">
        <f>IFERROR(tblPassengerNames[[#This Row],[OpenParPos]] - 2, LEN(tblPassengerNames[[#This Row],[Name]]))</f>
        <v>17</v>
      </c>
      <c r="J184" t="str">
        <f>MID(tblPassengerNames[[#This Row],[Name]], tblPassengerNames[[#This Row],[DotPos]] + 2, tblPassengerNames[[#This Row],[EndOfConvFNPos]] - tblPassengerNames[[#This Row],[DotPos]] - 1)</f>
        <v>Alice</v>
      </c>
      <c r="K184" t="str">
        <f>MID(tblPassengerNames[[#This Row],[Name]], tblPassengerNames[[#This Row],[OpenParPos]] + 1, tblPassengerNames[[#This Row],[CloseParPos]] - tblPassengerNames[[#This Row],[OpenParPos]] - 1)</f>
        <v>Farnham</v>
      </c>
      <c r="L184" t="str">
        <f>IF(AND(LEFT(tblPassengerNames[[#This Row],[InParentheses]], 1) = "'", RIGHT(tblPassengerNames[[#This Row],[InParentheses]], 1) = "'"),
    #VALUE!,
    tblPassengerNames[[#This Row],[InParentheses]]
)</f>
        <v>Farnham</v>
      </c>
      <c r="M184">
        <f>LEN(tblPassengerNames[[#This Row],[InParenthesesCleaned]]) - LEN(SUBSTITUTE(tblPassengerNames[[#This Row],[InParenthesesCleaned]], " ", ""))</f>
        <v>0</v>
      </c>
      <c r="N184" t="e">
        <f>FIND("@", SUBSTITUTE(tblPassengerNames[[#This Row],[InParenthesesCleaned]], " ", "@", tblPassengerNames[[#This Row],[P_NSpaces]]))</f>
        <v>#VALUE!</v>
      </c>
      <c r="O184" t="str">
        <f>IF(tblPassengerNames[[#This Row],[P_NSpaces]] = 0,
    tblPassengerNames[[#This Row],[InParenthesesCleaned]],
    LEFT(tblPassengerNames[[#This Row],[InParenthesesCleaned]], tblPassengerNames[[#This Row],[P_FinalSpacePos]] - 1)
)</f>
        <v>Farnham</v>
      </c>
      <c r="P184" t="str">
        <f>IFERROR(tblPassengerNames[[#This Row],[P_Forenames]], tblPassengerNames[[#This Row],[ConvForenames]])</f>
        <v>Farnham</v>
      </c>
      <c r="Q184" t="str">
        <f>MID(tblPassengerNames[[#This Row],[Name]], tblPassengerNames[[#This Row],[CommaPos]] + 2, tblPassengerNames[[#This Row],[DotPos]] - tblPassengerNames[[#This Row],[CommaPos]] - 1)</f>
        <v>Dr.</v>
      </c>
      <c r="R184" t="str">
        <f>LEFT(tblPassengerNames[[#This Row],[Name]], tblPassengerNames[[#This Row],[CommaPos]] - 1)</f>
        <v>Leader</v>
      </c>
    </row>
    <row r="185" spans="2:18" x14ac:dyDescent="0.25">
      <c r="B185" s="21">
        <v>183</v>
      </c>
      <c r="C185" s="21" t="s">
        <v>319</v>
      </c>
      <c r="D185" s="21" t="s">
        <v>136</v>
      </c>
      <c r="E185">
        <f>FIND(",", tblPassengerNames[[#This Row],[Name]])</f>
        <v>6</v>
      </c>
      <c r="F185">
        <f>FIND(".", tblPassengerNames[[#This Row],[Name]])</f>
        <v>12</v>
      </c>
      <c r="G185" t="e">
        <f>FIND("(", tblPassengerNames[[#This Row],[Name]])</f>
        <v>#VALUE!</v>
      </c>
      <c r="H185" t="e">
        <f>FIND(")", tblPassengerNames[[#This Row],[Name]])</f>
        <v>#VALUE!</v>
      </c>
      <c r="I185">
        <f>IFERROR(tblPassengerNames[[#This Row],[OpenParPos]] - 2, LEN(tblPassengerNames[[#This Row],[Name]]))</f>
        <v>19</v>
      </c>
      <c r="J185" t="str">
        <f>MID(tblPassengerNames[[#This Row],[Name]], tblPassengerNames[[#This Row],[DotPos]] + 2, tblPassengerNames[[#This Row],[EndOfConvFNPos]] - tblPassengerNames[[#This Row],[DotPos]] - 1)</f>
        <v>Bertha</v>
      </c>
      <c r="K185" t="e">
        <f>MID(tblPassengerNames[[#This Row],[Name]], tblPassengerNames[[#This Row],[OpenParPos]] + 1, tblPassengerNames[[#This Row],[CloseParPos]] - tblPassengerNames[[#This Row],[OpenParPos]] - 1)</f>
        <v>#VALUE!</v>
      </c>
      <c r="L185" t="e">
        <f>IF(AND(LEFT(tblPassengerNames[[#This Row],[InParentheses]], 1) = "'", RIGHT(tblPassengerNames[[#This Row],[InParentheses]], 1) = "'"),
    #VALUE!,
    tblPassengerNames[[#This Row],[InParentheses]]
)</f>
        <v>#VALUE!</v>
      </c>
      <c r="M185" t="e">
        <f>LEN(tblPassengerNames[[#This Row],[InParenthesesCleaned]]) - LEN(SUBSTITUTE(tblPassengerNames[[#This Row],[InParenthesesCleaned]], " ", ""))</f>
        <v>#VALUE!</v>
      </c>
      <c r="N185" t="e">
        <f>FIND("@", SUBSTITUTE(tblPassengerNames[[#This Row],[InParenthesesCleaned]], " ", "@", tblPassengerNames[[#This Row],[P_NSpaces]]))</f>
        <v>#VALUE!</v>
      </c>
      <c r="O185" t="e">
        <f>IF(tblPassengerNames[[#This Row],[P_NSpaces]] = 0,
    tblPassengerNames[[#This Row],[InParenthesesCleaned]],
    LEFT(tblPassengerNames[[#This Row],[InParenthesesCleaned]], tblPassengerNames[[#This Row],[P_FinalSpacePos]] - 1)
)</f>
        <v>#VALUE!</v>
      </c>
      <c r="P185" t="str">
        <f>IFERROR(tblPassengerNames[[#This Row],[P_Forenames]], tblPassengerNames[[#This Row],[ConvForenames]])</f>
        <v>Bertha</v>
      </c>
      <c r="Q185" t="str">
        <f>MID(tblPassengerNames[[#This Row],[Name]], tblPassengerNames[[#This Row],[CommaPos]] + 2, tblPassengerNames[[#This Row],[DotPos]] - tblPassengerNames[[#This Row],[CommaPos]] - 1)</f>
        <v>Miss.</v>
      </c>
      <c r="R185" t="str">
        <f>LEFT(tblPassengerNames[[#This Row],[Name]], tblPassengerNames[[#This Row],[CommaPos]] - 1)</f>
        <v>LeRoy</v>
      </c>
    </row>
    <row r="186" spans="2:18" x14ac:dyDescent="0.25">
      <c r="B186" s="21">
        <v>184</v>
      </c>
      <c r="C186" s="21" t="s">
        <v>320</v>
      </c>
      <c r="D186" s="21" t="s">
        <v>138</v>
      </c>
      <c r="E186">
        <f>FIND(",", tblPassengerNames[[#This Row],[Name]])</f>
        <v>8</v>
      </c>
      <c r="F186">
        <f>FIND(".", tblPassengerNames[[#This Row],[Name]])</f>
        <v>12</v>
      </c>
      <c r="G186" t="e">
        <f>FIND("(", tblPassengerNames[[#This Row],[Name]])</f>
        <v>#VALUE!</v>
      </c>
      <c r="H186" t="e">
        <f>FIND(")", tblPassengerNames[[#This Row],[Name]])</f>
        <v>#VALUE!</v>
      </c>
      <c r="I186">
        <f>IFERROR(tblPassengerNames[[#This Row],[OpenParPos]] - 2, LEN(tblPassengerNames[[#This Row],[Name]]))</f>
        <v>22</v>
      </c>
      <c r="J186" t="str">
        <f>MID(tblPassengerNames[[#This Row],[Name]], tblPassengerNames[[#This Row],[DotPos]] + 2, tblPassengerNames[[#This Row],[EndOfConvFNPos]] - tblPassengerNames[[#This Row],[DotPos]] - 1)</f>
        <v>Gustave J</v>
      </c>
      <c r="K186" t="e">
        <f>MID(tblPassengerNames[[#This Row],[Name]], tblPassengerNames[[#This Row],[OpenParPos]] + 1, tblPassengerNames[[#This Row],[CloseParPos]] - tblPassengerNames[[#This Row],[OpenParPos]] - 1)</f>
        <v>#VALUE!</v>
      </c>
      <c r="L186" t="e">
        <f>IF(AND(LEFT(tblPassengerNames[[#This Row],[InParentheses]], 1) = "'", RIGHT(tblPassengerNames[[#This Row],[InParentheses]], 1) = "'"),
    #VALUE!,
    tblPassengerNames[[#This Row],[InParentheses]]
)</f>
        <v>#VALUE!</v>
      </c>
      <c r="M186" t="e">
        <f>LEN(tblPassengerNames[[#This Row],[InParenthesesCleaned]]) - LEN(SUBSTITUTE(tblPassengerNames[[#This Row],[InParenthesesCleaned]], " ", ""))</f>
        <v>#VALUE!</v>
      </c>
      <c r="N186" t="e">
        <f>FIND("@", SUBSTITUTE(tblPassengerNames[[#This Row],[InParenthesesCleaned]], " ", "@", tblPassengerNames[[#This Row],[P_NSpaces]]))</f>
        <v>#VALUE!</v>
      </c>
      <c r="O186" t="e">
        <f>IF(tblPassengerNames[[#This Row],[P_NSpaces]] = 0,
    tblPassengerNames[[#This Row],[InParenthesesCleaned]],
    LEFT(tblPassengerNames[[#This Row],[InParenthesesCleaned]], tblPassengerNames[[#This Row],[P_FinalSpacePos]] - 1)
)</f>
        <v>#VALUE!</v>
      </c>
      <c r="P186" t="str">
        <f>IFERROR(tblPassengerNames[[#This Row],[P_Forenames]], tblPassengerNames[[#This Row],[ConvForenames]])</f>
        <v>Gustave J</v>
      </c>
      <c r="Q186" t="str">
        <f>MID(tblPassengerNames[[#This Row],[Name]], tblPassengerNames[[#This Row],[CommaPos]] + 2, tblPassengerNames[[#This Row],[DotPos]] - tblPassengerNames[[#This Row],[CommaPos]] - 1)</f>
        <v>Mr.</v>
      </c>
      <c r="R186" t="str">
        <f>LEFT(tblPassengerNames[[#This Row],[Name]], tblPassengerNames[[#This Row],[CommaPos]] - 1)</f>
        <v>Lesurer</v>
      </c>
    </row>
    <row r="187" spans="2:18" x14ac:dyDescent="0.25">
      <c r="B187" s="21">
        <v>185</v>
      </c>
      <c r="C187" s="21" t="s">
        <v>321</v>
      </c>
      <c r="D187" s="21" t="s">
        <v>138</v>
      </c>
      <c r="E187">
        <f>FIND(",", tblPassengerNames[[#This Row],[Name]])</f>
        <v>5</v>
      </c>
      <c r="F187">
        <f>FIND(".", tblPassengerNames[[#This Row],[Name]])</f>
        <v>9</v>
      </c>
      <c r="G187" t="e">
        <f>FIND("(", tblPassengerNames[[#This Row],[Name]])</f>
        <v>#VALUE!</v>
      </c>
      <c r="H187" t="e">
        <f>FIND(")", tblPassengerNames[[#This Row],[Name]])</f>
        <v>#VALUE!</v>
      </c>
      <c r="I187">
        <f>IFERROR(tblPassengerNames[[#This Row],[OpenParPos]] - 2, LEN(tblPassengerNames[[#This Row],[Name]]))</f>
        <v>17</v>
      </c>
      <c r="J187" t="str">
        <f>MID(tblPassengerNames[[#This Row],[Name]], tblPassengerNames[[#This Row],[DotPos]] + 2, tblPassengerNames[[#This Row],[EndOfConvFNPos]] - tblPassengerNames[[#This Row],[DotPos]] - 1)</f>
        <v>Ervin G</v>
      </c>
      <c r="K187" t="e">
        <f>MID(tblPassengerNames[[#This Row],[Name]], tblPassengerNames[[#This Row],[OpenParPos]] + 1, tblPassengerNames[[#This Row],[CloseParPos]] - tblPassengerNames[[#This Row],[OpenParPos]] - 1)</f>
        <v>#VALUE!</v>
      </c>
      <c r="L187" t="e">
        <f>IF(AND(LEFT(tblPassengerNames[[#This Row],[InParentheses]], 1) = "'", RIGHT(tblPassengerNames[[#This Row],[InParentheses]], 1) = "'"),
    #VALUE!,
    tblPassengerNames[[#This Row],[InParentheses]]
)</f>
        <v>#VALUE!</v>
      </c>
      <c r="M187" t="e">
        <f>LEN(tblPassengerNames[[#This Row],[InParenthesesCleaned]]) - LEN(SUBSTITUTE(tblPassengerNames[[#This Row],[InParenthesesCleaned]], " ", ""))</f>
        <v>#VALUE!</v>
      </c>
      <c r="N187" t="e">
        <f>FIND("@", SUBSTITUTE(tblPassengerNames[[#This Row],[InParenthesesCleaned]], " ", "@", tblPassengerNames[[#This Row],[P_NSpaces]]))</f>
        <v>#VALUE!</v>
      </c>
      <c r="O187" t="e">
        <f>IF(tblPassengerNames[[#This Row],[P_NSpaces]] = 0,
    tblPassengerNames[[#This Row],[InParenthesesCleaned]],
    LEFT(tblPassengerNames[[#This Row],[InParenthesesCleaned]], tblPassengerNames[[#This Row],[P_FinalSpacePos]] - 1)
)</f>
        <v>#VALUE!</v>
      </c>
      <c r="P187" t="str">
        <f>IFERROR(tblPassengerNames[[#This Row],[P_Forenames]], tblPassengerNames[[#This Row],[ConvForenames]])</f>
        <v>Ervin G</v>
      </c>
      <c r="Q187" t="str">
        <f>MID(tblPassengerNames[[#This Row],[Name]], tblPassengerNames[[#This Row],[CommaPos]] + 2, tblPassengerNames[[#This Row],[DotPos]] - tblPassengerNames[[#This Row],[CommaPos]] - 1)</f>
        <v>Mr.</v>
      </c>
      <c r="R187" t="str">
        <f>LEFT(tblPassengerNames[[#This Row],[Name]], tblPassengerNames[[#This Row],[CommaPos]] - 1)</f>
        <v>Lewy</v>
      </c>
    </row>
    <row r="188" spans="2:18" x14ac:dyDescent="0.25">
      <c r="B188" s="21">
        <v>186</v>
      </c>
      <c r="C188" s="21" t="s">
        <v>322</v>
      </c>
      <c r="D188" s="21" t="s">
        <v>138</v>
      </c>
      <c r="E188">
        <f>FIND(",", tblPassengerNames[[#This Row],[Name]])</f>
        <v>15</v>
      </c>
      <c r="F188">
        <f>FIND(".", tblPassengerNames[[#This Row],[Name]])</f>
        <v>19</v>
      </c>
      <c r="G188">
        <f>FIND("(", tblPassengerNames[[#This Row],[Name]])</f>
        <v>33</v>
      </c>
      <c r="H188">
        <f>FIND(")", tblPassengerNames[[#This Row],[Name]])</f>
        <v>53</v>
      </c>
      <c r="I188">
        <f>IFERROR(tblPassengerNames[[#This Row],[OpenParPos]] - 2, LEN(tblPassengerNames[[#This Row],[Name]]))</f>
        <v>31</v>
      </c>
      <c r="J188" t="str">
        <f>MID(tblPassengerNames[[#This Row],[Name]], tblPassengerNames[[#This Row],[DotPos]] + 2, tblPassengerNames[[#This Row],[EndOfConvFNPos]] - tblPassengerNames[[#This Row],[DotPos]] - 1)</f>
        <v>Erik Gustaf</v>
      </c>
      <c r="K188" t="str">
        <f>MID(tblPassengerNames[[#This Row],[Name]], tblPassengerNames[[#This Row],[OpenParPos]] + 1, tblPassengerNames[[#This Row],[CloseParPos]] - tblPassengerNames[[#This Row],[OpenParPos]] - 1)</f>
        <v>'Mr Edward Lingrey'</v>
      </c>
      <c r="L188" t="e">
        <f>IF(AND(LEFT(tblPassengerNames[[#This Row],[InParentheses]], 1) = "'", RIGHT(tblPassengerNames[[#This Row],[InParentheses]], 1) = "'"),
    #VALUE!,
    tblPassengerNames[[#This Row],[InParentheses]]
)</f>
        <v>#VALUE!</v>
      </c>
      <c r="M188" t="e">
        <f>LEN(tblPassengerNames[[#This Row],[InParenthesesCleaned]]) - LEN(SUBSTITUTE(tblPassengerNames[[#This Row],[InParenthesesCleaned]], " ", ""))</f>
        <v>#VALUE!</v>
      </c>
      <c r="N188" t="e">
        <f>FIND("@", SUBSTITUTE(tblPassengerNames[[#This Row],[InParenthesesCleaned]], " ", "@", tblPassengerNames[[#This Row],[P_NSpaces]]))</f>
        <v>#VALUE!</v>
      </c>
      <c r="O188" t="e">
        <f>IF(tblPassengerNames[[#This Row],[P_NSpaces]] = 0,
    tblPassengerNames[[#This Row],[InParenthesesCleaned]],
    LEFT(tblPassengerNames[[#This Row],[InParenthesesCleaned]], tblPassengerNames[[#This Row],[P_FinalSpacePos]] - 1)
)</f>
        <v>#VALUE!</v>
      </c>
      <c r="P188" t="str">
        <f>IFERROR(tblPassengerNames[[#This Row],[P_Forenames]], tblPassengerNames[[#This Row],[ConvForenames]])</f>
        <v>Erik Gustaf</v>
      </c>
      <c r="Q188" t="str">
        <f>MID(tblPassengerNames[[#This Row],[Name]], tblPassengerNames[[#This Row],[CommaPos]] + 2, tblPassengerNames[[#This Row],[DotPos]] - tblPassengerNames[[#This Row],[CommaPos]] - 1)</f>
        <v>Mr.</v>
      </c>
      <c r="R188" t="str">
        <f>LEFT(tblPassengerNames[[#This Row],[Name]], tblPassengerNames[[#This Row],[CommaPos]] - 1)</f>
        <v>Lindeberg-Lind</v>
      </c>
    </row>
    <row r="189" spans="2:18" x14ac:dyDescent="0.25">
      <c r="B189" s="21">
        <v>187</v>
      </c>
      <c r="C189" s="21" t="s">
        <v>323</v>
      </c>
      <c r="D189" s="21" t="s">
        <v>136</v>
      </c>
      <c r="E189">
        <f>FIND(",", tblPassengerNames[[#This Row],[Name]])</f>
        <v>10</v>
      </c>
      <c r="F189">
        <f>FIND(".", tblPassengerNames[[#This Row],[Name]])</f>
        <v>15</v>
      </c>
      <c r="G189">
        <f>FIND("(", tblPassengerNames[[#This Row],[Name]])</f>
        <v>28</v>
      </c>
      <c r="H189">
        <f>FIND(")", tblPassengerNames[[#This Row],[Name]])</f>
        <v>41</v>
      </c>
      <c r="I189">
        <f>IFERROR(tblPassengerNames[[#This Row],[OpenParPos]] - 2, LEN(tblPassengerNames[[#This Row],[Name]]))</f>
        <v>26</v>
      </c>
      <c r="J189" t="str">
        <f>MID(tblPassengerNames[[#This Row],[Name]], tblPassengerNames[[#This Row],[DotPos]] + 2, tblPassengerNames[[#This Row],[EndOfConvFNPos]] - tblPassengerNames[[#This Row],[DotPos]] - 1)</f>
        <v>Carl Johan</v>
      </c>
      <c r="K189" t="str">
        <f>MID(tblPassengerNames[[#This Row],[Name]], tblPassengerNames[[#This Row],[OpenParPos]] + 1, tblPassengerNames[[#This Row],[CloseParPos]] - tblPassengerNames[[#This Row],[OpenParPos]] - 1)</f>
        <v>Sigrid Posse</v>
      </c>
      <c r="L189" t="str">
        <f>IF(AND(LEFT(tblPassengerNames[[#This Row],[InParentheses]], 1) = "'", RIGHT(tblPassengerNames[[#This Row],[InParentheses]], 1) = "'"),
    #VALUE!,
    tblPassengerNames[[#This Row],[InParentheses]]
)</f>
        <v>Sigrid Posse</v>
      </c>
      <c r="M189">
        <f>LEN(tblPassengerNames[[#This Row],[InParenthesesCleaned]]) - LEN(SUBSTITUTE(tblPassengerNames[[#This Row],[InParenthesesCleaned]], " ", ""))</f>
        <v>1</v>
      </c>
      <c r="N189">
        <f>FIND("@", SUBSTITUTE(tblPassengerNames[[#This Row],[InParenthesesCleaned]], " ", "@", tblPassengerNames[[#This Row],[P_NSpaces]]))</f>
        <v>7</v>
      </c>
      <c r="O189" t="str">
        <f>IF(tblPassengerNames[[#This Row],[P_NSpaces]] = 0,
    tblPassengerNames[[#This Row],[InParenthesesCleaned]],
    LEFT(tblPassengerNames[[#This Row],[InParenthesesCleaned]], tblPassengerNames[[#This Row],[P_FinalSpacePos]] - 1)
)</f>
        <v>Sigrid</v>
      </c>
      <c r="P189" t="str">
        <f>IFERROR(tblPassengerNames[[#This Row],[P_Forenames]], tblPassengerNames[[#This Row],[ConvForenames]])</f>
        <v>Sigrid</v>
      </c>
      <c r="Q189" t="str">
        <f>MID(tblPassengerNames[[#This Row],[Name]], tblPassengerNames[[#This Row],[CommaPos]] + 2, tblPassengerNames[[#This Row],[DotPos]] - tblPassengerNames[[#This Row],[CommaPos]] - 1)</f>
        <v>Mrs.</v>
      </c>
      <c r="R189" t="str">
        <f>LEFT(tblPassengerNames[[#This Row],[Name]], tblPassengerNames[[#This Row],[CommaPos]] - 1)</f>
        <v>Lindstrom</v>
      </c>
    </row>
    <row r="190" spans="2:18" x14ac:dyDescent="0.25">
      <c r="B190" s="21">
        <v>188</v>
      </c>
      <c r="C190" s="21" t="s">
        <v>324</v>
      </c>
      <c r="D190" s="21" t="s">
        <v>136</v>
      </c>
      <c r="E190">
        <f>FIND(",", tblPassengerNames[[#This Row],[Name]])</f>
        <v>6</v>
      </c>
      <c r="F190">
        <f>FIND(".", tblPassengerNames[[#This Row],[Name]])</f>
        <v>12</v>
      </c>
      <c r="G190" t="e">
        <f>FIND("(", tblPassengerNames[[#This Row],[Name]])</f>
        <v>#VALUE!</v>
      </c>
      <c r="H190" t="e">
        <f>FIND(")", tblPassengerNames[[#This Row],[Name]])</f>
        <v>#VALUE!</v>
      </c>
      <c r="I190">
        <f>IFERROR(tblPassengerNames[[#This Row],[OpenParPos]] - 2, LEN(tblPassengerNames[[#This Row],[Name]]))</f>
        <v>25</v>
      </c>
      <c r="J190" t="str">
        <f>MID(tblPassengerNames[[#This Row],[Name]], tblPassengerNames[[#This Row],[DotPos]] + 2, tblPassengerNames[[#This Row],[EndOfConvFNPos]] - tblPassengerNames[[#This Row],[DotPos]] - 1)</f>
        <v>Mary Conover</v>
      </c>
      <c r="K190" t="e">
        <f>MID(tblPassengerNames[[#This Row],[Name]], tblPassengerNames[[#This Row],[OpenParPos]] + 1, tblPassengerNames[[#This Row],[CloseParPos]] - tblPassengerNames[[#This Row],[OpenParPos]] - 1)</f>
        <v>#VALUE!</v>
      </c>
      <c r="L190" t="e">
        <f>IF(AND(LEFT(tblPassengerNames[[#This Row],[InParentheses]], 1) = "'", RIGHT(tblPassengerNames[[#This Row],[InParentheses]], 1) = "'"),
    #VALUE!,
    tblPassengerNames[[#This Row],[InParentheses]]
)</f>
        <v>#VALUE!</v>
      </c>
      <c r="M190" t="e">
        <f>LEN(tblPassengerNames[[#This Row],[InParenthesesCleaned]]) - LEN(SUBSTITUTE(tblPassengerNames[[#This Row],[InParenthesesCleaned]], " ", ""))</f>
        <v>#VALUE!</v>
      </c>
      <c r="N190" t="e">
        <f>FIND("@", SUBSTITUTE(tblPassengerNames[[#This Row],[InParenthesesCleaned]], " ", "@", tblPassengerNames[[#This Row],[P_NSpaces]]))</f>
        <v>#VALUE!</v>
      </c>
      <c r="O190" t="e">
        <f>IF(tblPassengerNames[[#This Row],[P_NSpaces]] = 0,
    tblPassengerNames[[#This Row],[InParenthesesCleaned]],
    LEFT(tblPassengerNames[[#This Row],[InParenthesesCleaned]], tblPassengerNames[[#This Row],[P_FinalSpacePos]] - 1)
)</f>
        <v>#VALUE!</v>
      </c>
      <c r="P190" t="str">
        <f>IFERROR(tblPassengerNames[[#This Row],[P_Forenames]], tblPassengerNames[[#This Row],[ConvForenames]])</f>
        <v>Mary Conover</v>
      </c>
      <c r="Q190" t="str">
        <f>MID(tblPassengerNames[[#This Row],[Name]], tblPassengerNames[[#This Row],[CommaPos]] + 2, tblPassengerNames[[#This Row],[DotPos]] - tblPassengerNames[[#This Row],[CommaPos]] - 1)</f>
        <v>Miss.</v>
      </c>
      <c r="R190" t="str">
        <f>LEFT(tblPassengerNames[[#This Row],[Name]], tblPassengerNames[[#This Row],[CommaPos]] - 1)</f>
        <v>Lines</v>
      </c>
    </row>
    <row r="191" spans="2:18" x14ac:dyDescent="0.25">
      <c r="B191" s="21">
        <v>189</v>
      </c>
      <c r="C191" s="21" t="s">
        <v>325</v>
      </c>
      <c r="D191" s="21" t="s">
        <v>136</v>
      </c>
      <c r="E191">
        <f>FIND(",", tblPassengerNames[[#This Row],[Name]])</f>
        <v>6</v>
      </c>
      <c r="F191">
        <f>FIND(".", tblPassengerNames[[#This Row],[Name]])</f>
        <v>11</v>
      </c>
      <c r="G191">
        <f>FIND("(", tblPassengerNames[[#This Row],[Name]])</f>
        <v>22</v>
      </c>
      <c r="H191">
        <f>FIND(")", tblPassengerNames[[#This Row],[Name]])</f>
        <v>46</v>
      </c>
      <c r="I191">
        <f>IFERROR(tblPassengerNames[[#This Row],[OpenParPos]] - 2, LEN(tblPassengerNames[[#This Row],[Name]]))</f>
        <v>20</v>
      </c>
      <c r="J191" t="str">
        <f>MID(tblPassengerNames[[#This Row],[Name]], tblPassengerNames[[#This Row],[DotPos]] + 2, tblPassengerNames[[#This Row],[EndOfConvFNPos]] - tblPassengerNames[[#This Row],[DotPos]] - 1)</f>
        <v>Ernest H</v>
      </c>
      <c r="K191" t="str">
        <f>MID(tblPassengerNames[[#This Row],[Name]], tblPassengerNames[[#This Row],[OpenParPos]] + 1, tblPassengerNames[[#This Row],[CloseParPos]] - tblPassengerNames[[#This Row],[OpenParPos]] - 1)</f>
        <v>Elizabeth Lindsey James</v>
      </c>
      <c r="L191" t="str">
        <f>IF(AND(LEFT(tblPassengerNames[[#This Row],[InParentheses]], 1) = "'", RIGHT(tblPassengerNames[[#This Row],[InParentheses]], 1) = "'"),
    #VALUE!,
    tblPassengerNames[[#This Row],[InParentheses]]
)</f>
        <v>Elizabeth Lindsey James</v>
      </c>
      <c r="M191">
        <f>LEN(tblPassengerNames[[#This Row],[InParenthesesCleaned]]) - LEN(SUBSTITUTE(tblPassengerNames[[#This Row],[InParenthesesCleaned]], " ", ""))</f>
        <v>2</v>
      </c>
      <c r="N191">
        <f>FIND("@", SUBSTITUTE(tblPassengerNames[[#This Row],[InParenthesesCleaned]], " ", "@", tblPassengerNames[[#This Row],[P_NSpaces]]))</f>
        <v>18</v>
      </c>
      <c r="O191" t="str">
        <f>IF(tblPassengerNames[[#This Row],[P_NSpaces]] = 0,
    tblPassengerNames[[#This Row],[InParenthesesCleaned]],
    LEFT(tblPassengerNames[[#This Row],[InParenthesesCleaned]], tblPassengerNames[[#This Row],[P_FinalSpacePos]] - 1)
)</f>
        <v>Elizabeth Lindsey</v>
      </c>
      <c r="P191" t="str">
        <f>IFERROR(tblPassengerNames[[#This Row],[P_Forenames]], tblPassengerNames[[#This Row],[ConvForenames]])</f>
        <v>Elizabeth Lindsey</v>
      </c>
      <c r="Q191" t="str">
        <f>MID(tblPassengerNames[[#This Row],[Name]], tblPassengerNames[[#This Row],[CommaPos]] + 2, tblPassengerNames[[#This Row],[DotPos]] - tblPassengerNames[[#This Row],[CommaPos]] - 1)</f>
        <v>Mrs.</v>
      </c>
      <c r="R191" t="str">
        <f>LEFT(tblPassengerNames[[#This Row],[Name]], tblPassengerNames[[#This Row],[CommaPos]] - 1)</f>
        <v>Lines</v>
      </c>
    </row>
    <row r="192" spans="2:18" x14ac:dyDescent="0.25">
      <c r="B192" s="21">
        <v>190</v>
      </c>
      <c r="C192" s="21" t="s">
        <v>326</v>
      </c>
      <c r="D192" s="21" t="s">
        <v>138</v>
      </c>
      <c r="E192">
        <f>FIND(",", tblPassengerNames[[#This Row],[Name]])</f>
        <v>5</v>
      </c>
      <c r="F192">
        <f>FIND(".", tblPassengerNames[[#This Row],[Name]])</f>
        <v>9</v>
      </c>
      <c r="G192" t="e">
        <f>FIND("(", tblPassengerNames[[#This Row],[Name]])</f>
        <v>#VALUE!</v>
      </c>
      <c r="H192" t="e">
        <f>FIND(")", tblPassengerNames[[#This Row],[Name]])</f>
        <v>#VALUE!</v>
      </c>
      <c r="I192">
        <f>IFERROR(tblPassengerNames[[#This Row],[OpenParPos]] - 2, LEN(tblPassengerNames[[#This Row],[Name]]))</f>
        <v>22</v>
      </c>
      <c r="J192" t="str">
        <f>MID(tblPassengerNames[[#This Row],[Name]], tblPassengerNames[[#This Row],[DotPos]] + 2, tblPassengerNames[[#This Row],[EndOfConvFNPos]] - tblPassengerNames[[#This Row],[DotPos]] - 1)</f>
        <v>Milton Clyde</v>
      </c>
      <c r="K192" t="e">
        <f>MID(tblPassengerNames[[#This Row],[Name]], tblPassengerNames[[#This Row],[OpenParPos]] + 1, tblPassengerNames[[#This Row],[CloseParPos]] - tblPassengerNames[[#This Row],[OpenParPos]] - 1)</f>
        <v>#VALUE!</v>
      </c>
      <c r="L192" t="e">
        <f>IF(AND(LEFT(tblPassengerNames[[#This Row],[InParentheses]], 1) = "'", RIGHT(tblPassengerNames[[#This Row],[InParentheses]], 1) = "'"),
    #VALUE!,
    tblPassengerNames[[#This Row],[InParentheses]]
)</f>
        <v>#VALUE!</v>
      </c>
      <c r="M192" t="e">
        <f>LEN(tblPassengerNames[[#This Row],[InParenthesesCleaned]]) - LEN(SUBSTITUTE(tblPassengerNames[[#This Row],[InParenthesesCleaned]], " ", ""))</f>
        <v>#VALUE!</v>
      </c>
      <c r="N192" t="e">
        <f>FIND("@", SUBSTITUTE(tblPassengerNames[[#This Row],[InParenthesesCleaned]], " ", "@", tblPassengerNames[[#This Row],[P_NSpaces]]))</f>
        <v>#VALUE!</v>
      </c>
      <c r="O192" t="e">
        <f>IF(tblPassengerNames[[#This Row],[P_NSpaces]] = 0,
    tblPassengerNames[[#This Row],[InParenthesesCleaned]],
    LEFT(tblPassengerNames[[#This Row],[InParenthesesCleaned]], tblPassengerNames[[#This Row],[P_FinalSpacePos]] - 1)
)</f>
        <v>#VALUE!</v>
      </c>
      <c r="P192" t="str">
        <f>IFERROR(tblPassengerNames[[#This Row],[P_Forenames]], tblPassengerNames[[#This Row],[ConvForenames]])</f>
        <v>Milton Clyde</v>
      </c>
      <c r="Q192" t="str">
        <f>MID(tblPassengerNames[[#This Row],[Name]], tblPassengerNames[[#This Row],[CommaPos]] + 2, tblPassengerNames[[#This Row],[DotPos]] - tblPassengerNames[[#This Row],[CommaPos]] - 1)</f>
        <v>Mr.</v>
      </c>
      <c r="R192" t="str">
        <f>LEFT(tblPassengerNames[[#This Row],[Name]], tblPassengerNames[[#This Row],[CommaPos]] - 1)</f>
        <v>Long</v>
      </c>
    </row>
    <row r="193" spans="2:18" x14ac:dyDescent="0.25">
      <c r="B193" s="21">
        <v>191</v>
      </c>
      <c r="C193" s="21" t="s">
        <v>327</v>
      </c>
      <c r="D193" s="21" t="s">
        <v>136</v>
      </c>
      <c r="E193">
        <f>FIND(",", tblPassengerNames[[#This Row],[Name]])</f>
        <v>8</v>
      </c>
      <c r="F193">
        <f>FIND(".", tblPassengerNames[[#This Row],[Name]])</f>
        <v>14</v>
      </c>
      <c r="G193" t="e">
        <f>FIND("(", tblPassengerNames[[#This Row],[Name]])</f>
        <v>#VALUE!</v>
      </c>
      <c r="H193" t="e">
        <f>FIND(")", tblPassengerNames[[#This Row],[Name]])</f>
        <v>#VALUE!</v>
      </c>
      <c r="I193">
        <f>IFERROR(tblPassengerNames[[#This Row],[OpenParPos]] - 2, LEN(tblPassengerNames[[#This Row],[Name]]))</f>
        <v>29</v>
      </c>
      <c r="J193" t="str">
        <f>MID(tblPassengerNames[[#This Row],[Name]], tblPassengerNames[[#This Row],[DotPos]] + 2, tblPassengerNames[[#This Row],[EndOfConvFNPos]] - tblPassengerNames[[#This Row],[DotPos]] - 1)</f>
        <v>Gretchen Fiske</v>
      </c>
      <c r="K193" t="e">
        <f>MID(tblPassengerNames[[#This Row],[Name]], tblPassengerNames[[#This Row],[OpenParPos]] + 1, tblPassengerNames[[#This Row],[CloseParPos]] - tblPassengerNames[[#This Row],[OpenParPos]] - 1)</f>
        <v>#VALUE!</v>
      </c>
      <c r="L193" t="e">
        <f>IF(AND(LEFT(tblPassengerNames[[#This Row],[InParentheses]], 1) = "'", RIGHT(tblPassengerNames[[#This Row],[InParentheses]], 1) = "'"),
    #VALUE!,
    tblPassengerNames[[#This Row],[InParentheses]]
)</f>
        <v>#VALUE!</v>
      </c>
      <c r="M193" t="e">
        <f>LEN(tblPassengerNames[[#This Row],[InParenthesesCleaned]]) - LEN(SUBSTITUTE(tblPassengerNames[[#This Row],[InParenthesesCleaned]], " ", ""))</f>
        <v>#VALUE!</v>
      </c>
      <c r="N193" t="e">
        <f>FIND("@", SUBSTITUTE(tblPassengerNames[[#This Row],[InParenthesesCleaned]], " ", "@", tblPassengerNames[[#This Row],[P_NSpaces]]))</f>
        <v>#VALUE!</v>
      </c>
      <c r="O193" t="e">
        <f>IF(tblPassengerNames[[#This Row],[P_NSpaces]] = 0,
    tblPassengerNames[[#This Row],[InParenthesesCleaned]],
    LEFT(tblPassengerNames[[#This Row],[InParenthesesCleaned]], tblPassengerNames[[#This Row],[P_FinalSpacePos]] - 1)
)</f>
        <v>#VALUE!</v>
      </c>
      <c r="P193" t="str">
        <f>IFERROR(tblPassengerNames[[#This Row],[P_Forenames]], tblPassengerNames[[#This Row],[ConvForenames]])</f>
        <v>Gretchen Fiske</v>
      </c>
      <c r="Q193" t="str">
        <f>MID(tblPassengerNames[[#This Row],[Name]], tblPassengerNames[[#This Row],[CommaPos]] + 2, tblPassengerNames[[#This Row],[DotPos]] - tblPassengerNames[[#This Row],[CommaPos]] - 1)</f>
        <v>Miss.</v>
      </c>
      <c r="R193" t="str">
        <f>LEFT(tblPassengerNames[[#This Row],[Name]], tblPassengerNames[[#This Row],[CommaPos]] - 1)</f>
        <v>Longley</v>
      </c>
    </row>
    <row r="194" spans="2:18" x14ac:dyDescent="0.25">
      <c r="B194" s="21">
        <v>192</v>
      </c>
      <c r="C194" s="21" t="s">
        <v>328</v>
      </c>
      <c r="D194" s="21" t="s">
        <v>138</v>
      </c>
      <c r="E194">
        <f>FIND(",", tblPassengerNames[[#This Row],[Name]])</f>
        <v>7</v>
      </c>
      <c r="F194">
        <f>FIND(".", tblPassengerNames[[#This Row],[Name]])</f>
        <v>11</v>
      </c>
      <c r="G194" t="e">
        <f>FIND("(", tblPassengerNames[[#This Row],[Name]])</f>
        <v>#VALUE!</v>
      </c>
      <c r="H194" t="e">
        <f>FIND(")", tblPassengerNames[[#This Row],[Name]])</f>
        <v>#VALUE!</v>
      </c>
      <c r="I194">
        <f>IFERROR(tblPassengerNames[[#This Row],[OpenParPos]] - 2, LEN(tblPassengerNames[[#This Row],[Name]]))</f>
        <v>26</v>
      </c>
      <c r="J194" t="str">
        <f>MID(tblPassengerNames[[#This Row],[Name]], tblPassengerNames[[#This Row],[DotPos]] + 2, tblPassengerNames[[#This Row],[EndOfConvFNPos]] - tblPassengerNames[[#This Row],[DotPos]] - 1)</f>
        <v>Joseph Holland</v>
      </c>
      <c r="K194" t="e">
        <f>MID(tblPassengerNames[[#This Row],[Name]], tblPassengerNames[[#This Row],[OpenParPos]] + 1, tblPassengerNames[[#This Row],[CloseParPos]] - tblPassengerNames[[#This Row],[OpenParPos]] - 1)</f>
        <v>#VALUE!</v>
      </c>
      <c r="L194" t="e">
        <f>IF(AND(LEFT(tblPassengerNames[[#This Row],[InParentheses]], 1) = "'", RIGHT(tblPassengerNames[[#This Row],[InParentheses]], 1) = "'"),
    #VALUE!,
    tblPassengerNames[[#This Row],[InParentheses]]
)</f>
        <v>#VALUE!</v>
      </c>
      <c r="M194" t="e">
        <f>LEN(tblPassengerNames[[#This Row],[InParenthesesCleaned]]) - LEN(SUBSTITUTE(tblPassengerNames[[#This Row],[InParenthesesCleaned]], " ", ""))</f>
        <v>#VALUE!</v>
      </c>
      <c r="N194" t="e">
        <f>FIND("@", SUBSTITUTE(tblPassengerNames[[#This Row],[InParenthesesCleaned]], " ", "@", tblPassengerNames[[#This Row],[P_NSpaces]]))</f>
        <v>#VALUE!</v>
      </c>
      <c r="O194" t="e">
        <f>IF(tblPassengerNames[[#This Row],[P_NSpaces]] = 0,
    tblPassengerNames[[#This Row],[InParenthesesCleaned]],
    LEFT(tblPassengerNames[[#This Row],[InParenthesesCleaned]], tblPassengerNames[[#This Row],[P_FinalSpacePos]] - 1)
)</f>
        <v>#VALUE!</v>
      </c>
      <c r="P194" t="str">
        <f>IFERROR(tblPassengerNames[[#This Row],[P_Forenames]], tblPassengerNames[[#This Row],[ConvForenames]])</f>
        <v>Joseph Holland</v>
      </c>
      <c r="Q194" t="str">
        <f>MID(tblPassengerNames[[#This Row],[Name]], tblPassengerNames[[#This Row],[CommaPos]] + 2, tblPassengerNames[[#This Row],[DotPos]] - tblPassengerNames[[#This Row],[CommaPos]] - 1)</f>
        <v>Mr.</v>
      </c>
      <c r="R194" t="str">
        <f>LEFT(tblPassengerNames[[#This Row],[Name]], tblPassengerNames[[#This Row],[CommaPos]] - 1)</f>
        <v>Loring</v>
      </c>
    </row>
    <row r="195" spans="2:18" x14ac:dyDescent="0.25">
      <c r="B195" s="21">
        <v>193</v>
      </c>
      <c r="C195" s="21" t="s">
        <v>329</v>
      </c>
      <c r="D195" s="21" t="s">
        <v>136</v>
      </c>
      <c r="E195">
        <f>FIND(",", tblPassengerNames[[#This Row],[Name]])</f>
        <v>8</v>
      </c>
      <c r="F195">
        <f>FIND(".", tblPassengerNames[[#This Row],[Name]])</f>
        <v>14</v>
      </c>
      <c r="G195" t="e">
        <f>FIND("(", tblPassengerNames[[#This Row],[Name]])</f>
        <v>#VALUE!</v>
      </c>
      <c r="H195" t="e">
        <f>FIND(")", tblPassengerNames[[#This Row],[Name]])</f>
        <v>#VALUE!</v>
      </c>
      <c r="I195">
        <f>IFERROR(tblPassengerNames[[#This Row],[OpenParPos]] - 2, LEN(tblPassengerNames[[#This Row],[Name]]))</f>
        <v>20</v>
      </c>
      <c r="J195" t="str">
        <f>MID(tblPassengerNames[[#This Row],[Name]], tblPassengerNames[[#This Row],[DotPos]] + 2, tblPassengerNames[[#This Row],[EndOfConvFNPos]] - tblPassengerNames[[#This Row],[DotPos]] - 1)</f>
        <v>Elise</v>
      </c>
      <c r="K195" t="e">
        <f>MID(tblPassengerNames[[#This Row],[Name]], tblPassengerNames[[#This Row],[OpenParPos]] + 1, tblPassengerNames[[#This Row],[CloseParPos]] - tblPassengerNames[[#This Row],[OpenParPos]] - 1)</f>
        <v>#VALUE!</v>
      </c>
      <c r="L195" t="e">
        <f>IF(AND(LEFT(tblPassengerNames[[#This Row],[InParentheses]], 1) = "'", RIGHT(tblPassengerNames[[#This Row],[InParentheses]], 1) = "'"),
    #VALUE!,
    tblPassengerNames[[#This Row],[InParentheses]]
)</f>
        <v>#VALUE!</v>
      </c>
      <c r="M195" t="e">
        <f>LEN(tblPassengerNames[[#This Row],[InParenthesesCleaned]]) - LEN(SUBSTITUTE(tblPassengerNames[[#This Row],[InParenthesesCleaned]], " ", ""))</f>
        <v>#VALUE!</v>
      </c>
      <c r="N195" t="e">
        <f>FIND("@", SUBSTITUTE(tblPassengerNames[[#This Row],[InParenthesesCleaned]], " ", "@", tblPassengerNames[[#This Row],[P_NSpaces]]))</f>
        <v>#VALUE!</v>
      </c>
      <c r="O195" t="e">
        <f>IF(tblPassengerNames[[#This Row],[P_NSpaces]] = 0,
    tblPassengerNames[[#This Row],[InParenthesesCleaned]],
    LEFT(tblPassengerNames[[#This Row],[InParenthesesCleaned]], tblPassengerNames[[#This Row],[P_FinalSpacePos]] - 1)
)</f>
        <v>#VALUE!</v>
      </c>
      <c r="P195" t="str">
        <f>IFERROR(tblPassengerNames[[#This Row],[P_Forenames]], tblPassengerNames[[#This Row],[ConvForenames]])</f>
        <v>Elise</v>
      </c>
      <c r="Q195" t="str">
        <f>MID(tblPassengerNames[[#This Row],[Name]], tblPassengerNames[[#This Row],[CommaPos]] + 2, tblPassengerNames[[#This Row],[DotPos]] - tblPassengerNames[[#This Row],[CommaPos]] - 1)</f>
        <v>Miss.</v>
      </c>
      <c r="R195" t="str">
        <f>LEFT(tblPassengerNames[[#This Row],[Name]], tblPassengerNames[[#This Row],[CommaPos]] - 1)</f>
        <v>Lurette</v>
      </c>
    </row>
    <row r="196" spans="2:18" x14ac:dyDescent="0.25">
      <c r="B196" s="21">
        <v>194</v>
      </c>
      <c r="C196" s="21" t="s">
        <v>330</v>
      </c>
      <c r="D196" s="21" t="s">
        <v>136</v>
      </c>
      <c r="E196">
        <f>FIND(",", tblPassengerNames[[#This Row],[Name]])</f>
        <v>7</v>
      </c>
      <c r="F196">
        <f>FIND(".", tblPassengerNames[[#This Row],[Name]])</f>
        <v>13</v>
      </c>
      <c r="G196" t="e">
        <f>FIND("(", tblPassengerNames[[#This Row],[Name]])</f>
        <v>#VALUE!</v>
      </c>
      <c r="H196" t="e">
        <f>FIND(")", tblPassengerNames[[#This Row],[Name]])</f>
        <v>#VALUE!</v>
      </c>
      <c r="I196">
        <f>IFERROR(tblPassengerNames[[#This Row],[OpenParPos]] - 2, LEN(tblPassengerNames[[#This Row],[Name]]))</f>
        <v>33</v>
      </c>
      <c r="J196" t="str">
        <f>MID(tblPassengerNames[[#This Row],[Name]], tblPassengerNames[[#This Row],[DotPos]] + 2, tblPassengerNames[[#This Row],[EndOfConvFNPos]] - tblPassengerNames[[#This Row],[DotPos]] - 1)</f>
        <v>Georgette Alexandra</v>
      </c>
      <c r="K196" t="e">
        <f>MID(tblPassengerNames[[#This Row],[Name]], tblPassengerNames[[#This Row],[OpenParPos]] + 1, tblPassengerNames[[#This Row],[CloseParPos]] - tblPassengerNames[[#This Row],[OpenParPos]] - 1)</f>
        <v>#VALUE!</v>
      </c>
      <c r="L196" t="e">
        <f>IF(AND(LEFT(tblPassengerNames[[#This Row],[InParentheses]], 1) = "'", RIGHT(tblPassengerNames[[#This Row],[InParentheses]], 1) = "'"),
    #VALUE!,
    tblPassengerNames[[#This Row],[InParentheses]]
)</f>
        <v>#VALUE!</v>
      </c>
      <c r="M196" t="e">
        <f>LEN(tblPassengerNames[[#This Row],[InParenthesesCleaned]]) - LEN(SUBSTITUTE(tblPassengerNames[[#This Row],[InParenthesesCleaned]], " ", ""))</f>
        <v>#VALUE!</v>
      </c>
      <c r="N196" t="e">
        <f>FIND("@", SUBSTITUTE(tblPassengerNames[[#This Row],[InParenthesesCleaned]], " ", "@", tblPassengerNames[[#This Row],[P_NSpaces]]))</f>
        <v>#VALUE!</v>
      </c>
      <c r="O196" t="e">
        <f>IF(tblPassengerNames[[#This Row],[P_NSpaces]] = 0,
    tblPassengerNames[[#This Row],[InParenthesesCleaned]],
    LEFT(tblPassengerNames[[#This Row],[InParenthesesCleaned]], tblPassengerNames[[#This Row],[P_FinalSpacePos]] - 1)
)</f>
        <v>#VALUE!</v>
      </c>
      <c r="P196" t="str">
        <f>IFERROR(tblPassengerNames[[#This Row],[P_Forenames]], tblPassengerNames[[#This Row],[ConvForenames]])</f>
        <v>Georgette Alexandra</v>
      </c>
      <c r="Q196" t="str">
        <f>MID(tblPassengerNames[[#This Row],[Name]], tblPassengerNames[[#This Row],[CommaPos]] + 2, tblPassengerNames[[#This Row],[DotPos]] - tblPassengerNames[[#This Row],[CommaPos]] - 1)</f>
        <v>Miss.</v>
      </c>
      <c r="R196" t="str">
        <f>LEFT(tblPassengerNames[[#This Row],[Name]], tblPassengerNames[[#This Row],[CommaPos]] - 1)</f>
        <v>Madill</v>
      </c>
    </row>
    <row r="197" spans="2:18" x14ac:dyDescent="0.25">
      <c r="B197" s="21">
        <v>195</v>
      </c>
      <c r="C197" s="21" t="s">
        <v>331</v>
      </c>
      <c r="D197" s="21" t="s">
        <v>138</v>
      </c>
      <c r="E197">
        <f>FIND(",", tblPassengerNames[[#This Row],[Name]])</f>
        <v>8</v>
      </c>
      <c r="F197">
        <f>FIND(".", tblPassengerNames[[#This Row],[Name]])</f>
        <v>12</v>
      </c>
      <c r="G197" t="e">
        <f>FIND("(", tblPassengerNames[[#This Row],[Name]])</f>
        <v>#VALUE!</v>
      </c>
      <c r="H197" t="e">
        <f>FIND(")", tblPassengerNames[[#This Row],[Name]])</f>
        <v>#VALUE!</v>
      </c>
      <c r="I197">
        <f>IFERROR(tblPassengerNames[[#This Row],[OpenParPos]] - 2, LEN(tblPassengerNames[[#This Row],[Name]]))</f>
        <v>24</v>
      </c>
      <c r="J197" t="str">
        <f>MID(tblPassengerNames[[#This Row],[Name]], tblPassengerNames[[#This Row],[DotPos]] + 2, tblPassengerNames[[#This Row],[EndOfConvFNPos]] - tblPassengerNames[[#This Row],[DotPos]] - 1)</f>
        <v>John Edward</v>
      </c>
      <c r="K197" t="e">
        <f>MID(tblPassengerNames[[#This Row],[Name]], tblPassengerNames[[#This Row],[OpenParPos]] + 1, tblPassengerNames[[#This Row],[CloseParPos]] - tblPassengerNames[[#This Row],[OpenParPos]] - 1)</f>
        <v>#VALUE!</v>
      </c>
      <c r="L197" t="e">
        <f>IF(AND(LEFT(tblPassengerNames[[#This Row],[InParentheses]], 1) = "'", RIGHT(tblPassengerNames[[#This Row],[InParentheses]], 1) = "'"),
    #VALUE!,
    tblPassengerNames[[#This Row],[InParentheses]]
)</f>
        <v>#VALUE!</v>
      </c>
      <c r="M197" t="e">
        <f>LEN(tblPassengerNames[[#This Row],[InParenthesesCleaned]]) - LEN(SUBSTITUTE(tblPassengerNames[[#This Row],[InParenthesesCleaned]], " ", ""))</f>
        <v>#VALUE!</v>
      </c>
      <c r="N197" t="e">
        <f>FIND("@", SUBSTITUTE(tblPassengerNames[[#This Row],[InParenthesesCleaned]], " ", "@", tblPassengerNames[[#This Row],[P_NSpaces]]))</f>
        <v>#VALUE!</v>
      </c>
      <c r="O197" t="e">
        <f>IF(tblPassengerNames[[#This Row],[P_NSpaces]] = 0,
    tblPassengerNames[[#This Row],[InParenthesesCleaned]],
    LEFT(tblPassengerNames[[#This Row],[InParenthesesCleaned]], tblPassengerNames[[#This Row],[P_FinalSpacePos]] - 1)
)</f>
        <v>#VALUE!</v>
      </c>
      <c r="P197" t="str">
        <f>IFERROR(tblPassengerNames[[#This Row],[P_Forenames]], tblPassengerNames[[#This Row],[ConvForenames]])</f>
        <v>John Edward</v>
      </c>
      <c r="Q197" t="str">
        <f>MID(tblPassengerNames[[#This Row],[Name]], tblPassengerNames[[#This Row],[CommaPos]] + 2, tblPassengerNames[[#This Row],[DotPos]] - tblPassengerNames[[#This Row],[CommaPos]] - 1)</f>
        <v>Mr.</v>
      </c>
      <c r="R197" t="str">
        <f>LEFT(tblPassengerNames[[#This Row],[Name]], tblPassengerNames[[#This Row],[CommaPos]] - 1)</f>
        <v>Maguire</v>
      </c>
    </row>
    <row r="198" spans="2:18" x14ac:dyDescent="0.25">
      <c r="B198" s="21">
        <v>196</v>
      </c>
      <c r="C198" s="21" t="s">
        <v>332</v>
      </c>
      <c r="D198" s="21" t="s">
        <v>136</v>
      </c>
      <c r="E198">
        <f>FIND(",", tblPassengerNames[[#This Row],[Name]])</f>
        <v>7</v>
      </c>
      <c r="F198">
        <f>FIND(".", tblPassengerNames[[#This Row],[Name]])</f>
        <v>13</v>
      </c>
      <c r="G198" t="e">
        <f>FIND("(", tblPassengerNames[[#This Row],[Name]])</f>
        <v>#VALUE!</v>
      </c>
      <c r="H198" t="e">
        <f>FIND(")", tblPassengerNames[[#This Row],[Name]])</f>
        <v>#VALUE!</v>
      </c>
      <c r="I198">
        <f>IFERROR(tblPassengerNames[[#This Row],[OpenParPos]] - 2, LEN(tblPassengerNames[[#This Row],[Name]]))</f>
        <v>21</v>
      </c>
      <c r="J198" t="str">
        <f>MID(tblPassengerNames[[#This Row],[Name]], tblPassengerNames[[#This Row],[DotPos]] + 2, tblPassengerNames[[#This Row],[EndOfConvFNPos]] - tblPassengerNames[[#This Row],[DotPos]] - 1)</f>
        <v>Roberta</v>
      </c>
      <c r="K198" t="e">
        <f>MID(tblPassengerNames[[#This Row],[Name]], tblPassengerNames[[#This Row],[OpenParPos]] + 1, tblPassengerNames[[#This Row],[CloseParPos]] - tblPassengerNames[[#This Row],[OpenParPos]] - 1)</f>
        <v>#VALUE!</v>
      </c>
      <c r="L198" t="e">
        <f>IF(AND(LEFT(tblPassengerNames[[#This Row],[InParentheses]], 1) = "'", RIGHT(tblPassengerNames[[#This Row],[InParentheses]], 1) = "'"),
    #VALUE!,
    tblPassengerNames[[#This Row],[InParentheses]]
)</f>
        <v>#VALUE!</v>
      </c>
      <c r="M198" t="e">
        <f>LEN(tblPassengerNames[[#This Row],[InParenthesesCleaned]]) - LEN(SUBSTITUTE(tblPassengerNames[[#This Row],[InParenthesesCleaned]], " ", ""))</f>
        <v>#VALUE!</v>
      </c>
      <c r="N198" t="e">
        <f>FIND("@", SUBSTITUTE(tblPassengerNames[[#This Row],[InParenthesesCleaned]], " ", "@", tblPassengerNames[[#This Row],[P_NSpaces]]))</f>
        <v>#VALUE!</v>
      </c>
      <c r="O198" t="e">
        <f>IF(tblPassengerNames[[#This Row],[P_NSpaces]] = 0,
    tblPassengerNames[[#This Row],[InParenthesesCleaned]],
    LEFT(tblPassengerNames[[#This Row],[InParenthesesCleaned]], tblPassengerNames[[#This Row],[P_FinalSpacePos]] - 1)
)</f>
        <v>#VALUE!</v>
      </c>
      <c r="P198" t="str">
        <f>IFERROR(tblPassengerNames[[#This Row],[P_Forenames]], tblPassengerNames[[#This Row],[ConvForenames]])</f>
        <v>Roberta</v>
      </c>
      <c r="Q198" t="str">
        <f>MID(tblPassengerNames[[#This Row],[Name]], tblPassengerNames[[#This Row],[CommaPos]] + 2, tblPassengerNames[[#This Row],[DotPos]] - tblPassengerNames[[#This Row],[CommaPos]] - 1)</f>
        <v>Miss.</v>
      </c>
      <c r="R198" t="str">
        <f>LEFT(tblPassengerNames[[#This Row],[Name]], tblPassengerNames[[#This Row],[CommaPos]] - 1)</f>
        <v>Maioni</v>
      </c>
    </row>
    <row r="199" spans="2:18" x14ac:dyDescent="0.25">
      <c r="B199" s="21">
        <v>197</v>
      </c>
      <c r="C199" s="21" t="s">
        <v>333</v>
      </c>
      <c r="D199" s="21" t="s">
        <v>138</v>
      </c>
      <c r="E199">
        <f>FIND(",", tblPassengerNames[[#This Row],[Name]])</f>
        <v>9</v>
      </c>
      <c r="F199">
        <f>FIND(".", tblPassengerNames[[#This Row],[Name]])</f>
        <v>13</v>
      </c>
      <c r="G199" t="e">
        <f>FIND("(", tblPassengerNames[[#This Row],[Name]])</f>
        <v>#VALUE!</v>
      </c>
      <c r="H199" t="e">
        <f>FIND(")", tblPassengerNames[[#This Row],[Name]])</f>
        <v>#VALUE!</v>
      </c>
      <c r="I199">
        <f>IFERROR(tblPassengerNames[[#This Row],[OpenParPos]] - 2, LEN(tblPassengerNames[[#This Row],[Name]]))</f>
        <v>20</v>
      </c>
      <c r="J199" t="str">
        <f>MID(tblPassengerNames[[#This Row],[Name]], tblPassengerNames[[#This Row],[DotPos]] + 2, tblPassengerNames[[#This Row],[EndOfConvFNPos]] - tblPassengerNames[[#This Row],[DotPos]] - 1)</f>
        <v>Pierre</v>
      </c>
      <c r="K199" t="e">
        <f>MID(tblPassengerNames[[#This Row],[Name]], tblPassengerNames[[#This Row],[OpenParPos]] + 1, tblPassengerNames[[#This Row],[CloseParPos]] - tblPassengerNames[[#This Row],[OpenParPos]] - 1)</f>
        <v>#VALUE!</v>
      </c>
      <c r="L199" t="e">
        <f>IF(AND(LEFT(tblPassengerNames[[#This Row],[InParentheses]], 1) = "'", RIGHT(tblPassengerNames[[#This Row],[InParentheses]], 1) = "'"),
    #VALUE!,
    tblPassengerNames[[#This Row],[InParentheses]]
)</f>
        <v>#VALUE!</v>
      </c>
      <c r="M199" t="e">
        <f>LEN(tblPassengerNames[[#This Row],[InParenthesesCleaned]]) - LEN(SUBSTITUTE(tblPassengerNames[[#This Row],[InParenthesesCleaned]], " ", ""))</f>
        <v>#VALUE!</v>
      </c>
      <c r="N199" t="e">
        <f>FIND("@", SUBSTITUTE(tblPassengerNames[[#This Row],[InParenthesesCleaned]], " ", "@", tblPassengerNames[[#This Row],[P_NSpaces]]))</f>
        <v>#VALUE!</v>
      </c>
      <c r="O199" t="e">
        <f>IF(tblPassengerNames[[#This Row],[P_NSpaces]] = 0,
    tblPassengerNames[[#This Row],[InParenthesesCleaned]],
    LEFT(tblPassengerNames[[#This Row],[InParenthesesCleaned]], tblPassengerNames[[#This Row],[P_FinalSpacePos]] - 1)
)</f>
        <v>#VALUE!</v>
      </c>
      <c r="P199" t="str">
        <f>IFERROR(tblPassengerNames[[#This Row],[P_Forenames]], tblPassengerNames[[#This Row],[ConvForenames]])</f>
        <v>Pierre</v>
      </c>
      <c r="Q199" t="str">
        <f>MID(tblPassengerNames[[#This Row],[Name]], tblPassengerNames[[#This Row],[CommaPos]] + 2, tblPassengerNames[[#This Row],[DotPos]] - tblPassengerNames[[#This Row],[CommaPos]] - 1)</f>
        <v>Mr.</v>
      </c>
      <c r="R199" t="str">
        <f>LEFT(tblPassengerNames[[#This Row],[Name]], tblPassengerNames[[#This Row],[CommaPos]] - 1)</f>
        <v>Marechal</v>
      </c>
    </row>
    <row r="200" spans="2:18" x14ac:dyDescent="0.25">
      <c r="B200" s="21">
        <v>198</v>
      </c>
      <c r="C200" s="21" t="s">
        <v>334</v>
      </c>
      <c r="D200" s="21" t="s">
        <v>138</v>
      </c>
      <c r="E200">
        <f>FIND(",", tblPassengerNames[[#This Row],[Name]])</f>
        <v>7</v>
      </c>
      <c r="F200">
        <f>FIND(".", tblPassengerNames[[#This Row],[Name]])</f>
        <v>11</v>
      </c>
      <c r="G200" t="e">
        <f>FIND("(", tblPassengerNames[[#This Row],[Name]])</f>
        <v>#VALUE!</v>
      </c>
      <c r="H200" t="e">
        <f>FIND(")", tblPassengerNames[[#This Row],[Name]])</f>
        <v>#VALUE!</v>
      </c>
      <c r="I200">
        <f>IFERROR(tblPassengerNames[[#This Row],[OpenParPos]] - 2, LEN(tblPassengerNames[[#This Row],[Name]]))</f>
        <v>25</v>
      </c>
      <c r="J200" t="str">
        <f>MID(tblPassengerNames[[#This Row],[Name]], tblPassengerNames[[#This Row],[DotPos]] + 2, tblPassengerNames[[#This Row],[EndOfConvFNPos]] - tblPassengerNames[[#This Row],[DotPos]] - 1)</f>
        <v>Daniel Warner</v>
      </c>
      <c r="K200" t="e">
        <f>MID(tblPassengerNames[[#This Row],[Name]], tblPassengerNames[[#This Row],[OpenParPos]] + 1, tblPassengerNames[[#This Row],[CloseParPos]] - tblPassengerNames[[#This Row],[OpenParPos]] - 1)</f>
        <v>#VALUE!</v>
      </c>
      <c r="L200" t="e">
        <f>IF(AND(LEFT(tblPassengerNames[[#This Row],[InParentheses]], 1) = "'", RIGHT(tblPassengerNames[[#This Row],[InParentheses]], 1) = "'"),
    #VALUE!,
    tblPassengerNames[[#This Row],[InParentheses]]
)</f>
        <v>#VALUE!</v>
      </c>
      <c r="M200" t="e">
        <f>LEN(tblPassengerNames[[#This Row],[InParenthesesCleaned]]) - LEN(SUBSTITUTE(tblPassengerNames[[#This Row],[InParenthesesCleaned]], " ", ""))</f>
        <v>#VALUE!</v>
      </c>
      <c r="N200" t="e">
        <f>FIND("@", SUBSTITUTE(tblPassengerNames[[#This Row],[InParenthesesCleaned]], " ", "@", tblPassengerNames[[#This Row],[P_NSpaces]]))</f>
        <v>#VALUE!</v>
      </c>
      <c r="O200" t="e">
        <f>IF(tblPassengerNames[[#This Row],[P_NSpaces]] = 0,
    tblPassengerNames[[#This Row],[InParenthesesCleaned]],
    LEFT(tblPassengerNames[[#This Row],[InParenthesesCleaned]], tblPassengerNames[[#This Row],[P_FinalSpacePos]] - 1)
)</f>
        <v>#VALUE!</v>
      </c>
      <c r="P200" t="str">
        <f>IFERROR(tblPassengerNames[[#This Row],[P_Forenames]], tblPassengerNames[[#This Row],[ConvForenames]])</f>
        <v>Daniel Warner</v>
      </c>
      <c r="Q200" t="str">
        <f>MID(tblPassengerNames[[#This Row],[Name]], tblPassengerNames[[#This Row],[CommaPos]] + 2, tblPassengerNames[[#This Row],[DotPos]] - tblPassengerNames[[#This Row],[CommaPos]] - 1)</f>
        <v>Mr.</v>
      </c>
      <c r="R200" t="str">
        <f>LEFT(tblPassengerNames[[#This Row],[Name]], tblPassengerNames[[#This Row],[CommaPos]] - 1)</f>
        <v>Marvin</v>
      </c>
    </row>
    <row r="201" spans="2:18" x14ac:dyDescent="0.25">
      <c r="B201" s="21">
        <v>199</v>
      </c>
      <c r="C201" s="21" t="s">
        <v>335</v>
      </c>
      <c r="D201" s="21" t="s">
        <v>136</v>
      </c>
      <c r="E201">
        <f>FIND(",", tblPassengerNames[[#This Row],[Name]])</f>
        <v>7</v>
      </c>
      <c r="F201">
        <f>FIND(".", tblPassengerNames[[#This Row],[Name]])</f>
        <v>12</v>
      </c>
      <c r="G201">
        <f>FIND("(", tblPassengerNames[[#This Row],[Name]])</f>
        <v>28</v>
      </c>
      <c r="H201">
        <f>FIND(")", tblPassengerNames[[#This Row],[Name]])</f>
        <v>62</v>
      </c>
      <c r="I201">
        <f>IFERROR(tblPassengerNames[[#This Row],[OpenParPos]] - 2, LEN(tblPassengerNames[[#This Row],[Name]]))</f>
        <v>26</v>
      </c>
      <c r="J201" t="str">
        <f>MID(tblPassengerNames[[#This Row],[Name]], tblPassengerNames[[#This Row],[DotPos]] + 2, tblPassengerNames[[#This Row],[EndOfConvFNPos]] - tblPassengerNames[[#This Row],[DotPos]] - 1)</f>
        <v>Daniel Warner</v>
      </c>
      <c r="K201" t="str">
        <f>MID(tblPassengerNames[[#This Row],[Name]], tblPassengerNames[[#This Row],[OpenParPos]] + 1, tblPassengerNames[[#This Row],[CloseParPos]] - tblPassengerNames[[#This Row],[OpenParPos]] - 1)</f>
        <v>Mary Graham Carmichael Farquarson</v>
      </c>
      <c r="L201" t="str">
        <f>IF(AND(LEFT(tblPassengerNames[[#This Row],[InParentheses]], 1) = "'", RIGHT(tblPassengerNames[[#This Row],[InParentheses]], 1) = "'"),
    #VALUE!,
    tblPassengerNames[[#This Row],[InParentheses]]
)</f>
        <v>Mary Graham Carmichael Farquarson</v>
      </c>
      <c r="M201">
        <f>LEN(tblPassengerNames[[#This Row],[InParenthesesCleaned]]) - LEN(SUBSTITUTE(tblPassengerNames[[#This Row],[InParenthesesCleaned]], " ", ""))</f>
        <v>3</v>
      </c>
      <c r="N201">
        <f>FIND("@", SUBSTITUTE(tblPassengerNames[[#This Row],[InParenthesesCleaned]], " ", "@", tblPassengerNames[[#This Row],[P_NSpaces]]))</f>
        <v>23</v>
      </c>
      <c r="O201" t="str">
        <f>IF(tblPassengerNames[[#This Row],[P_NSpaces]] = 0,
    tblPassengerNames[[#This Row],[InParenthesesCleaned]],
    LEFT(tblPassengerNames[[#This Row],[InParenthesesCleaned]], tblPassengerNames[[#This Row],[P_FinalSpacePos]] - 1)
)</f>
        <v>Mary Graham Carmichael</v>
      </c>
      <c r="P201" t="str">
        <f>IFERROR(tblPassengerNames[[#This Row],[P_Forenames]], tblPassengerNames[[#This Row],[ConvForenames]])</f>
        <v>Mary Graham Carmichael</v>
      </c>
      <c r="Q201" t="str">
        <f>MID(tblPassengerNames[[#This Row],[Name]], tblPassengerNames[[#This Row],[CommaPos]] + 2, tblPassengerNames[[#This Row],[DotPos]] - tblPassengerNames[[#This Row],[CommaPos]] - 1)</f>
        <v>Mrs.</v>
      </c>
      <c r="R201" t="str">
        <f>LEFT(tblPassengerNames[[#This Row],[Name]], tblPassengerNames[[#This Row],[CommaPos]] - 1)</f>
        <v>Marvin</v>
      </c>
    </row>
    <row r="202" spans="2:18" x14ac:dyDescent="0.25">
      <c r="B202" s="21">
        <v>200</v>
      </c>
      <c r="C202" s="21" t="s">
        <v>336</v>
      </c>
      <c r="D202" s="21" t="s">
        <v>136</v>
      </c>
      <c r="E202">
        <f>FIND(",", tblPassengerNames[[#This Row],[Name]])</f>
        <v>6</v>
      </c>
      <c r="F202">
        <f>FIND(".", tblPassengerNames[[#This Row],[Name]])</f>
        <v>12</v>
      </c>
      <c r="G202">
        <f>FIND("(", tblPassengerNames[[#This Row],[Name]])</f>
        <v>30</v>
      </c>
      <c r="H202">
        <f>FIND(")", tblPassengerNames[[#This Row],[Name]])</f>
        <v>48</v>
      </c>
      <c r="I202">
        <f>IFERROR(tblPassengerNames[[#This Row],[OpenParPos]] - 2, LEN(tblPassengerNames[[#This Row],[Name]]))</f>
        <v>28</v>
      </c>
      <c r="J202" t="str">
        <f>MID(tblPassengerNames[[#This Row],[Name]], tblPassengerNames[[#This Row],[DotPos]] + 2, tblPassengerNames[[#This Row],[EndOfConvFNPos]] - tblPassengerNames[[#This Row],[DotPos]] - 1)</f>
        <v>Berthe Antonine</v>
      </c>
      <c r="K202" t="str">
        <f>MID(tblPassengerNames[[#This Row],[Name]], tblPassengerNames[[#This Row],[OpenParPos]] + 1, tblPassengerNames[[#This Row],[CloseParPos]] - tblPassengerNames[[#This Row],[OpenParPos]] - 1)</f>
        <v>'Mrs de Villiers'</v>
      </c>
      <c r="L202" t="e">
        <f>IF(AND(LEFT(tblPassengerNames[[#This Row],[InParentheses]], 1) = "'", RIGHT(tblPassengerNames[[#This Row],[InParentheses]], 1) = "'"),
    #VALUE!,
    tblPassengerNames[[#This Row],[InParentheses]]
)</f>
        <v>#VALUE!</v>
      </c>
      <c r="M202" t="e">
        <f>LEN(tblPassengerNames[[#This Row],[InParenthesesCleaned]]) - LEN(SUBSTITUTE(tblPassengerNames[[#This Row],[InParenthesesCleaned]], " ", ""))</f>
        <v>#VALUE!</v>
      </c>
      <c r="N202" t="e">
        <f>FIND("@", SUBSTITUTE(tblPassengerNames[[#This Row],[InParenthesesCleaned]], " ", "@", tblPassengerNames[[#This Row],[P_NSpaces]]))</f>
        <v>#VALUE!</v>
      </c>
      <c r="O202" t="e">
        <f>IF(tblPassengerNames[[#This Row],[P_NSpaces]] = 0,
    tblPassengerNames[[#This Row],[InParenthesesCleaned]],
    LEFT(tblPassengerNames[[#This Row],[InParenthesesCleaned]], tblPassengerNames[[#This Row],[P_FinalSpacePos]] - 1)
)</f>
        <v>#VALUE!</v>
      </c>
      <c r="P202" t="str">
        <f>IFERROR(tblPassengerNames[[#This Row],[P_Forenames]], tblPassengerNames[[#This Row],[ConvForenames]])</f>
        <v>Berthe Antonine</v>
      </c>
      <c r="Q202" t="str">
        <f>MID(tblPassengerNames[[#This Row],[Name]], tblPassengerNames[[#This Row],[CommaPos]] + 2, tblPassengerNames[[#This Row],[DotPos]] - tblPassengerNames[[#This Row],[CommaPos]] - 1)</f>
        <v>Mlle.</v>
      </c>
      <c r="R202" t="str">
        <f>LEFT(tblPassengerNames[[#This Row],[Name]], tblPassengerNames[[#This Row],[CommaPos]] - 1)</f>
        <v>Mayne</v>
      </c>
    </row>
    <row r="203" spans="2:18" x14ac:dyDescent="0.25">
      <c r="B203" s="21">
        <v>201</v>
      </c>
      <c r="C203" s="21" t="s">
        <v>337</v>
      </c>
      <c r="D203" s="21" t="s">
        <v>138</v>
      </c>
      <c r="E203">
        <f>FIND(",", tblPassengerNames[[#This Row],[Name]])</f>
        <v>9</v>
      </c>
      <c r="F203">
        <f>FIND(".", tblPassengerNames[[#This Row],[Name]])</f>
        <v>13</v>
      </c>
      <c r="G203" t="e">
        <f>FIND("(", tblPassengerNames[[#This Row],[Name]])</f>
        <v>#VALUE!</v>
      </c>
      <c r="H203" t="e">
        <f>FIND(")", tblPassengerNames[[#This Row],[Name]])</f>
        <v>#VALUE!</v>
      </c>
      <c r="I203">
        <f>IFERROR(tblPassengerNames[[#This Row],[OpenParPos]] - 2, LEN(tblPassengerNames[[#This Row],[Name]]))</f>
        <v>28</v>
      </c>
      <c r="J203" t="str">
        <f>MID(tblPassengerNames[[#This Row],[Name]], tblPassengerNames[[#This Row],[DotPos]] + 2, tblPassengerNames[[#This Row],[EndOfConvFNPos]] - tblPassengerNames[[#This Row],[DotPos]] - 1)</f>
        <v>Thomas Francis</v>
      </c>
      <c r="K203" t="e">
        <f>MID(tblPassengerNames[[#This Row],[Name]], tblPassengerNames[[#This Row],[OpenParPos]] + 1, tblPassengerNames[[#This Row],[CloseParPos]] - tblPassengerNames[[#This Row],[OpenParPos]] - 1)</f>
        <v>#VALUE!</v>
      </c>
      <c r="L203" t="e">
        <f>IF(AND(LEFT(tblPassengerNames[[#This Row],[InParentheses]], 1) = "'", RIGHT(tblPassengerNames[[#This Row],[InParentheses]], 1) = "'"),
    #VALUE!,
    tblPassengerNames[[#This Row],[InParentheses]]
)</f>
        <v>#VALUE!</v>
      </c>
      <c r="M203" t="e">
        <f>LEN(tblPassengerNames[[#This Row],[InParenthesesCleaned]]) - LEN(SUBSTITUTE(tblPassengerNames[[#This Row],[InParenthesesCleaned]], " ", ""))</f>
        <v>#VALUE!</v>
      </c>
      <c r="N203" t="e">
        <f>FIND("@", SUBSTITUTE(tblPassengerNames[[#This Row],[InParenthesesCleaned]], " ", "@", tblPassengerNames[[#This Row],[P_NSpaces]]))</f>
        <v>#VALUE!</v>
      </c>
      <c r="O203" t="e">
        <f>IF(tblPassengerNames[[#This Row],[P_NSpaces]] = 0,
    tblPassengerNames[[#This Row],[InParenthesesCleaned]],
    LEFT(tblPassengerNames[[#This Row],[InParenthesesCleaned]], tblPassengerNames[[#This Row],[P_FinalSpacePos]] - 1)
)</f>
        <v>#VALUE!</v>
      </c>
      <c r="P203" t="str">
        <f>IFERROR(tblPassengerNames[[#This Row],[P_Forenames]], tblPassengerNames[[#This Row],[ConvForenames]])</f>
        <v>Thomas Francis</v>
      </c>
      <c r="Q203" t="str">
        <f>MID(tblPassengerNames[[#This Row],[Name]], tblPassengerNames[[#This Row],[CommaPos]] + 2, tblPassengerNames[[#This Row],[DotPos]] - tblPassengerNames[[#This Row],[CommaPos]] - 1)</f>
        <v>Mr.</v>
      </c>
      <c r="R203" t="str">
        <f>LEFT(tblPassengerNames[[#This Row],[Name]], tblPassengerNames[[#This Row],[CommaPos]] - 1)</f>
        <v>McCaffry</v>
      </c>
    </row>
    <row r="204" spans="2:18" x14ac:dyDescent="0.25">
      <c r="B204" s="21">
        <v>202</v>
      </c>
      <c r="C204" s="21" t="s">
        <v>338</v>
      </c>
      <c r="D204" s="21" t="s">
        <v>138</v>
      </c>
      <c r="E204">
        <f>FIND(",", tblPassengerNames[[#This Row],[Name]])</f>
        <v>9</v>
      </c>
      <c r="F204">
        <f>FIND(".", tblPassengerNames[[#This Row],[Name]])</f>
        <v>13</v>
      </c>
      <c r="G204" t="e">
        <f>FIND("(", tblPassengerNames[[#This Row],[Name]])</f>
        <v>#VALUE!</v>
      </c>
      <c r="H204" t="e">
        <f>FIND(")", tblPassengerNames[[#This Row],[Name]])</f>
        <v>#VALUE!</v>
      </c>
      <c r="I204">
        <f>IFERROR(tblPassengerNames[[#This Row],[OpenParPos]] - 2, LEN(tblPassengerNames[[#This Row],[Name]]))</f>
        <v>23</v>
      </c>
      <c r="J204" t="str">
        <f>MID(tblPassengerNames[[#This Row],[Name]], tblPassengerNames[[#This Row],[DotPos]] + 2, tblPassengerNames[[#This Row],[EndOfConvFNPos]] - tblPassengerNames[[#This Row],[DotPos]] - 1)</f>
        <v>Timothy J</v>
      </c>
      <c r="K204" t="e">
        <f>MID(tblPassengerNames[[#This Row],[Name]], tblPassengerNames[[#This Row],[OpenParPos]] + 1, tblPassengerNames[[#This Row],[CloseParPos]] - tblPassengerNames[[#This Row],[OpenParPos]] - 1)</f>
        <v>#VALUE!</v>
      </c>
      <c r="L204" t="e">
        <f>IF(AND(LEFT(tblPassengerNames[[#This Row],[InParentheses]], 1) = "'", RIGHT(tblPassengerNames[[#This Row],[InParentheses]], 1) = "'"),
    #VALUE!,
    tblPassengerNames[[#This Row],[InParentheses]]
)</f>
        <v>#VALUE!</v>
      </c>
      <c r="M204" t="e">
        <f>LEN(tblPassengerNames[[#This Row],[InParenthesesCleaned]]) - LEN(SUBSTITUTE(tblPassengerNames[[#This Row],[InParenthesesCleaned]], " ", ""))</f>
        <v>#VALUE!</v>
      </c>
      <c r="N204" t="e">
        <f>FIND("@", SUBSTITUTE(tblPassengerNames[[#This Row],[InParenthesesCleaned]], " ", "@", tblPassengerNames[[#This Row],[P_NSpaces]]))</f>
        <v>#VALUE!</v>
      </c>
      <c r="O204" t="e">
        <f>IF(tblPassengerNames[[#This Row],[P_NSpaces]] = 0,
    tblPassengerNames[[#This Row],[InParenthesesCleaned]],
    LEFT(tblPassengerNames[[#This Row],[InParenthesesCleaned]], tblPassengerNames[[#This Row],[P_FinalSpacePos]] - 1)
)</f>
        <v>#VALUE!</v>
      </c>
      <c r="P204" t="str">
        <f>IFERROR(tblPassengerNames[[#This Row],[P_Forenames]], tblPassengerNames[[#This Row],[ConvForenames]])</f>
        <v>Timothy J</v>
      </c>
      <c r="Q204" t="str">
        <f>MID(tblPassengerNames[[#This Row],[Name]], tblPassengerNames[[#This Row],[CommaPos]] + 2, tblPassengerNames[[#This Row],[DotPos]] - tblPassengerNames[[#This Row],[CommaPos]] - 1)</f>
        <v>Mr.</v>
      </c>
      <c r="R204" t="str">
        <f>LEFT(tblPassengerNames[[#This Row],[Name]], tblPassengerNames[[#This Row],[CommaPos]] - 1)</f>
        <v>McCarthy</v>
      </c>
    </row>
    <row r="205" spans="2:18" x14ac:dyDescent="0.25">
      <c r="B205" s="21">
        <v>203</v>
      </c>
      <c r="C205" s="21" t="s">
        <v>339</v>
      </c>
      <c r="D205" s="21" t="s">
        <v>138</v>
      </c>
      <c r="E205">
        <f>FIND(",", tblPassengerNames[[#This Row],[Name]])</f>
        <v>8</v>
      </c>
      <c r="F205">
        <f>FIND(".", tblPassengerNames[[#This Row],[Name]])</f>
        <v>12</v>
      </c>
      <c r="G205" t="e">
        <f>FIND("(", tblPassengerNames[[#This Row],[Name]])</f>
        <v>#VALUE!</v>
      </c>
      <c r="H205" t="e">
        <f>FIND(")", tblPassengerNames[[#This Row],[Name]])</f>
        <v>#VALUE!</v>
      </c>
      <c r="I205">
        <f>IFERROR(tblPassengerNames[[#This Row],[OpenParPos]] - 2, LEN(tblPassengerNames[[#This Row],[Name]]))</f>
        <v>25</v>
      </c>
      <c r="J205" t="str">
        <f>MID(tblPassengerNames[[#This Row],[Name]], tblPassengerNames[[#This Row],[DotPos]] + 2, tblPassengerNames[[#This Row],[EndOfConvFNPos]] - tblPassengerNames[[#This Row],[DotPos]] - 1)</f>
        <v>James Robert</v>
      </c>
      <c r="K205" t="e">
        <f>MID(tblPassengerNames[[#This Row],[Name]], tblPassengerNames[[#This Row],[OpenParPos]] + 1, tblPassengerNames[[#This Row],[CloseParPos]] - tblPassengerNames[[#This Row],[OpenParPos]] - 1)</f>
        <v>#VALUE!</v>
      </c>
      <c r="L205" t="e">
        <f>IF(AND(LEFT(tblPassengerNames[[#This Row],[InParentheses]], 1) = "'", RIGHT(tblPassengerNames[[#This Row],[InParentheses]], 1) = "'"),
    #VALUE!,
    tblPassengerNames[[#This Row],[InParentheses]]
)</f>
        <v>#VALUE!</v>
      </c>
      <c r="M205" t="e">
        <f>LEN(tblPassengerNames[[#This Row],[InParenthesesCleaned]]) - LEN(SUBSTITUTE(tblPassengerNames[[#This Row],[InParenthesesCleaned]], " ", ""))</f>
        <v>#VALUE!</v>
      </c>
      <c r="N205" t="e">
        <f>FIND("@", SUBSTITUTE(tblPassengerNames[[#This Row],[InParenthesesCleaned]], " ", "@", tblPassengerNames[[#This Row],[P_NSpaces]]))</f>
        <v>#VALUE!</v>
      </c>
      <c r="O205" t="e">
        <f>IF(tblPassengerNames[[#This Row],[P_NSpaces]] = 0,
    tblPassengerNames[[#This Row],[InParenthesesCleaned]],
    LEFT(tblPassengerNames[[#This Row],[InParenthesesCleaned]], tblPassengerNames[[#This Row],[P_FinalSpacePos]] - 1)
)</f>
        <v>#VALUE!</v>
      </c>
      <c r="P205" t="str">
        <f>IFERROR(tblPassengerNames[[#This Row],[P_Forenames]], tblPassengerNames[[#This Row],[ConvForenames]])</f>
        <v>James Robert</v>
      </c>
      <c r="Q205" t="str">
        <f>MID(tblPassengerNames[[#This Row],[Name]], tblPassengerNames[[#This Row],[CommaPos]] + 2, tblPassengerNames[[#This Row],[DotPos]] - tblPassengerNames[[#This Row],[CommaPos]] - 1)</f>
        <v>Mr.</v>
      </c>
      <c r="R205" t="str">
        <f>LEFT(tblPassengerNames[[#This Row],[Name]], tblPassengerNames[[#This Row],[CommaPos]] - 1)</f>
        <v>McGough</v>
      </c>
    </row>
    <row r="206" spans="2:18" x14ac:dyDescent="0.25">
      <c r="B206" s="21">
        <v>204</v>
      </c>
      <c r="C206" s="21" t="s">
        <v>340</v>
      </c>
      <c r="D206" s="21" t="s">
        <v>138</v>
      </c>
      <c r="E206">
        <f>FIND(",", tblPassengerNames[[#This Row],[Name]])</f>
        <v>6</v>
      </c>
      <c r="F206">
        <f>FIND(".", tblPassengerNames[[#This Row],[Name]])</f>
        <v>10</v>
      </c>
      <c r="G206" t="e">
        <f>FIND("(", tblPassengerNames[[#This Row],[Name]])</f>
        <v>#VALUE!</v>
      </c>
      <c r="H206" t="e">
        <f>FIND(")", tblPassengerNames[[#This Row],[Name]])</f>
        <v>#VALUE!</v>
      </c>
      <c r="I206">
        <f>IFERROR(tblPassengerNames[[#This Row],[OpenParPos]] - 2, LEN(tblPassengerNames[[#This Row],[Name]]))</f>
        <v>23</v>
      </c>
      <c r="J206" t="str">
        <f>MID(tblPassengerNames[[#This Row],[Name]], tblPassengerNames[[#This Row],[DotPos]] + 2, tblPassengerNames[[#This Row],[EndOfConvFNPos]] - tblPassengerNames[[#This Row],[DotPos]] - 1)</f>
        <v>Edgar Joseph</v>
      </c>
      <c r="K206" t="e">
        <f>MID(tblPassengerNames[[#This Row],[Name]], tblPassengerNames[[#This Row],[OpenParPos]] + 1, tblPassengerNames[[#This Row],[CloseParPos]] - tblPassengerNames[[#This Row],[OpenParPos]] - 1)</f>
        <v>#VALUE!</v>
      </c>
      <c r="L206" t="e">
        <f>IF(AND(LEFT(tblPassengerNames[[#This Row],[InParentheses]], 1) = "'", RIGHT(tblPassengerNames[[#This Row],[InParentheses]], 1) = "'"),
    #VALUE!,
    tblPassengerNames[[#This Row],[InParentheses]]
)</f>
        <v>#VALUE!</v>
      </c>
      <c r="M206" t="e">
        <f>LEN(tblPassengerNames[[#This Row],[InParenthesesCleaned]]) - LEN(SUBSTITUTE(tblPassengerNames[[#This Row],[InParenthesesCleaned]], " ", ""))</f>
        <v>#VALUE!</v>
      </c>
      <c r="N206" t="e">
        <f>FIND("@", SUBSTITUTE(tblPassengerNames[[#This Row],[InParenthesesCleaned]], " ", "@", tblPassengerNames[[#This Row],[P_NSpaces]]))</f>
        <v>#VALUE!</v>
      </c>
      <c r="O206" t="e">
        <f>IF(tblPassengerNames[[#This Row],[P_NSpaces]] = 0,
    tblPassengerNames[[#This Row],[InParenthesesCleaned]],
    LEFT(tblPassengerNames[[#This Row],[InParenthesesCleaned]], tblPassengerNames[[#This Row],[P_FinalSpacePos]] - 1)
)</f>
        <v>#VALUE!</v>
      </c>
      <c r="P206" t="str">
        <f>IFERROR(tblPassengerNames[[#This Row],[P_Forenames]], tblPassengerNames[[#This Row],[ConvForenames]])</f>
        <v>Edgar Joseph</v>
      </c>
      <c r="Q206" t="str">
        <f>MID(tblPassengerNames[[#This Row],[Name]], tblPassengerNames[[#This Row],[CommaPos]] + 2, tblPassengerNames[[#This Row],[DotPos]] - tblPassengerNames[[#This Row],[CommaPos]] - 1)</f>
        <v>Mr.</v>
      </c>
      <c r="R206" t="str">
        <f>LEFT(tblPassengerNames[[#This Row],[Name]], tblPassengerNames[[#This Row],[CommaPos]] - 1)</f>
        <v>Meyer</v>
      </c>
    </row>
    <row r="207" spans="2:18" x14ac:dyDescent="0.25">
      <c r="B207" s="21">
        <v>205</v>
      </c>
      <c r="C207" s="21" t="s">
        <v>341</v>
      </c>
      <c r="D207" s="21" t="s">
        <v>136</v>
      </c>
      <c r="E207">
        <f>FIND(",", tblPassengerNames[[#This Row],[Name]])</f>
        <v>6</v>
      </c>
      <c r="F207">
        <f>FIND(".", tblPassengerNames[[#This Row],[Name]])</f>
        <v>11</v>
      </c>
      <c r="G207">
        <f>FIND("(", tblPassengerNames[[#This Row],[Name]])</f>
        <v>26</v>
      </c>
      <c r="H207">
        <f>FIND(")", tblPassengerNames[[#This Row],[Name]])</f>
        <v>37</v>
      </c>
      <c r="I207">
        <f>IFERROR(tblPassengerNames[[#This Row],[OpenParPos]] - 2, LEN(tblPassengerNames[[#This Row],[Name]]))</f>
        <v>24</v>
      </c>
      <c r="J207" t="str">
        <f>MID(tblPassengerNames[[#This Row],[Name]], tblPassengerNames[[#This Row],[DotPos]] + 2, tblPassengerNames[[#This Row],[EndOfConvFNPos]] - tblPassengerNames[[#This Row],[DotPos]] - 1)</f>
        <v>Edgar Joseph</v>
      </c>
      <c r="K207" t="str">
        <f>MID(tblPassengerNames[[#This Row],[Name]], tblPassengerNames[[#This Row],[OpenParPos]] + 1, tblPassengerNames[[#This Row],[CloseParPos]] - tblPassengerNames[[#This Row],[OpenParPos]] - 1)</f>
        <v>Leila Saks</v>
      </c>
      <c r="L207" t="str">
        <f>IF(AND(LEFT(tblPassengerNames[[#This Row],[InParentheses]], 1) = "'", RIGHT(tblPassengerNames[[#This Row],[InParentheses]], 1) = "'"),
    #VALUE!,
    tblPassengerNames[[#This Row],[InParentheses]]
)</f>
        <v>Leila Saks</v>
      </c>
      <c r="M207">
        <f>LEN(tblPassengerNames[[#This Row],[InParenthesesCleaned]]) - LEN(SUBSTITUTE(tblPassengerNames[[#This Row],[InParenthesesCleaned]], " ", ""))</f>
        <v>1</v>
      </c>
      <c r="N207">
        <f>FIND("@", SUBSTITUTE(tblPassengerNames[[#This Row],[InParenthesesCleaned]], " ", "@", tblPassengerNames[[#This Row],[P_NSpaces]]))</f>
        <v>6</v>
      </c>
      <c r="O207" t="str">
        <f>IF(tblPassengerNames[[#This Row],[P_NSpaces]] = 0,
    tblPassengerNames[[#This Row],[InParenthesesCleaned]],
    LEFT(tblPassengerNames[[#This Row],[InParenthesesCleaned]], tblPassengerNames[[#This Row],[P_FinalSpacePos]] - 1)
)</f>
        <v>Leila</v>
      </c>
      <c r="P207" t="str">
        <f>IFERROR(tblPassengerNames[[#This Row],[P_Forenames]], tblPassengerNames[[#This Row],[ConvForenames]])</f>
        <v>Leila</v>
      </c>
      <c r="Q207" t="str">
        <f>MID(tblPassengerNames[[#This Row],[Name]], tblPassengerNames[[#This Row],[CommaPos]] + 2, tblPassengerNames[[#This Row],[DotPos]] - tblPassengerNames[[#This Row],[CommaPos]] - 1)</f>
        <v>Mrs.</v>
      </c>
      <c r="R207" t="str">
        <f>LEFT(tblPassengerNames[[#This Row],[Name]], tblPassengerNames[[#This Row],[CommaPos]] - 1)</f>
        <v>Meyer</v>
      </c>
    </row>
    <row r="208" spans="2:18" x14ac:dyDescent="0.25">
      <c r="B208" s="21">
        <v>206</v>
      </c>
      <c r="C208" s="21" t="s">
        <v>342</v>
      </c>
      <c r="D208" s="21" t="s">
        <v>138</v>
      </c>
      <c r="E208">
        <f>FIND(",", tblPassengerNames[[#This Row],[Name]])</f>
        <v>7</v>
      </c>
      <c r="F208">
        <f>FIND(".", tblPassengerNames[[#This Row],[Name]])</f>
        <v>11</v>
      </c>
      <c r="G208" t="e">
        <f>FIND("(", tblPassengerNames[[#This Row],[Name]])</f>
        <v>#VALUE!</v>
      </c>
      <c r="H208" t="e">
        <f>FIND(")", tblPassengerNames[[#This Row],[Name]])</f>
        <v>#VALUE!</v>
      </c>
      <c r="I208">
        <f>IFERROR(tblPassengerNames[[#This Row],[OpenParPos]] - 2, LEN(tblPassengerNames[[#This Row],[Name]]))</f>
        <v>25</v>
      </c>
      <c r="J208" t="str">
        <f>MID(tblPassengerNames[[#This Row],[Name]], tblPassengerNames[[#This Row],[DotPos]] + 2, tblPassengerNames[[#This Row],[EndOfConvFNPos]] - tblPassengerNames[[#This Row],[DotPos]] - 1)</f>
        <v>Francis Davis</v>
      </c>
      <c r="K208" t="e">
        <f>MID(tblPassengerNames[[#This Row],[Name]], tblPassengerNames[[#This Row],[OpenParPos]] + 1, tblPassengerNames[[#This Row],[CloseParPos]] - tblPassengerNames[[#This Row],[OpenParPos]] - 1)</f>
        <v>#VALUE!</v>
      </c>
      <c r="L208" t="e">
        <f>IF(AND(LEFT(tblPassengerNames[[#This Row],[InParentheses]], 1) = "'", RIGHT(tblPassengerNames[[#This Row],[InParentheses]], 1) = "'"),
    #VALUE!,
    tblPassengerNames[[#This Row],[InParentheses]]
)</f>
        <v>#VALUE!</v>
      </c>
      <c r="M208" t="e">
        <f>LEN(tblPassengerNames[[#This Row],[InParenthesesCleaned]]) - LEN(SUBSTITUTE(tblPassengerNames[[#This Row],[InParenthesesCleaned]], " ", ""))</f>
        <v>#VALUE!</v>
      </c>
      <c r="N208" t="e">
        <f>FIND("@", SUBSTITUTE(tblPassengerNames[[#This Row],[InParenthesesCleaned]], " ", "@", tblPassengerNames[[#This Row],[P_NSpaces]]))</f>
        <v>#VALUE!</v>
      </c>
      <c r="O208" t="e">
        <f>IF(tblPassengerNames[[#This Row],[P_NSpaces]] = 0,
    tblPassengerNames[[#This Row],[InParenthesesCleaned]],
    LEFT(tblPassengerNames[[#This Row],[InParenthesesCleaned]], tblPassengerNames[[#This Row],[P_FinalSpacePos]] - 1)
)</f>
        <v>#VALUE!</v>
      </c>
      <c r="P208" t="str">
        <f>IFERROR(tblPassengerNames[[#This Row],[P_Forenames]], tblPassengerNames[[#This Row],[ConvForenames]])</f>
        <v>Francis Davis</v>
      </c>
      <c r="Q208" t="str">
        <f>MID(tblPassengerNames[[#This Row],[Name]], tblPassengerNames[[#This Row],[CommaPos]] + 2, tblPassengerNames[[#This Row],[DotPos]] - tblPassengerNames[[#This Row],[CommaPos]] - 1)</f>
        <v>Mr.</v>
      </c>
      <c r="R208" t="str">
        <f>LEFT(tblPassengerNames[[#This Row],[Name]], tblPassengerNames[[#This Row],[CommaPos]] - 1)</f>
        <v>Millet</v>
      </c>
    </row>
    <row r="209" spans="2:18" x14ac:dyDescent="0.25">
      <c r="B209" s="21">
        <v>207</v>
      </c>
      <c r="C209" s="21" t="s">
        <v>343</v>
      </c>
      <c r="D209" s="21" t="s">
        <v>138</v>
      </c>
      <c r="E209">
        <f>FIND(",", tblPassengerNames[[#This Row],[Name]])</f>
        <v>8</v>
      </c>
      <c r="F209">
        <f>FIND(".", tblPassengerNames[[#This Row],[Name]])</f>
        <v>12</v>
      </c>
      <c r="G209" t="e">
        <f>FIND("(", tblPassengerNames[[#This Row],[Name]])</f>
        <v>#VALUE!</v>
      </c>
      <c r="H209" t="e">
        <f>FIND(")", tblPassengerNames[[#This Row],[Name]])</f>
        <v>#VALUE!</v>
      </c>
      <c r="I209">
        <f>IFERROR(tblPassengerNames[[#This Row],[OpenParPos]] - 2, LEN(tblPassengerNames[[#This Row],[Name]]))</f>
        <v>27</v>
      </c>
      <c r="J209" t="str">
        <f>MID(tblPassengerNames[[#This Row],[Name]], tblPassengerNames[[#This Row],[DotPos]] + 2, tblPassengerNames[[#This Row],[EndOfConvFNPos]] - tblPassengerNames[[#This Row],[DotPos]] - 1)</f>
        <v>William Edward</v>
      </c>
      <c r="K209" t="e">
        <f>MID(tblPassengerNames[[#This Row],[Name]], tblPassengerNames[[#This Row],[OpenParPos]] + 1, tblPassengerNames[[#This Row],[CloseParPos]] - tblPassengerNames[[#This Row],[OpenParPos]] - 1)</f>
        <v>#VALUE!</v>
      </c>
      <c r="L209" t="e">
        <f>IF(AND(LEFT(tblPassengerNames[[#This Row],[InParentheses]], 1) = "'", RIGHT(tblPassengerNames[[#This Row],[InParentheses]], 1) = "'"),
    #VALUE!,
    tblPassengerNames[[#This Row],[InParentheses]]
)</f>
        <v>#VALUE!</v>
      </c>
      <c r="M209" t="e">
        <f>LEN(tblPassengerNames[[#This Row],[InParenthesesCleaned]]) - LEN(SUBSTITUTE(tblPassengerNames[[#This Row],[InParenthesesCleaned]], " ", ""))</f>
        <v>#VALUE!</v>
      </c>
      <c r="N209" t="e">
        <f>FIND("@", SUBSTITUTE(tblPassengerNames[[#This Row],[InParenthesesCleaned]], " ", "@", tblPassengerNames[[#This Row],[P_NSpaces]]))</f>
        <v>#VALUE!</v>
      </c>
      <c r="O209" t="e">
        <f>IF(tblPassengerNames[[#This Row],[P_NSpaces]] = 0,
    tblPassengerNames[[#This Row],[InParenthesesCleaned]],
    LEFT(tblPassengerNames[[#This Row],[InParenthesesCleaned]], tblPassengerNames[[#This Row],[P_FinalSpacePos]] - 1)
)</f>
        <v>#VALUE!</v>
      </c>
      <c r="P209" t="str">
        <f>IFERROR(tblPassengerNames[[#This Row],[P_Forenames]], tblPassengerNames[[#This Row],[ConvForenames]])</f>
        <v>William Edward</v>
      </c>
      <c r="Q209" t="str">
        <f>MID(tblPassengerNames[[#This Row],[Name]], tblPassengerNames[[#This Row],[CommaPos]] + 2, tblPassengerNames[[#This Row],[DotPos]] - tblPassengerNames[[#This Row],[CommaPos]] - 1)</f>
        <v>Dr.</v>
      </c>
      <c r="R209" t="str">
        <f>LEFT(tblPassengerNames[[#This Row],[Name]], tblPassengerNames[[#This Row],[CommaPos]] - 1)</f>
        <v>Minahan</v>
      </c>
    </row>
    <row r="210" spans="2:18" x14ac:dyDescent="0.25">
      <c r="B210" s="21">
        <v>208</v>
      </c>
      <c r="C210" s="21" t="s">
        <v>344</v>
      </c>
      <c r="D210" s="21" t="s">
        <v>136</v>
      </c>
      <c r="E210">
        <f>FIND(",", tblPassengerNames[[#This Row],[Name]])</f>
        <v>8</v>
      </c>
      <c r="F210">
        <f>FIND(".", tblPassengerNames[[#This Row],[Name]])</f>
        <v>14</v>
      </c>
      <c r="G210" t="e">
        <f>FIND("(", tblPassengerNames[[#This Row],[Name]])</f>
        <v>#VALUE!</v>
      </c>
      <c r="H210" t="e">
        <f>FIND(")", tblPassengerNames[[#This Row],[Name]])</f>
        <v>#VALUE!</v>
      </c>
      <c r="I210">
        <f>IFERROR(tblPassengerNames[[#This Row],[OpenParPos]] - 2, LEN(tblPassengerNames[[#This Row],[Name]]))</f>
        <v>22</v>
      </c>
      <c r="J210" t="str">
        <f>MID(tblPassengerNames[[#This Row],[Name]], tblPassengerNames[[#This Row],[DotPos]] + 2, tblPassengerNames[[#This Row],[EndOfConvFNPos]] - tblPassengerNames[[#This Row],[DotPos]] - 1)</f>
        <v>Daisy E</v>
      </c>
      <c r="K210" t="e">
        <f>MID(tblPassengerNames[[#This Row],[Name]], tblPassengerNames[[#This Row],[OpenParPos]] + 1, tblPassengerNames[[#This Row],[CloseParPos]] - tblPassengerNames[[#This Row],[OpenParPos]] - 1)</f>
        <v>#VALUE!</v>
      </c>
      <c r="L210" t="e">
        <f>IF(AND(LEFT(tblPassengerNames[[#This Row],[InParentheses]], 1) = "'", RIGHT(tblPassengerNames[[#This Row],[InParentheses]], 1) = "'"),
    #VALUE!,
    tblPassengerNames[[#This Row],[InParentheses]]
)</f>
        <v>#VALUE!</v>
      </c>
      <c r="M210" t="e">
        <f>LEN(tblPassengerNames[[#This Row],[InParenthesesCleaned]]) - LEN(SUBSTITUTE(tblPassengerNames[[#This Row],[InParenthesesCleaned]], " ", ""))</f>
        <v>#VALUE!</v>
      </c>
      <c r="N210" t="e">
        <f>FIND("@", SUBSTITUTE(tblPassengerNames[[#This Row],[InParenthesesCleaned]], " ", "@", tblPassengerNames[[#This Row],[P_NSpaces]]))</f>
        <v>#VALUE!</v>
      </c>
      <c r="O210" t="e">
        <f>IF(tblPassengerNames[[#This Row],[P_NSpaces]] = 0,
    tblPassengerNames[[#This Row],[InParenthesesCleaned]],
    LEFT(tblPassengerNames[[#This Row],[InParenthesesCleaned]], tblPassengerNames[[#This Row],[P_FinalSpacePos]] - 1)
)</f>
        <v>#VALUE!</v>
      </c>
      <c r="P210" t="str">
        <f>IFERROR(tblPassengerNames[[#This Row],[P_Forenames]], tblPassengerNames[[#This Row],[ConvForenames]])</f>
        <v>Daisy E</v>
      </c>
      <c r="Q210" t="str">
        <f>MID(tblPassengerNames[[#This Row],[Name]], tblPassengerNames[[#This Row],[CommaPos]] + 2, tblPassengerNames[[#This Row],[DotPos]] - tblPassengerNames[[#This Row],[CommaPos]] - 1)</f>
        <v>Miss.</v>
      </c>
      <c r="R210" t="str">
        <f>LEFT(tblPassengerNames[[#This Row],[Name]], tblPassengerNames[[#This Row],[CommaPos]] - 1)</f>
        <v>Minahan</v>
      </c>
    </row>
    <row r="211" spans="2:18" x14ac:dyDescent="0.25">
      <c r="B211" s="21">
        <v>209</v>
      </c>
      <c r="C211" s="21" t="s">
        <v>345</v>
      </c>
      <c r="D211" s="21" t="s">
        <v>136</v>
      </c>
      <c r="E211">
        <f>FIND(",", tblPassengerNames[[#This Row],[Name]])</f>
        <v>8</v>
      </c>
      <c r="F211">
        <f>FIND(".", tblPassengerNames[[#This Row],[Name]])</f>
        <v>13</v>
      </c>
      <c r="G211">
        <f>FIND("(", tblPassengerNames[[#This Row],[Name]])</f>
        <v>30</v>
      </c>
      <c r="H211">
        <f>FIND(")", tblPassengerNames[[#This Row],[Name]])</f>
        <v>47</v>
      </c>
      <c r="I211">
        <f>IFERROR(tblPassengerNames[[#This Row],[OpenParPos]] - 2, LEN(tblPassengerNames[[#This Row],[Name]]))</f>
        <v>28</v>
      </c>
      <c r="J211" t="str">
        <f>MID(tblPassengerNames[[#This Row],[Name]], tblPassengerNames[[#This Row],[DotPos]] + 2, tblPassengerNames[[#This Row],[EndOfConvFNPos]] - tblPassengerNames[[#This Row],[DotPos]] - 1)</f>
        <v>William Edward</v>
      </c>
      <c r="K211" t="str">
        <f>MID(tblPassengerNames[[#This Row],[Name]], tblPassengerNames[[#This Row],[OpenParPos]] + 1, tblPassengerNames[[#This Row],[CloseParPos]] - tblPassengerNames[[#This Row],[OpenParPos]] - 1)</f>
        <v>Lillian E Thorpe</v>
      </c>
      <c r="L211" t="str">
        <f>IF(AND(LEFT(tblPassengerNames[[#This Row],[InParentheses]], 1) = "'", RIGHT(tblPassengerNames[[#This Row],[InParentheses]], 1) = "'"),
    #VALUE!,
    tblPassengerNames[[#This Row],[InParentheses]]
)</f>
        <v>Lillian E Thorpe</v>
      </c>
      <c r="M211">
        <f>LEN(tblPassengerNames[[#This Row],[InParenthesesCleaned]]) - LEN(SUBSTITUTE(tblPassengerNames[[#This Row],[InParenthesesCleaned]], " ", ""))</f>
        <v>2</v>
      </c>
      <c r="N211">
        <f>FIND("@", SUBSTITUTE(tblPassengerNames[[#This Row],[InParenthesesCleaned]], " ", "@", tblPassengerNames[[#This Row],[P_NSpaces]]))</f>
        <v>10</v>
      </c>
      <c r="O211" t="str">
        <f>IF(tblPassengerNames[[#This Row],[P_NSpaces]] = 0,
    tblPassengerNames[[#This Row],[InParenthesesCleaned]],
    LEFT(tblPassengerNames[[#This Row],[InParenthesesCleaned]], tblPassengerNames[[#This Row],[P_FinalSpacePos]] - 1)
)</f>
        <v>Lillian E</v>
      </c>
      <c r="P211" t="str">
        <f>IFERROR(tblPassengerNames[[#This Row],[P_Forenames]], tblPassengerNames[[#This Row],[ConvForenames]])</f>
        <v>Lillian E</v>
      </c>
      <c r="Q211" t="str">
        <f>MID(tblPassengerNames[[#This Row],[Name]], tblPassengerNames[[#This Row],[CommaPos]] + 2, tblPassengerNames[[#This Row],[DotPos]] - tblPassengerNames[[#This Row],[CommaPos]] - 1)</f>
        <v>Mrs.</v>
      </c>
      <c r="R211" t="str">
        <f>LEFT(tblPassengerNames[[#This Row],[Name]], tblPassengerNames[[#This Row],[CommaPos]] - 1)</f>
        <v>Minahan</v>
      </c>
    </row>
    <row r="212" spans="2:18" x14ac:dyDescent="0.25">
      <c r="B212" s="21">
        <v>210</v>
      </c>
      <c r="C212" s="21" t="s">
        <v>346</v>
      </c>
      <c r="D212" s="21" t="s">
        <v>138</v>
      </c>
      <c r="E212">
        <f>FIND(",", tblPassengerNames[[#This Row],[Name]])</f>
        <v>5</v>
      </c>
      <c r="F212">
        <f>FIND(".", tblPassengerNames[[#This Row],[Name]])</f>
        <v>9</v>
      </c>
      <c r="G212" t="e">
        <f>FIND("(", tblPassengerNames[[#This Row],[Name]])</f>
        <v>#VALUE!</v>
      </c>
      <c r="H212" t="e">
        <f>FIND(")", tblPassengerNames[[#This Row],[Name]])</f>
        <v>#VALUE!</v>
      </c>
      <c r="I212">
        <f>IFERROR(tblPassengerNames[[#This Row],[OpenParPos]] - 2, LEN(tblPassengerNames[[#This Row],[Name]]))</f>
        <v>24</v>
      </c>
      <c r="J212" t="str">
        <f>MID(tblPassengerNames[[#This Row],[Name]], tblPassengerNames[[#This Row],[DotPos]] + 2, tblPassengerNames[[#This Row],[EndOfConvFNPos]] - tblPassengerNames[[#This Row],[DotPos]] - 1)</f>
        <v>Philipp Edmund</v>
      </c>
      <c r="K212" t="e">
        <f>MID(tblPassengerNames[[#This Row],[Name]], tblPassengerNames[[#This Row],[OpenParPos]] + 1, tblPassengerNames[[#This Row],[CloseParPos]] - tblPassengerNames[[#This Row],[OpenParPos]] - 1)</f>
        <v>#VALUE!</v>
      </c>
      <c r="L212" t="e">
        <f>IF(AND(LEFT(tblPassengerNames[[#This Row],[InParentheses]], 1) = "'", RIGHT(tblPassengerNames[[#This Row],[InParentheses]], 1) = "'"),
    #VALUE!,
    tblPassengerNames[[#This Row],[InParentheses]]
)</f>
        <v>#VALUE!</v>
      </c>
      <c r="M212" t="e">
        <f>LEN(tblPassengerNames[[#This Row],[InParenthesesCleaned]]) - LEN(SUBSTITUTE(tblPassengerNames[[#This Row],[InParenthesesCleaned]], " ", ""))</f>
        <v>#VALUE!</v>
      </c>
      <c r="N212" t="e">
        <f>FIND("@", SUBSTITUTE(tblPassengerNames[[#This Row],[InParenthesesCleaned]], " ", "@", tblPassengerNames[[#This Row],[P_NSpaces]]))</f>
        <v>#VALUE!</v>
      </c>
      <c r="O212" t="e">
        <f>IF(tblPassengerNames[[#This Row],[P_NSpaces]] = 0,
    tblPassengerNames[[#This Row],[InParenthesesCleaned]],
    LEFT(tblPassengerNames[[#This Row],[InParenthesesCleaned]], tblPassengerNames[[#This Row],[P_FinalSpacePos]] - 1)
)</f>
        <v>#VALUE!</v>
      </c>
      <c r="P212" t="str">
        <f>IFERROR(tblPassengerNames[[#This Row],[P_Forenames]], tblPassengerNames[[#This Row],[ConvForenames]])</f>
        <v>Philipp Edmund</v>
      </c>
      <c r="Q212" t="str">
        <f>MID(tblPassengerNames[[#This Row],[Name]], tblPassengerNames[[#This Row],[CommaPos]] + 2, tblPassengerNames[[#This Row],[DotPos]] - tblPassengerNames[[#This Row],[CommaPos]] - 1)</f>
        <v>Mr.</v>
      </c>
      <c r="R212" t="str">
        <f>LEFT(tblPassengerNames[[#This Row],[Name]], tblPassengerNames[[#This Row],[CommaPos]] - 1)</f>
        <v>Mock</v>
      </c>
    </row>
    <row r="213" spans="2:18" x14ac:dyDescent="0.25">
      <c r="B213" s="21">
        <v>211</v>
      </c>
      <c r="C213" s="21" t="s">
        <v>347</v>
      </c>
      <c r="D213" s="21" t="s">
        <v>138</v>
      </c>
      <c r="E213">
        <f>FIND(",", tblPassengerNames[[#This Row],[Name]])</f>
        <v>7</v>
      </c>
      <c r="F213">
        <f>FIND(".", tblPassengerNames[[#This Row],[Name]])</f>
        <v>11</v>
      </c>
      <c r="G213" t="e">
        <f>FIND("(", tblPassengerNames[[#This Row],[Name]])</f>
        <v>#VALUE!</v>
      </c>
      <c r="H213" t="e">
        <f>FIND(")", tblPassengerNames[[#This Row],[Name]])</f>
        <v>#VALUE!</v>
      </c>
      <c r="I213">
        <f>IFERROR(tblPassengerNames[[#This Row],[OpenParPos]] - 2, LEN(tblPassengerNames[[#This Row],[Name]]))</f>
        <v>26</v>
      </c>
      <c r="J213" t="str">
        <f>MID(tblPassengerNames[[#This Row],[Name]], tblPassengerNames[[#This Row],[DotPos]] + 2, tblPassengerNames[[#This Row],[EndOfConvFNPos]] - tblPassengerNames[[#This Row],[DotPos]] - 1)</f>
        <v>Harry Markland</v>
      </c>
      <c r="K213" t="e">
        <f>MID(tblPassengerNames[[#This Row],[Name]], tblPassengerNames[[#This Row],[OpenParPos]] + 1, tblPassengerNames[[#This Row],[CloseParPos]] - tblPassengerNames[[#This Row],[OpenParPos]] - 1)</f>
        <v>#VALUE!</v>
      </c>
      <c r="L213" t="e">
        <f>IF(AND(LEFT(tblPassengerNames[[#This Row],[InParentheses]], 1) = "'", RIGHT(tblPassengerNames[[#This Row],[InParentheses]], 1) = "'"),
    #VALUE!,
    tblPassengerNames[[#This Row],[InParentheses]]
)</f>
        <v>#VALUE!</v>
      </c>
      <c r="M213" t="e">
        <f>LEN(tblPassengerNames[[#This Row],[InParenthesesCleaned]]) - LEN(SUBSTITUTE(tblPassengerNames[[#This Row],[InParenthesesCleaned]], " ", ""))</f>
        <v>#VALUE!</v>
      </c>
      <c r="N213" t="e">
        <f>FIND("@", SUBSTITUTE(tblPassengerNames[[#This Row],[InParenthesesCleaned]], " ", "@", tblPassengerNames[[#This Row],[P_NSpaces]]))</f>
        <v>#VALUE!</v>
      </c>
      <c r="O213" t="e">
        <f>IF(tblPassengerNames[[#This Row],[P_NSpaces]] = 0,
    tblPassengerNames[[#This Row],[InParenthesesCleaned]],
    LEFT(tblPassengerNames[[#This Row],[InParenthesesCleaned]], tblPassengerNames[[#This Row],[P_FinalSpacePos]] - 1)
)</f>
        <v>#VALUE!</v>
      </c>
      <c r="P213" t="str">
        <f>IFERROR(tblPassengerNames[[#This Row],[P_Forenames]], tblPassengerNames[[#This Row],[ConvForenames]])</f>
        <v>Harry Markland</v>
      </c>
      <c r="Q213" t="str">
        <f>MID(tblPassengerNames[[#This Row],[Name]], tblPassengerNames[[#This Row],[CommaPos]] + 2, tblPassengerNames[[#This Row],[DotPos]] - tblPassengerNames[[#This Row],[CommaPos]] - 1)</f>
        <v>Mr.</v>
      </c>
      <c r="R213" t="str">
        <f>LEFT(tblPassengerNames[[#This Row],[Name]], tblPassengerNames[[#This Row],[CommaPos]] - 1)</f>
        <v>Molson</v>
      </c>
    </row>
    <row r="214" spans="2:18" x14ac:dyDescent="0.25">
      <c r="B214" s="21">
        <v>212</v>
      </c>
      <c r="C214" s="21" t="s">
        <v>348</v>
      </c>
      <c r="D214" s="21" t="s">
        <v>138</v>
      </c>
      <c r="E214">
        <f>FIND(",", tblPassengerNames[[#This Row],[Name]])</f>
        <v>6</v>
      </c>
      <c r="F214">
        <f>FIND(".", tblPassengerNames[[#This Row],[Name]])</f>
        <v>10</v>
      </c>
      <c r="G214" t="e">
        <f>FIND("(", tblPassengerNames[[#This Row],[Name]])</f>
        <v>#VALUE!</v>
      </c>
      <c r="H214" t="e">
        <f>FIND(")", tblPassengerNames[[#This Row],[Name]])</f>
        <v>#VALUE!</v>
      </c>
      <c r="I214">
        <f>IFERROR(tblPassengerNames[[#This Row],[OpenParPos]] - 2, LEN(tblPassengerNames[[#This Row],[Name]]))</f>
        <v>30</v>
      </c>
      <c r="J214" t="str">
        <f>MID(tblPassengerNames[[#This Row],[Name]], tblPassengerNames[[#This Row],[DotPos]] + 2, tblPassengerNames[[#This Row],[EndOfConvFNPos]] - tblPassengerNames[[#This Row],[DotPos]] - 1)</f>
        <v>Clarence Bloomfield</v>
      </c>
      <c r="K214" t="e">
        <f>MID(tblPassengerNames[[#This Row],[Name]], tblPassengerNames[[#This Row],[OpenParPos]] + 1, tblPassengerNames[[#This Row],[CloseParPos]] - tblPassengerNames[[#This Row],[OpenParPos]] - 1)</f>
        <v>#VALUE!</v>
      </c>
      <c r="L214" t="e">
        <f>IF(AND(LEFT(tblPassengerNames[[#This Row],[InParentheses]], 1) = "'", RIGHT(tblPassengerNames[[#This Row],[InParentheses]], 1) = "'"),
    #VALUE!,
    tblPassengerNames[[#This Row],[InParentheses]]
)</f>
        <v>#VALUE!</v>
      </c>
      <c r="M214" t="e">
        <f>LEN(tblPassengerNames[[#This Row],[InParenthesesCleaned]]) - LEN(SUBSTITUTE(tblPassengerNames[[#This Row],[InParenthesesCleaned]], " ", ""))</f>
        <v>#VALUE!</v>
      </c>
      <c r="N214" t="e">
        <f>FIND("@", SUBSTITUTE(tblPassengerNames[[#This Row],[InParenthesesCleaned]], " ", "@", tblPassengerNames[[#This Row],[P_NSpaces]]))</f>
        <v>#VALUE!</v>
      </c>
      <c r="O214" t="e">
        <f>IF(tblPassengerNames[[#This Row],[P_NSpaces]] = 0,
    tblPassengerNames[[#This Row],[InParenthesesCleaned]],
    LEFT(tblPassengerNames[[#This Row],[InParenthesesCleaned]], tblPassengerNames[[#This Row],[P_FinalSpacePos]] - 1)
)</f>
        <v>#VALUE!</v>
      </c>
      <c r="P214" t="str">
        <f>IFERROR(tblPassengerNames[[#This Row],[P_Forenames]], tblPassengerNames[[#This Row],[ConvForenames]])</f>
        <v>Clarence Bloomfield</v>
      </c>
      <c r="Q214" t="str">
        <f>MID(tblPassengerNames[[#This Row],[Name]], tblPassengerNames[[#This Row],[CommaPos]] + 2, tblPassengerNames[[#This Row],[DotPos]] - tblPassengerNames[[#This Row],[CommaPos]] - 1)</f>
        <v>Mr.</v>
      </c>
      <c r="R214" t="str">
        <f>LEFT(tblPassengerNames[[#This Row],[Name]], tblPassengerNames[[#This Row],[CommaPos]] - 1)</f>
        <v>Moore</v>
      </c>
    </row>
    <row r="215" spans="2:18" x14ac:dyDescent="0.25">
      <c r="B215" s="21">
        <v>213</v>
      </c>
      <c r="C215" s="21" t="s">
        <v>349</v>
      </c>
      <c r="D215" s="21" t="s">
        <v>138</v>
      </c>
      <c r="E215">
        <f>FIND(",", tblPassengerNames[[#This Row],[Name]])</f>
        <v>7</v>
      </c>
      <c r="F215">
        <f>FIND(".", tblPassengerNames[[#This Row],[Name]])</f>
        <v>11</v>
      </c>
      <c r="G215" t="e">
        <f>FIND("(", tblPassengerNames[[#This Row],[Name]])</f>
        <v>#VALUE!</v>
      </c>
      <c r="H215" t="e">
        <f>FIND(")", tblPassengerNames[[#This Row],[Name]])</f>
        <v>#VALUE!</v>
      </c>
      <c r="I215">
        <f>IFERROR(tblPassengerNames[[#This Row],[OpenParPos]] - 2, LEN(tblPassengerNames[[#This Row],[Name]]))</f>
        <v>21</v>
      </c>
      <c r="J215" t="str">
        <f>MID(tblPassengerNames[[#This Row],[Name]], tblPassengerNames[[#This Row],[DotPos]] + 2, tblPassengerNames[[#This Row],[EndOfConvFNPos]] - tblPassengerNames[[#This Row],[DotPos]] - 1)</f>
        <v>Charles H</v>
      </c>
      <c r="K215" t="e">
        <f>MID(tblPassengerNames[[#This Row],[Name]], tblPassengerNames[[#This Row],[OpenParPos]] + 1, tblPassengerNames[[#This Row],[CloseParPos]] - tblPassengerNames[[#This Row],[OpenParPos]] - 1)</f>
        <v>#VALUE!</v>
      </c>
      <c r="L215" t="e">
        <f>IF(AND(LEFT(tblPassengerNames[[#This Row],[InParentheses]], 1) = "'", RIGHT(tblPassengerNames[[#This Row],[InParentheses]], 1) = "'"),
    #VALUE!,
    tblPassengerNames[[#This Row],[InParentheses]]
)</f>
        <v>#VALUE!</v>
      </c>
      <c r="M215" t="e">
        <f>LEN(tblPassengerNames[[#This Row],[InParenthesesCleaned]]) - LEN(SUBSTITUTE(tblPassengerNames[[#This Row],[InParenthesesCleaned]], " ", ""))</f>
        <v>#VALUE!</v>
      </c>
      <c r="N215" t="e">
        <f>FIND("@", SUBSTITUTE(tblPassengerNames[[#This Row],[InParenthesesCleaned]], " ", "@", tblPassengerNames[[#This Row],[P_NSpaces]]))</f>
        <v>#VALUE!</v>
      </c>
      <c r="O215" t="e">
        <f>IF(tblPassengerNames[[#This Row],[P_NSpaces]] = 0,
    tblPassengerNames[[#This Row],[InParenthesesCleaned]],
    LEFT(tblPassengerNames[[#This Row],[InParenthesesCleaned]], tblPassengerNames[[#This Row],[P_FinalSpacePos]] - 1)
)</f>
        <v>#VALUE!</v>
      </c>
      <c r="P215" t="str">
        <f>IFERROR(tblPassengerNames[[#This Row],[P_Forenames]], tblPassengerNames[[#This Row],[ConvForenames]])</f>
        <v>Charles H</v>
      </c>
      <c r="Q215" t="str">
        <f>MID(tblPassengerNames[[#This Row],[Name]], tblPassengerNames[[#This Row],[CommaPos]] + 2, tblPassengerNames[[#This Row],[DotPos]] - tblPassengerNames[[#This Row],[CommaPos]] - 1)</f>
        <v>Mr.</v>
      </c>
      <c r="R215" t="str">
        <f>LEFT(tblPassengerNames[[#This Row],[Name]], tblPassengerNames[[#This Row],[CommaPos]] - 1)</f>
        <v>Natsch</v>
      </c>
    </row>
    <row r="216" spans="2:18" x14ac:dyDescent="0.25">
      <c r="B216" s="21">
        <v>214</v>
      </c>
      <c r="C216" s="21" t="s">
        <v>350</v>
      </c>
      <c r="D216" s="21" t="s">
        <v>136</v>
      </c>
      <c r="E216">
        <f>FIND(",", tblPassengerNames[[#This Row],[Name]])</f>
        <v>7</v>
      </c>
      <c r="F216">
        <f>FIND(".", tblPassengerNames[[#This Row],[Name]])</f>
        <v>13</v>
      </c>
      <c r="G216" t="e">
        <f>FIND("(", tblPassengerNames[[#This Row],[Name]])</f>
        <v>#VALUE!</v>
      </c>
      <c r="H216" t="e">
        <f>FIND(")", tblPassengerNames[[#This Row],[Name]])</f>
        <v>#VALUE!</v>
      </c>
      <c r="I216">
        <f>IFERROR(tblPassengerNames[[#This Row],[OpenParPos]] - 2, LEN(tblPassengerNames[[#This Row],[Name]]))</f>
        <v>23</v>
      </c>
      <c r="J216" t="str">
        <f>MID(tblPassengerNames[[#This Row],[Name]], tblPassengerNames[[#This Row],[DotPos]] + 2, tblPassengerNames[[#This Row],[EndOfConvFNPos]] - tblPassengerNames[[#This Row],[DotPos]] - 1)</f>
        <v>Madeleine</v>
      </c>
      <c r="K216" t="e">
        <f>MID(tblPassengerNames[[#This Row],[Name]], tblPassengerNames[[#This Row],[OpenParPos]] + 1, tblPassengerNames[[#This Row],[CloseParPos]] - tblPassengerNames[[#This Row],[OpenParPos]] - 1)</f>
        <v>#VALUE!</v>
      </c>
      <c r="L216" t="e">
        <f>IF(AND(LEFT(tblPassengerNames[[#This Row],[InParentheses]], 1) = "'", RIGHT(tblPassengerNames[[#This Row],[InParentheses]], 1) = "'"),
    #VALUE!,
    tblPassengerNames[[#This Row],[InParentheses]]
)</f>
        <v>#VALUE!</v>
      </c>
      <c r="M216" t="e">
        <f>LEN(tblPassengerNames[[#This Row],[InParenthesesCleaned]]) - LEN(SUBSTITUTE(tblPassengerNames[[#This Row],[InParenthesesCleaned]], " ", ""))</f>
        <v>#VALUE!</v>
      </c>
      <c r="N216" t="e">
        <f>FIND("@", SUBSTITUTE(tblPassengerNames[[#This Row],[InParenthesesCleaned]], " ", "@", tblPassengerNames[[#This Row],[P_NSpaces]]))</f>
        <v>#VALUE!</v>
      </c>
      <c r="O216" t="e">
        <f>IF(tblPassengerNames[[#This Row],[P_NSpaces]] = 0,
    tblPassengerNames[[#This Row],[InParenthesesCleaned]],
    LEFT(tblPassengerNames[[#This Row],[InParenthesesCleaned]], tblPassengerNames[[#This Row],[P_FinalSpacePos]] - 1)
)</f>
        <v>#VALUE!</v>
      </c>
      <c r="P216" t="str">
        <f>IFERROR(tblPassengerNames[[#This Row],[P_Forenames]], tblPassengerNames[[#This Row],[ConvForenames]])</f>
        <v>Madeleine</v>
      </c>
      <c r="Q216" t="str">
        <f>MID(tblPassengerNames[[#This Row],[Name]], tblPassengerNames[[#This Row],[CommaPos]] + 2, tblPassengerNames[[#This Row],[DotPos]] - tblPassengerNames[[#This Row],[CommaPos]] - 1)</f>
        <v>Miss.</v>
      </c>
      <c r="R216" t="str">
        <f>LEFT(tblPassengerNames[[#This Row],[Name]], tblPassengerNames[[#This Row],[CommaPos]] - 1)</f>
        <v>Newell</v>
      </c>
    </row>
    <row r="217" spans="2:18" x14ac:dyDescent="0.25">
      <c r="B217" s="21">
        <v>215</v>
      </c>
      <c r="C217" s="21" t="s">
        <v>351</v>
      </c>
      <c r="D217" s="21" t="s">
        <v>136</v>
      </c>
      <c r="E217">
        <f>FIND(",", tblPassengerNames[[#This Row],[Name]])</f>
        <v>7</v>
      </c>
      <c r="F217">
        <f>FIND(".", tblPassengerNames[[#This Row],[Name]])</f>
        <v>13</v>
      </c>
      <c r="G217" t="e">
        <f>FIND("(", tblPassengerNames[[#This Row],[Name]])</f>
        <v>#VALUE!</v>
      </c>
      <c r="H217" t="e">
        <f>FIND(")", tblPassengerNames[[#This Row],[Name]])</f>
        <v>#VALUE!</v>
      </c>
      <c r="I217">
        <f>IFERROR(tblPassengerNames[[#This Row],[OpenParPos]] - 2, LEN(tblPassengerNames[[#This Row],[Name]]))</f>
        <v>22</v>
      </c>
      <c r="J217" t="str">
        <f>MID(tblPassengerNames[[#This Row],[Name]], tblPassengerNames[[#This Row],[DotPos]] + 2, tblPassengerNames[[#This Row],[EndOfConvFNPos]] - tblPassengerNames[[#This Row],[DotPos]] - 1)</f>
        <v>Marjorie</v>
      </c>
      <c r="K217" t="e">
        <f>MID(tblPassengerNames[[#This Row],[Name]], tblPassengerNames[[#This Row],[OpenParPos]] + 1, tblPassengerNames[[#This Row],[CloseParPos]] - tblPassengerNames[[#This Row],[OpenParPos]] - 1)</f>
        <v>#VALUE!</v>
      </c>
      <c r="L217" t="e">
        <f>IF(AND(LEFT(tblPassengerNames[[#This Row],[InParentheses]], 1) = "'", RIGHT(tblPassengerNames[[#This Row],[InParentheses]], 1) = "'"),
    #VALUE!,
    tblPassengerNames[[#This Row],[InParentheses]]
)</f>
        <v>#VALUE!</v>
      </c>
      <c r="M217" t="e">
        <f>LEN(tblPassengerNames[[#This Row],[InParenthesesCleaned]]) - LEN(SUBSTITUTE(tblPassengerNames[[#This Row],[InParenthesesCleaned]], " ", ""))</f>
        <v>#VALUE!</v>
      </c>
      <c r="N217" t="e">
        <f>FIND("@", SUBSTITUTE(tblPassengerNames[[#This Row],[InParenthesesCleaned]], " ", "@", tblPassengerNames[[#This Row],[P_NSpaces]]))</f>
        <v>#VALUE!</v>
      </c>
      <c r="O217" t="e">
        <f>IF(tblPassengerNames[[#This Row],[P_NSpaces]] = 0,
    tblPassengerNames[[#This Row],[InParenthesesCleaned]],
    LEFT(tblPassengerNames[[#This Row],[InParenthesesCleaned]], tblPassengerNames[[#This Row],[P_FinalSpacePos]] - 1)
)</f>
        <v>#VALUE!</v>
      </c>
      <c r="P217" t="str">
        <f>IFERROR(tblPassengerNames[[#This Row],[P_Forenames]], tblPassengerNames[[#This Row],[ConvForenames]])</f>
        <v>Marjorie</v>
      </c>
      <c r="Q217" t="str">
        <f>MID(tblPassengerNames[[#This Row],[Name]], tblPassengerNames[[#This Row],[CommaPos]] + 2, tblPassengerNames[[#This Row],[DotPos]] - tblPassengerNames[[#This Row],[CommaPos]] - 1)</f>
        <v>Miss.</v>
      </c>
      <c r="R217" t="str">
        <f>LEFT(tblPassengerNames[[#This Row],[Name]], tblPassengerNames[[#This Row],[CommaPos]] - 1)</f>
        <v>Newell</v>
      </c>
    </row>
    <row r="218" spans="2:18" x14ac:dyDescent="0.25">
      <c r="B218" s="21">
        <v>216</v>
      </c>
      <c r="C218" s="21" t="s">
        <v>352</v>
      </c>
      <c r="D218" s="21" t="s">
        <v>138</v>
      </c>
      <c r="E218">
        <f>FIND(",", tblPassengerNames[[#This Row],[Name]])</f>
        <v>7</v>
      </c>
      <c r="F218">
        <f>FIND(".", tblPassengerNames[[#This Row],[Name]])</f>
        <v>11</v>
      </c>
      <c r="G218" t="e">
        <f>FIND("(", tblPassengerNames[[#This Row],[Name]])</f>
        <v>#VALUE!</v>
      </c>
      <c r="H218" t="e">
        <f>FIND(")", tblPassengerNames[[#This Row],[Name]])</f>
        <v>#VALUE!</v>
      </c>
      <c r="I218">
        <f>IFERROR(tblPassengerNames[[#This Row],[OpenParPos]] - 2, LEN(tblPassengerNames[[#This Row],[Name]]))</f>
        <v>26</v>
      </c>
      <c r="J218" t="str">
        <f>MID(tblPassengerNames[[#This Row],[Name]], tblPassengerNames[[#This Row],[DotPos]] + 2, tblPassengerNames[[#This Row],[EndOfConvFNPos]] - tblPassengerNames[[#This Row],[DotPos]] - 1)</f>
        <v>Arthur Webster</v>
      </c>
      <c r="K218" t="e">
        <f>MID(tblPassengerNames[[#This Row],[Name]], tblPassengerNames[[#This Row],[OpenParPos]] + 1, tblPassengerNames[[#This Row],[CloseParPos]] - tblPassengerNames[[#This Row],[OpenParPos]] - 1)</f>
        <v>#VALUE!</v>
      </c>
      <c r="L218" t="e">
        <f>IF(AND(LEFT(tblPassengerNames[[#This Row],[InParentheses]], 1) = "'", RIGHT(tblPassengerNames[[#This Row],[InParentheses]], 1) = "'"),
    #VALUE!,
    tblPassengerNames[[#This Row],[InParentheses]]
)</f>
        <v>#VALUE!</v>
      </c>
      <c r="M218" t="e">
        <f>LEN(tblPassengerNames[[#This Row],[InParenthesesCleaned]]) - LEN(SUBSTITUTE(tblPassengerNames[[#This Row],[InParenthesesCleaned]], " ", ""))</f>
        <v>#VALUE!</v>
      </c>
      <c r="N218" t="e">
        <f>FIND("@", SUBSTITUTE(tblPassengerNames[[#This Row],[InParenthesesCleaned]], " ", "@", tblPassengerNames[[#This Row],[P_NSpaces]]))</f>
        <v>#VALUE!</v>
      </c>
      <c r="O218" t="e">
        <f>IF(tblPassengerNames[[#This Row],[P_NSpaces]] = 0,
    tblPassengerNames[[#This Row],[InParenthesesCleaned]],
    LEFT(tblPassengerNames[[#This Row],[InParenthesesCleaned]], tblPassengerNames[[#This Row],[P_FinalSpacePos]] - 1)
)</f>
        <v>#VALUE!</v>
      </c>
      <c r="P218" t="str">
        <f>IFERROR(tblPassengerNames[[#This Row],[P_Forenames]], tblPassengerNames[[#This Row],[ConvForenames]])</f>
        <v>Arthur Webster</v>
      </c>
      <c r="Q218" t="str">
        <f>MID(tblPassengerNames[[#This Row],[Name]], tblPassengerNames[[#This Row],[CommaPos]] + 2, tblPassengerNames[[#This Row],[DotPos]] - tblPassengerNames[[#This Row],[CommaPos]] - 1)</f>
        <v>Mr.</v>
      </c>
      <c r="R218" t="str">
        <f>LEFT(tblPassengerNames[[#This Row],[Name]], tblPassengerNames[[#This Row],[CommaPos]] - 1)</f>
        <v>Newell</v>
      </c>
    </row>
    <row r="219" spans="2:18" x14ac:dyDescent="0.25">
      <c r="B219" s="21">
        <v>217</v>
      </c>
      <c r="C219" s="21" t="s">
        <v>353</v>
      </c>
      <c r="D219" s="21" t="s">
        <v>136</v>
      </c>
      <c r="E219">
        <f>FIND(",", tblPassengerNames[[#This Row],[Name]])</f>
        <v>7</v>
      </c>
      <c r="F219">
        <f>FIND(".", tblPassengerNames[[#This Row],[Name]])</f>
        <v>13</v>
      </c>
      <c r="G219" t="e">
        <f>FIND("(", tblPassengerNames[[#This Row],[Name]])</f>
        <v>#VALUE!</v>
      </c>
      <c r="H219" t="e">
        <f>FIND(")", tblPassengerNames[[#This Row],[Name]])</f>
        <v>#VALUE!</v>
      </c>
      <c r="I219">
        <f>IFERROR(tblPassengerNames[[#This Row],[OpenParPos]] - 2, LEN(tblPassengerNames[[#This Row],[Name]]))</f>
        <v>28</v>
      </c>
      <c r="J219" t="str">
        <f>MID(tblPassengerNames[[#This Row],[Name]], tblPassengerNames[[#This Row],[DotPos]] + 2, tblPassengerNames[[#This Row],[EndOfConvFNPos]] - tblPassengerNames[[#This Row],[DotPos]] - 1)</f>
        <v>Helen Monypeny</v>
      </c>
      <c r="K219" t="e">
        <f>MID(tblPassengerNames[[#This Row],[Name]], tblPassengerNames[[#This Row],[OpenParPos]] + 1, tblPassengerNames[[#This Row],[CloseParPos]] - tblPassengerNames[[#This Row],[OpenParPos]] - 1)</f>
        <v>#VALUE!</v>
      </c>
      <c r="L219" t="e">
        <f>IF(AND(LEFT(tblPassengerNames[[#This Row],[InParentheses]], 1) = "'", RIGHT(tblPassengerNames[[#This Row],[InParentheses]], 1) = "'"),
    #VALUE!,
    tblPassengerNames[[#This Row],[InParentheses]]
)</f>
        <v>#VALUE!</v>
      </c>
      <c r="M219" t="e">
        <f>LEN(tblPassengerNames[[#This Row],[InParenthesesCleaned]]) - LEN(SUBSTITUTE(tblPassengerNames[[#This Row],[InParenthesesCleaned]], " ", ""))</f>
        <v>#VALUE!</v>
      </c>
      <c r="N219" t="e">
        <f>FIND("@", SUBSTITUTE(tblPassengerNames[[#This Row],[InParenthesesCleaned]], " ", "@", tblPassengerNames[[#This Row],[P_NSpaces]]))</f>
        <v>#VALUE!</v>
      </c>
      <c r="O219" t="e">
        <f>IF(tblPassengerNames[[#This Row],[P_NSpaces]] = 0,
    tblPassengerNames[[#This Row],[InParenthesesCleaned]],
    LEFT(tblPassengerNames[[#This Row],[InParenthesesCleaned]], tblPassengerNames[[#This Row],[P_FinalSpacePos]] - 1)
)</f>
        <v>#VALUE!</v>
      </c>
      <c r="P219" t="str">
        <f>IFERROR(tblPassengerNames[[#This Row],[P_Forenames]], tblPassengerNames[[#This Row],[ConvForenames]])</f>
        <v>Helen Monypeny</v>
      </c>
      <c r="Q219" t="str">
        <f>MID(tblPassengerNames[[#This Row],[Name]], tblPassengerNames[[#This Row],[CommaPos]] + 2, tblPassengerNames[[#This Row],[DotPos]] - tblPassengerNames[[#This Row],[CommaPos]] - 1)</f>
        <v>Miss.</v>
      </c>
      <c r="R219" t="str">
        <f>LEFT(tblPassengerNames[[#This Row],[Name]], tblPassengerNames[[#This Row],[CommaPos]] - 1)</f>
        <v>Newsom</v>
      </c>
    </row>
    <row r="220" spans="2:18" x14ac:dyDescent="0.25">
      <c r="B220" s="21">
        <v>218</v>
      </c>
      <c r="C220" s="21" t="s">
        <v>354</v>
      </c>
      <c r="D220" s="21" t="s">
        <v>138</v>
      </c>
      <c r="E220">
        <f>FIND(",", tblPassengerNames[[#This Row],[Name]])</f>
        <v>10</v>
      </c>
      <c r="F220">
        <f>FIND(".", tblPassengerNames[[#This Row],[Name]])</f>
        <v>14</v>
      </c>
      <c r="G220" t="e">
        <f>FIND("(", tblPassengerNames[[#This Row],[Name]])</f>
        <v>#VALUE!</v>
      </c>
      <c r="H220" t="e">
        <f>FIND(")", tblPassengerNames[[#This Row],[Name]])</f>
        <v>#VALUE!</v>
      </c>
      <c r="I220">
        <f>IFERROR(tblPassengerNames[[#This Row],[OpenParPos]] - 2, LEN(tblPassengerNames[[#This Row],[Name]]))</f>
        <v>28</v>
      </c>
      <c r="J220" t="str">
        <f>MID(tblPassengerNames[[#This Row],[Name]], tblPassengerNames[[#This Row],[DotPos]] + 2, tblPassengerNames[[#This Row],[EndOfConvFNPos]] - tblPassengerNames[[#This Row],[DotPos]] - 1)</f>
        <v>Arthur Ernest</v>
      </c>
      <c r="K220" t="e">
        <f>MID(tblPassengerNames[[#This Row],[Name]], tblPassengerNames[[#This Row],[OpenParPos]] + 1, tblPassengerNames[[#This Row],[CloseParPos]] - tblPassengerNames[[#This Row],[OpenParPos]] - 1)</f>
        <v>#VALUE!</v>
      </c>
      <c r="L220" t="e">
        <f>IF(AND(LEFT(tblPassengerNames[[#This Row],[InParentheses]], 1) = "'", RIGHT(tblPassengerNames[[#This Row],[InParentheses]], 1) = "'"),
    #VALUE!,
    tblPassengerNames[[#This Row],[InParentheses]]
)</f>
        <v>#VALUE!</v>
      </c>
      <c r="M220" t="e">
        <f>LEN(tblPassengerNames[[#This Row],[InParenthesesCleaned]]) - LEN(SUBSTITUTE(tblPassengerNames[[#This Row],[InParenthesesCleaned]], " ", ""))</f>
        <v>#VALUE!</v>
      </c>
      <c r="N220" t="e">
        <f>FIND("@", SUBSTITUTE(tblPassengerNames[[#This Row],[InParenthesesCleaned]], " ", "@", tblPassengerNames[[#This Row],[P_NSpaces]]))</f>
        <v>#VALUE!</v>
      </c>
      <c r="O220" t="e">
        <f>IF(tblPassengerNames[[#This Row],[P_NSpaces]] = 0,
    tblPassengerNames[[#This Row],[InParenthesesCleaned]],
    LEFT(tblPassengerNames[[#This Row],[InParenthesesCleaned]], tblPassengerNames[[#This Row],[P_FinalSpacePos]] - 1)
)</f>
        <v>#VALUE!</v>
      </c>
      <c r="P220" t="str">
        <f>IFERROR(tblPassengerNames[[#This Row],[P_Forenames]], tblPassengerNames[[#This Row],[ConvForenames]])</f>
        <v>Arthur Ernest</v>
      </c>
      <c r="Q220" t="str">
        <f>MID(tblPassengerNames[[#This Row],[Name]], tblPassengerNames[[#This Row],[CommaPos]] + 2, tblPassengerNames[[#This Row],[DotPos]] - tblPassengerNames[[#This Row],[CommaPos]] - 1)</f>
        <v>Mr.</v>
      </c>
      <c r="R220" t="str">
        <f>LEFT(tblPassengerNames[[#This Row],[Name]], tblPassengerNames[[#This Row],[CommaPos]] - 1)</f>
        <v>Nicholson</v>
      </c>
    </row>
    <row r="221" spans="2:18" x14ac:dyDescent="0.25">
      <c r="B221" s="21">
        <v>219</v>
      </c>
      <c r="C221" s="21" t="s">
        <v>355</v>
      </c>
      <c r="D221" s="21" t="s">
        <v>136</v>
      </c>
      <c r="E221">
        <f>FIND(",", tblPassengerNames[[#This Row],[Name]])</f>
        <v>14</v>
      </c>
      <c r="F221">
        <f>FIND(".", tblPassengerNames[[#This Row],[Name]])</f>
        <v>20</v>
      </c>
      <c r="G221" t="e">
        <f>FIND("(", tblPassengerNames[[#This Row],[Name]])</f>
        <v>#VALUE!</v>
      </c>
      <c r="H221" t="e">
        <f>FIND(")", tblPassengerNames[[#This Row],[Name]])</f>
        <v>#VALUE!</v>
      </c>
      <c r="I221">
        <f>IFERROR(tblPassengerNames[[#This Row],[OpenParPos]] - 2, LEN(tblPassengerNames[[#This Row],[Name]]))</f>
        <v>28</v>
      </c>
      <c r="J221" t="str">
        <f>MID(tblPassengerNames[[#This Row],[Name]], tblPassengerNames[[#This Row],[DotPos]] + 2, tblPassengerNames[[#This Row],[EndOfConvFNPos]] - tblPassengerNames[[#This Row],[DotPos]] - 1)</f>
        <v>Fermina</v>
      </c>
      <c r="K221" t="e">
        <f>MID(tblPassengerNames[[#This Row],[Name]], tblPassengerNames[[#This Row],[OpenParPos]] + 1, tblPassengerNames[[#This Row],[CloseParPos]] - tblPassengerNames[[#This Row],[OpenParPos]] - 1)</f>
        <v>#VALUE!</v>
      </c>
      <c r="L221" t="e">
        <f>IF(AND(LEFT(tblPassengerNames[[#This Row],[InParentheses]], 1) = "'", RIGHT(tblPassengerNames[[#This Row],[InParentheses]], 1) = "'"),
    #VALUE!,
    tblPassengerNames[[#This Row],[InParentheses]]
)</f>
        <v>#VALUE!</v>
      </c>
      <c r="M221" t="e">
        <f>LEN(tblPassengerNames[[#This Row],[InParenthesesCleaned]]) - LEN(SUBSTITUTE(tblPassengerNames[[#This Row],[InParenthesesCleaned]], " ", ""))</f>
        <v>#VALUE!</v>
      </c>
      <c r="N221" t="e">
        <f>FIND("@", SUBSTITUTE(tblPassengerNames[[#This Row],[InParenthesesCleaned]], " ", "@", tblPassengerNames[[#This Row],[P_NSpaces]]))</f>
        <v>#VALUE!</v>
      </c>
      <c r="O221" t="e">
        <f>IF(tblPassengerNames[[#This Row],[P_NSpaces]] = 0,
    tblPassengerNames[[#This Row],[InParenthesesCleaned]],
    LEFT(tblPassengerNames[[#This Row],[InParenthesesCleaned]], tblPassengerNames[[#This Row],[P_FinalSpacePos]] - 1)
)</f>
        <v>#VALUE!</v>
      </c>
      <c r="P221" t="str">
        <f>IFERROR(tblPassengerNames[[#This Row],[P_Forenames]], tblPassengerNames[[#This Row],[ConvForenames]])</f>
        <v>Fermina</v>
      </c>
      <c r="Q221" t="str">
        <f>MID(tblPassengerNames[[#This Row],[Name]], tblPassengerNames[[#This Row],[CommaPos]] + 2, tblPassengerNames[[#This Row],[DotPos]] - tblPassengerNames[[#This Row],[CommaPos]] - 1)</f>
        <v>Dona.</v>
      </c>
      <c r="R221" t="str">
        <f>LEFT(tblPassengerNames[[#This Row],[Name]], tblPassengerNames[[#This Row],[CommaPos]] - 1)</f>
        <v>Oliva y Ocana</v>
      </c>
    </row>
    <row r="222" spans="2:18" x14ac:dyDescent="0.25">
      <c r="B222" s="21">
        <v>220</v>
      </c>
      <c r="C222" s="21" t="s">
        <v>356</v>
      </c>
      <c r="D222" s="21" t="s">
        <v>138</v>
      </c>
      <c r="E222">
        <f>FIND(",", tblPassengerNames[[#This Row],[Name]])</f>
        <v>6</v>
      </c>
      <c r="F222">
        <f>FIND(".", tblPassengerNames[[#This Row],[Name]])</f>
        <v>10</v>
      </c>
      <c r="G222" t="e">
        <f>FIND("(", tblPassengerNames[[#This Row],[Name]])</f>
        <v>#VALUE!</v>
      </c>
      <c r="H222" t="e">
        <f>FIND(")", tblPassengerNames[[#This Row],[Name]])</f>
        <v>#VALUE!</v>
      </c>
      <c r="I222">
        <f>IFERROR(tblPassengerNames[[#This Row],[OpenParPos]] - 2, LEN(tblPassengerNames[[#This Row],[Name]]))</f>
        <v>25</v>
      </c>
      <c r="J222" t="str">
        <f>MID(tblPassengerNames[[#This Row],[Name]], tblPassengerNames[[#This Row],[DotPos]] + 2, tblPassengerNames[[#This Row],[EndOfConvFNPos]] - tblPassengerNames[[#This Row],[DotPos]] - 1)</f>
        <v>Alfred Fernand</v>
      </c>
      <c r="K222" t="e">
        <f>MID(tblPassengerNames[[#This Row],[Name]], tblPassengerNames[[#This Row],[OpenParPos]] + 1, tblPassengerNames[[#This Row],[CloseParPos]] - tblPassengerNames[[#This Row],[OpenParPos]] - 1)</f>
        <v>#VALUE!</v>
      </c>
      <c r="L222" t="e">
        <f>IF(AND(LEFT(tblPassengerNames[[#This Row],[InParentheses]], 1) = "'", RIGHT(tblPassengerNames[[#This Row],[InParentheses]], 1) = "'"),
    #VALUE!,
    tblPassengerNames[[#This Row],[InParentheses]]
)</f>
        <v>#VALUE!</v>
      </c>
      <c r="M222" t="e">
        <f>LEN(tblPassengerNames[[#This Row],[InParenthesesCleaned]]) - LEN(SUBSTITUTE(tblPassengerNames[[#This Row],[InParenthesesCleaned]], " ", ""))</f>
        <v>#VALUE!</v>
      </c>
      <c r="N222" t="e">
        <f>FIND("@", SUBSTITUTE(tblPassengerNames[[#This Row],[InParenthesesCleaned]], " ", "@", tblPassengerNames[[#This Row],[P_NSpaces]]))</f>
        <v>#VALUE!</v>
      </c>
      <c r="O222" t="e">
        <f>IF(tblPassengerNames[[#This Row],[P_NSpaces]] = 0,
    tblPassengerNames[[#This Row],[InParenthesesCleaned]],
    LEFT(tblPassengerNames[[#This Row],[InParenthesesCleaned]], tblPassengerNames[[#This Row],[P_FinalSpacePos]] - 1)
)</f>
        <v>#VALUE!</v>
      </c>
      <c r="P222" t="str">
        <f>IFERROR(tblPassengerNames[[#This Row],[P_Forenames]], tblPassengerNames[[#This Row],[ConvForenames]])</f>
        <v>Alfred Fernand</v>
      </c>
      <c r="Q222" t="str">
        <f>MID(tblPassengerNames[[#This Row],[Name]], tblPassengerNames[[#This Row],[CommaPos]] + 2, tblPassengerNames[[#This Row],[DotPos]] - tblPassengerNames[[#This Row],[CommaPos]] - 1)</f>
        <v>Mr.</v>
      </c>
      <c r="R222" t="str">
        <f>LEFT(tblPassengerNames[[#This Row],[Name]], tblPassengerNames[[#This Row],[CommaPos]] - 1)</f>
        <v>Omont</v>
      </c>
    </row>
    <row r="223" spans="2:18" x14ac:dyDescent="0.25">
      <c r="B223" s="21">
        <v>221</v>
      </c>
      <c r="C223" s="21" t="s">
        <v>357</v>
      </c>
      <c r="D223" s="21" t="s">
        <v>136</v>
      </c>
      <c r="E223">
        <f>FIND(",", tblPassengerNames[[#This Row],[Name]])</f>
        <v>6</v>
      </c>
      <c r="F223">
        <f>FIND(".", tblPassengerNames[[#This Row],[Name]])</f>
        <v>12</v>
      </c>
      <c r="G223" t="e">
        <f>FIND("(", tblPassengerNames[[#This Row],[Name]])</f>
        <v>#VALUE!</v>
      </c>
      <c r="H223" t="e">
        <f>FIND(")", tblPassengerNames[[#This Row],[Name]])</f>
        <v>#VALUE!</v>
      </c>
      <c r="I223">
        <f>IFERROR(tblPassengerNames[[#This Row],[OpenParPos]] - 2, LEN(tblPassengerNames[[#This Row],[Name]]))</f>
        <v>28</v>
      </c>
      <c r="J223" t="str">
        <f>MID(tblPassengerNames[[#This Row],[Name]], tblPassengerNames[[#This Row],[DotPos]] + 2, tblPassengerNames[[#This Row],[EndOfConvFNPos]] - tblPassengerNames[[#This Row],[DotPos]] - 1)</f>
        <v>Helene Ragnhild</v>
      </c>
      <c r="K223" t="e">
        <f>MID(tblPassengerNames[[#This Row],[Name]], tblPassengerNames[[#This Row],[OpenParPos]] + 1, tblPassengerNames[[#This Row],[CloseParPos]] - tblPassengerNames[[#This Row],[OpenParPos]] - 1)</f>
        <v>#VALUE!</v>
      </c>
      <c r="L223" t="e">
        <f>IF(AND(LEFT(tblPassengerNames[[#This Row],[InParentheses]], 1) = "'", RIGHT(tblPassengerNames[[#This Row],[InParentheses]], 1) = "'"),
    #VALUE!,
    tblPassengerNames[[#This Row],[InParentheses]]
)</f>
        <v>#VALUE!</v>
      </c>
      <c r="M223" t="e">
        <f>LEN(tblPassengerNames[[#This Row],[InParenthesesCleaned]]) - LEN(SUBSTITUTE(tblPassengerNames[[#This Row],[InParenthesesCleaned]], " ", ""))</f>
        <v>#VALUE!</v>
      </c>
      <c r="N223" t="e">
        <f>FIND("@", SUBSTITUTE(tblPassengerNames[[#This Row],[InParenthesesCleaned]], " ", "@", tblPassengerNames[[#This Row],[P_NSpaces]]))</f>
        <v>#VALUE!</v>
      </c>
      <c r="O223" t="e">
        <f>IF(tblPassengerNames[[#This Row],[P_NSpaces]] = 0,
    tblPassengerNames[[#This Row],[InParenthesesCleaned]],
    LEFT(tblPassengerNames[[#This Row],[InParenthesesCleaned]], tblPassengerNames[[#This Row],[P_FinalSpacePos]] - 1)
)</f>
        <v>#VALUE!</v>
      </c>
      <c r="P223" t="str">
        <f>IFERROR(tblPassengerNames[[#This Row],[P_Forenames]], tblPassengerNames[[#This Row],[ConvForenames]])</f>
        <v>Helene Ragnhild</v>
      </c>
      <c r="Q223" t="str">
        <f>MID(tblPassengerNames[[#This Row],[Name]], tblPassengerNames[[#This Row],[CommaPos]] + 2, tblPassengerNames[[#This Row],[DotPos]] - tblPassengerNames[[#This Row],[CommaPos]] - 1)</f>
        <v>Miss.</v>
      </c>
      <c r="R223" t="str">
        <f>LEFT(tblPassengerNames[[#This Row],[Name]], tblPassengerNames[[#This Row],[CommaPos]] - 1)</f>
        <v>Ostby</v>
      </c>
    </row>
    <row r="224" spans="2:18" x14ac:dyDescent="0.25">
      <c r="B224" s="21">
        <v>222</v>
      </c>
      <c r="C224" s="21" t="s">
        <v>358</v>
      </c>
      <c r="D224" s="21" t="s">
        <v>138</v>
      </c>
      <c r="E224">
        <f>FIND(",", tblPassengerNames[[#This Row],[Name]])</f>
        <v>6</v>
      </c>
      <c r="F224">
        <f>FIND(".", tblPassengerNames[[#This Row],[Name]])</f>
        <v>10</v>
      </c>
      <c r="G224" t="e">
        <f>FIND("(", tblPassengerNames[[#This Row],[Name]])</f>
        <v>#VALUE!</v>
      </c>
      <c r="H224" t="e">
        <f>FIND(")", tblPassengerNames[[#This Row],[Name]])</f>
        <v>#VALUE!</v>
      </c>
      <c r="I224">
        <f>IFERROR(tblPassengerNames[[#This Row],[OpenParPos]] - 2, LEN(tblPassengerNames[[#This Row],[Name]]))</f>
        <v>30</v>
      </c>
      <c r="J224" t="str">
        <f>MID(tblPassengerNames[[#This Row],[Name]], tblPassengerNames[[#This Row],[DotPos]] + 2, tblPassengerNames[[#This Row],[EndOfConvFNPos]] - tblPassengerNames[[#This Row],[DotPos]] - 1)</f>
        <v>Engelhart Cornelius</v>
      </c>
      <c r="K224" t="e">
        <f>MID(tblPassengerNames[[#This Row],[Name]], tblPassengerNames[[#This Row],[OpenParPos]] + 1, tblPassengerNames[[#This Row],[CloseParPos]] - tblPassengerNames[[#This Row],[OpenParPos]] - 1)</f>
        <v>#VALUE!</v>
      </c>
      <c r="L224" t="e">
        <f>IF(AND(LEFT(tblPassengerNames[[#This Row],[InParentheses]], 1) = "'", RIGHT(tblPassengerNames[[#This Row],[InParentheses]], 1) = "'"),
    #VALUE!,
    tblPassengerNames[[#This Row],[InParentheses]]
)</f>
        <v>#VALUE!</v>
      </c>
      <c r="M224" t="e">
        <f>LEN(tblPassengerNames[[#This Row],[InParenthesesCleaned]]) - LEN(SUBSTITUTE(tblPassengerNames[[#This Row],[InParenthesesCleaned]], " ", ""))</f>
        <v>#VALUE!</v>
      </c>
      <c r="N224" t="e">
        <f>FIND("@", SUBSTITUTE(tblPassengerNames[[#This Row],[InParenthesesCleaned]], " ", "@", tblPassengerNames[[#This Row],[P_NSpaces]]))</f>
        <v>#VALUE!</v>
      </c>
      <c r="O224" t="e">
        <f>IF(tblPassengerNames[[#This Row],[P_NSpaces]] = 0,
    tblPassengerNames[[#This Row],[InParenthesesCleaned]],
    LEFT(tblPassengerNames[[#This Row],[InParenthesesCleaned]], tblPassengerNames[[#This Row],[P_FinalSpacePos]] - 1)
)</f>
        <v>#VALUE!</v>
      </c>
      <c r="P224" t="str">
        <f>IFERROR(tblPassengerNames[[#This Row],[P_Forenames]], tblPassengerNames[[#This Row],[ConvForenames]])</f>
        <v>Engelhart Cornelius</v>
      </c>
      <c r="Q224" t="str">
        <f>MID(tblPassengerNames[[#This Row],[Name]], tblPassengerNames[[#This Row],[CommaPos]] + 2, tblPassengerNames[[#This Row],[DotPos]] - tblPassengerNames[[#This Row],[CommaPos]] - 1)</f>
        <v>Mr.</v>
      </c>
      <c r="R224" t="str">
        <f>LEFT(tblPassengerNames[[#This Row],[Name]], tblPassengerNames[[#This Row],[CommaPos]] - 1)</f>
        <v>Ostby</v>
      </c>
    </row>
    <row r="225" spans="2:18" x14ac:dyDescent="0.25">
      <c r="B225" s="21">
        <v>223</v>
      </c>
      <c r="C225" s="21" t="s">
        <v>359</v>
      </c>
      <c r="D225" s="21" t="s">
        <v>138</v>
      </c>
      <c r="E225">
        <f>FIND(",", tblPassengerNames[[#This Row],[Name]])</f>
        <v>18</v>
      </c>
      <c r="F225">
        <f>FIND(".", tblPassengerNames[[#This Row],[Name]])</f>
        <v>22</v>
      </c>
      <c r="G225" t="e">
        <f>FIND("(", tblPassengerNames[[#This Row],[Name]])</f>
        <v>#VALUE!</v>
      </c>
      <c r="H225" t="e">
        <f>FIND(")", tblPassengerNames[[#This Row],[Name]])</f>
        <v>#VALUE!</v>
      </c>
      <c r="I225">
        <f>IFERROR(tblPassengerNames[[#This Row],[OpenParPos]] - 2, LEN(tblPassengerNames[[#This Row],[Name]]))</f>
        <v>31</v>
      </c>
      <c r="J225" t="str">
        <f>MID(tblPassengerNames[[#This Row],[Name]], tblPassengerNames[[#This Row],[DotPos]] + 2, tblPassengerNames[[#This Row],[EndOfConvFNPos]] - tblPassengerNames[[#This Row],[DotPos]] - 1)</f>
        <v>Servando</v>
      </c>
      <c r="K225" t="e">
        <f>MID(tblPassengerNames[[#This Row],[Name]], tblPassengerNames[[#This Row],[OpenParPos]] + 1, tblPassengerNames[[#This Row],[CloseParPos]] - tblPassengerNames[[#This Row],[OpenParPos]] - 1)</f>
        <v>#VALUE!</v>
      </c>
      <c r="L225" t="e">
        <f>IF(AND(LEFT(tblPassengerNames[[#This Row],[InParentheses]], 1) = "'", RIGHT(tblPassengerNames[[#This Row],[InParentheses]], 1) = "'"),
    #VALUE!,
    tblPassengerNames[[#This Row],[InParentheses]]
)</f>
        <v>#VALUE!</v>
      </c>
      <c r="M225" t="e">
        <f>LEN(tblPassengerNames[[#This Row],[InParenthesesCleaned]]) - LEN(SUBSTITUTE(tblPassengerNames[[#This Row],[InParenthesesCleaned]], " ", ""))</f>
        <v>#VALUE!</v>
      </c>
      <c r="N225" t="e">
        <f>FIND("@", SUBSTITUTE(tblPassengerNames[[#This Row],[InParenthesesCleaned]], " ", "@", tblPassengerNames[[#This Row],[P_NSpaces]]))</f>
        <v>#VALUE!</v>
      </c>
      <c r="O225" t="e">
        <f>IF(tblPassengerNames[[#This Row],[P_NSpaces]] = 0,
    tblPassengerNames[[#This Row],[InParenthesesCleaned]],
    LEFT(tblPassengerNames[[#This Row],[InParenthesesCleaned]], tblPassengerNames[[#This Row],[P_FinalSpacePos]] - 1)
)</f>
        <v>#VALUE!</v>
      </c>
      <c r="P225" t="str">
        <f>IFERROR(tblPassengerNames[[#This Row],[P_Forenames]], tblPassengerNames[[#This Row],[ConvForenames]])</f>
        <v>Servando</v>
      </c>
      <c r="Q225" t="str">
        <f>MID(tblPassengerNames[[#This Row],[Name]], tblPassengerNames[[#This Row],[CommaPos]] + 2, tblPassengerNames[[#This Row],[DotPos]] - tblPassengerNames[[#This Row],[CommaPos]] - 1)</f>
        <v>Mr.</v>
      </c>
      <c r="R225" t="str">
        <f>LEFT(tblPassengerNames[[#This Row],[Name]], tblPassengerNames[[#This Row],[CommaPos]] - 1)</f>
        <v>Ovies y Rodriguez</v>
      </c>
    </row>
    <row r="226" spans="2:18" x14ac:dyDescent="0.25">
      <c r="B226" s="21">
        <v>224</v>
      </c>
      <c r="C226" s="21" t="s">
        <v>360</v>
      </c>
      <c r="D226" s="21" t="s">
        <v>138</v>
      </c>
      <c r="E226">
        <f>FIND(",", tblPassengerNames[[#This Row],[Name]])</f>
        <v>5</v>
      </c>
      <c r="F226">
        <f>FIND(".", tblPassengerNames[[#This Row],[Name]])</f>
        <v>9</v>
      </c>
      <c r="G226" t="e">
        <f>FIND("(", tblPassengerNames[[#This Row],[Name]])</f>
        <v>#VALUE!</v>
      </c>
      <c r="H226" t="e">
        <f>FIND(")", tblPassengerNames[[#This Row],[Name]])</f>
        <v>#VALUE!</v>
      </c>
      <c r="I226">
        <f>IFERROR(tblPassengerNames[[#This Row],[OpenParPos]] - 2, LEN(tblPassengerNames[[#This Row],[Name]]))</f>
        <v>29</v>
      </c>
      <c r="J226" t="str">
        <f>MID(tblPassengerNames[[#This Row],[Name]], tblPassengerNames[[#This Row],[DotPos]] + 2, tblPassengerNames[[#This Row],[EndOfConvFNPos]] - tblPassengerNames[[#This Row],[DotPos]] - 1)</f>
        <v>William Henry Marsh</v>
      </c>
      <c r="K226" t="e">
        <f>MID(tblPassengerNames[[#This Row],[Name]], tblPassengerNames[[#This Row],[OpenParPos]] + 1, tblPassengerNames[[#This Row],[CloseParPos]] - tblPassengerNames[[#This Row],[OpenParPos]] - 1)</f>
        <v>#VALUE!</v>
      </c>
      <c r="L226" t="e">
        <f>IF(AND(LEFT(tblPassengerNames[[#This Row],[InParentheses]], 1) = "'", RIGHT(tblPassengerNames[[#This Row],[InParentheses]], 1) = "'"),
    #VALUE!,
    tblPassengerNames[[#This Row],[InParentheses]]
)</f>
        <v>#VALUE!</v>
      </c>
      <c r="M226" t="e">
        <f>LEN(tblPassengerNames[[#This Row],[InParenthesesCleaned]]) - LEN(SUBSTITUTE(tblPassengerNames[[#This Row],[InParenthesesCleaned]], " ", ""))</f>
        <v>#VALUE!</v>
      </c>
      <c r="N226" t="e">
        <f>FIND("@", SUBSTITUTE(tblPassengerNames[[#This Row],[InParenthesesCleaned]], " ", "@", tblPassengerNames[[#This Row],[P_NSpaces]]))</f>
        <v>#VALUE!</v>
      </c>
      <c r="O226" t="e">
        <f>IF(tblPassengerNames[[#This Row],[P_NSpaces]] = 0,
    tblPassengerNames[[#This Row],[InParenthesesCleaned]],
    LEFT(tblPassengerNames[[#This Row],[InParenthesesCleaned]], tblPassengerNames[[#This Row],[P_FinalSpacePos]] - 1)
)</f>
        <v>#VALUE!</v>
      </c>
      <c r="P226" t="str">
        <f>IFERROR(tblPassengerNames[[#This Row],[P_Forenames]], tblPassengerNames[[#This Row],[ConvForenames]])</f>
        <v>William Henry Marsh</v>
      </c>
      <c r="Q226" t="str">
        <f>MID(tblPassengerNames[[#This Row],[Name]], tblPassengerNames[[#This Row],[CommaPos]] + 2, tblPassengerNames[[#This Row],[DotPos]] - tblPassengerNames[[#This Row],[CommaPos]] - 1)</f>
        <v>Mr.</v>
      </c>
      <c r="R226" t="str">
        <f>LEFT(tblPassengerNames[[#This Row],[Name]], tblPassengerNames[[#This Row],[CommaPos]] - 1)</f>
        <v>Parr</v>
      </c>
    </row>
    <row r="227" spans="2:18" x14ac:dyDescent="0.25">
      <c r="B227" s="21">
        <v>225</v>
      </c>
      <c r="C227" s="21" t="s">
        <v>361</v>
      </c>
      <c r="D227" s="21" t="s">
        <v>138</v>
      </c>
      <c r="E227">
        <f>FIND(",", tblPassengerNames[[#This Row],[Name]])</f>
        <v>8</v>
      </c>
      <c r="F227">
        <f>FIND(".", tblPassengerNames[[#This Row],[Name]])</f>
        <v>12</v>
      </c>
      <c r="G227" t="e">
        <f>FIND("(", tblPassengerNames[[#This Row],[Name]])</f>
        <v>#VALUE!</v>
      </c>
      <c r="H227" t="e">
        <f>FIND(")", tblPassengerNames[[#This Row],[Name]])</f>
        <v>#VALUE!</v>
      </c>
      <c r="I227">
        <f>IFERROR(tblPassengerNames[[#This Row],[OpenParPos]] - 2, LEN(tblPassengerNames[[#This Row],[Name]]))</f>
        <v>19</v>
      </c>
      <c r="J227" t="str">
        <f>MID(tblPassengerNames[[#This Row],[Name]], tblPassengerNames[[#This Row],[DotPos]] + 2, tblPassengerNames[[#This Row],[EndOfConvFNPos]] - tblPassengerNames[[#This Row],[DotPos]] - 1)</f>
        <v>Austen</v>
      </c>
      <c r="K227" t="e">
        <f>MID(tblPassengerNames[[#This Row],[Name]], tblPassengerNames[[#This Row],[OpenParPos]] + 1, tblPassengerNames[[#This Row],[CloseParPos]] - tblPassengerNames[[#This Row],[OpenParPos]] - 1)</f>
        <v>#VALUE!</v>
      </c>
      <c r="L227" t="e">
        <f>IF(AND(LEFT(tblPassengerNames[[#This Row],[InParentheses]], 1) = "'", RIGHT(tblPassengerNames[[#This Row],[InParentheses]], 1) = "'"),
    #VALUE!,
    tblPassengerNames[[#This Row],[InParentheses]]
)</f>
        <v>#VALUE!</v>
      </c>
      <c r="M227" t="e">
        <f>LEN(tblPassengerNames[[#This Row],[InParenthesesCleaned]]) - LEN(SUBSTITUTE(tblPassengerNames[[#This Row],[InParenthesesCleaned]], " ", ""))</f>
        <v>#VALUE!</v>
      </c>
      <c r="N227" t="e">
        <f>FIND("@", SUBSTITUTE(tblPassengerNames[[#This Row],[InParenthesesCleaned]], " ", "@", tblPassengerNames[[#This Row],[P_NSpaces]]))</f>
        <v>#VALUE!</v>
      </c>
      <c r="O227" t="e">
        <f>IF(tblPassengerNames[[#This Row],[P_NSpaces]] = 0,
    tblPassengerNames[[#This Row],[InParenthesesCleaned]],
    LEFT(tblPassengerNames[[#This Row],[InParenthesesCleaned]], tblPassengerNames[[#This Row],[P_FinalSpacePos]] - 1)
)</f>
        <v>#VALUE!</v>
      </c>
      <c r="P227" t="str">
        <f>IFERROR(tblPassengerNames[[#This Row],[P_Forenames]], tblPassengerNames[[#This Row],[ConvForenames]])</f>
        <v>Austen</v>
      </c>
      <c r="Q227" t="str">
        <f>MID(tblPassengerNames[[#This Row],[Name]], tblPassengerNames[[#This Row],[CommaPos]] + 2, tblPassengerNames[[#This Row],[DotPos]] - tblPassengerNames[[#This Row],[CommaPos]] - 1)</f>
        <v>Mr.</v>
      </c>
      <c r="R227" t="str">
        <f>LEFT(tblPassengerNames[[#This Row],[Name]], tblPassengerNames[[#This Row],[CommaPos]] - 1)</f>
        <v>Partner</v>
      </c>
    </row>
    <row r="228" spans="2:18" x14ac:dyDescent="0.25">
      <c r="B228" s="21">
        <v>226</v>
      </c>
      <c r="C228" s="21" t="s">
        <v>362</v>
      </c>
      <c r="D228" s="21" t="s">
        <v>138</v>
      </c>
      <c r="E228">
        <f>FIND(",", tblPassengerNames[[#This Row],[Name]])</f>
        <v>6</v>
      </c>
      <c r="F228">
        <f>FIND(".", tblPassengerNames[[#This Row],[Name]])</f>
        <v>10</v>
      </c>
      <c r="G228" t="e">
        <f>FIND("(", tblPassengerNames[[#This Row],[Name]])</f>
        <v>#VALUE!</v>
      </c>
      <c r="H228" t="e">
        <f>FIND(")", tblPassengerNames[[#This Row],[Name]])</f>
        <v>#VALUE!</v>
      </c>
      <c r="I228">
        <f>IFERROR(tblPassengerNames[[#This Row],[OpenParPos]] - 2, LEN(tblPassengerNames[[#This Row],[Name]]))</f>
        <v>26</v>
      </c>
      <c r="J228" t="str">
        <f>MID(tblPassengerNames[[#This Row],[Name]], tblPassengerNames[[#This Row],[DotPos]] + 2, tblPassengerNames[[#This Row],[EndOfConvFNPos]] - tblPassengerNames[[#This Row],[DotPos]] - 1)</f>
        <v>Vivian Ponsonby</v>
      </c>
      <c r="K228" t="e">
        <f>MID(tblPassengerNames[[#This Row],[Name]], tblPassengerNames[[#This Row],[OpenParPos]] + 1, tblPassengerNames[[#This Row],[CloseParPos]] - tblPassengerNames[[#This Row],[OpenParPos]] - 1)</f>
        <v>#VALUE!</v>
      </c>
      <c r="L228" t="e">
        <f>IF(AND(LEFT(tblPassengerNames[[#This Row],[InParentheses]], 1) = "'", RIGHT(tblPassengerNames[[#This Row],[InParentheses]], 1) = "'"),
    #VALUE!,
    tblPassengerNames[[#This Row],[InParentheses]]
)</f>
        <v>#VALUE!</v>
      </c>
      <c r="M228" t="e">
        <f>LEN(tblPassengerNames[[#This Row],[InParenthesesCleaned]]) - LEN(SUBSTITUTE(tblPassengerNames[[#This Row],[InParenthesesCleaned]], " ", ""))</f>
        <v>#VALUE!</v>
      </c>
      <c r="N228" t="e">
        <f>FIND("@", SUBSTITUTE(tblPassengerNames[[#This Row],[InParenthesesCleaned]], " ", "@", tblPassengerNames[[#This Row],[P_NSpaces]]))</f>
        <v>#VALUE!</v>
      </c>
      <c r="O228" t="e">
        <f>IF(tblPassengerNames[[#This Row],[P_NSpaces]] = 0,
    tblPassengerNames[[#This Row],[InParenthesesCleaned]],
    LEFT(tblPassengerNames[[#This Row],[InParenthesesCleaned]], tblPassengerNames[[#This Row],[P_FinalSpacePos]] - 1)
)</f>
        <v>#VALUE!</v>
      </c>
      <c r="P228" t="str">
        <f>IFERROR(tblPassengerNames[[#This Row],[P_Forenames]], tblPassengerNames[[#This Row],[ConvForenames]])</f>
        <v>Vivian Ponsonby</v>
      </c>
      <c r="Q228" t="str">
        <f>MID(tblPassengerNames[[#This Row],[Name]], tblPassengerNames[[#This Row],[CommaPos]] + 2, tblPassengerNames[[#This Row],[DotPos]] - tblPassengerNames[[#This Row],[CommaPos]] - 1)</f>
        <v>Mr.</v>
      </c>
      <c r="R228" t="str">
        <f>LEFT(tblPassengerNames[[#This Row],[Name]], tblPassengerNames[[#This Row],[CommaPos]] - 1)</f>
        <v>Payne</v>
      </c>
    </row>
    <row r="229" spans="2:18" x14ac:dyDescent="0.25">
      <c r="B229" s="21">
        <v>227</v>
      </c>
      <c r="C229" s="21" t="s">
        <v>363</v>
      </c>
      <c r="D229" s="21" t="s">
        <v>138</v>
      </c>
      <c r="E229">
        <f>FIND(",", tblPassengerNames[[#This Row],[Name]])</f>
        <v>6</v>
      </c>
      <c r="F229">
        <f>FIND(".", tblPassengerNames[[#This Row],[Name]])</f>
        <v>10</v>
      </c>
      <c r="G229" t="e">
        <f>FIND("(", tblPassengerNames[[#This Row],[Name]])</f>
        <v>#VALUE!</v>
      </c>
      <c r="H229" t="e">
        <f>FIND(")", tblPassengerNames[[#This Row],[Name]])</f>
        <v>#VALUE!</v>
      </c>
      <c r="I229">
        <f>IFERROR(tblPassengerNames[[#This Row],[OpenParPos]] - 2, LEN(tblPassengerNames[[#This Row],[Name]]))</f>
        <v>25</v>
      </c>
      <c r="J229" t="str">
        <f>MID(tblPassengerNames[[#This Row],[Name]], tblPassengerNames[[#This Row],[DotPos]] + 2, tblPassengerNames[[#This Row],[EndOfConvFNPos]] - tblPassengerNames[[#This Row],[DotPos]] - 1)</f>
        <v>Thomas Clinton</v>
      </c>
      <c r="K229" t="e">
        <f>MID(tblPassengerNames[[#This Row],[Name]], tblPassengerNames[[#This Row],[OpenParPos]] + 1, tblPassengerNames[[#This Row],[CloseParPos]] - tblPassengerNames[[#This Row],[OpenParPos]] - 1)</f>
        <v>#VALUE!</v>
      </c>
      <c r="L229" t="e">
        <f>IF(AND(LEFT(tblPassengerNames[[#This Row],[InParentheses]], 1) = "'", RIGHT(tblPassengerNames[[#This Row],[InParentheses]], 1) = "'"),
    #VALUE!,
    tblPassengerNames[[#This Row],[InParentheses]]
)</f>
        <v>#VALUE!</v>
      </c>
      <c r="M229" t="e">
        <f>LEN(tblPassengerNames[[#This Row],[InParenthesesCleaned]]) - LEN(SUBSTITUTE(tblPassengerNames[[#This Row],[InParenthesesCleaned]], " ", ""))</f>
        <v>#VALUE!</v>
      </c>
      <c r="N229" t="e">
        <f>FIND("@", SUBSTITUTE(tblPassengerNames[[#This Row],[InParenthesesCleaned]], " ", "@", tblPassengerNames[[#This Row],[P_NSpaces]]))</f>
        <v>#VALUE!</v>
      </c>
      <c r="O229" t="e">
        <f>IF(tblPassengerNames[[#This Row],[P_NSpaces]] = 0,
    tblPassengerNames[[#This Row],[InParenthesesCleaned]],
    LEFT(tblPassengerNames[[#This Row],[InParenthesesCleaned]], tblPassengerNames[[#This Row],[P_FinalSpacePos]] - 1)
)</f>
        <v>#VALUE!</v>
      </c>
      <c r="P229" t="str">
        <f>IFERROR(tblPassengerNames[[#This Row],[P_Forenames]], tblPassengerNames[[#This Row],[ConvForenames]])</f>
        <v>Thomas Clinton</v>
      </c>
      <c r="Q229" t="str">
        <f>MID(tblPassengerNames[[#This Row],[Name]], tblPassengerNames[[#This Row],[CommaPos]] + 2, tblPassengerNames[[#This Row],[DotPos]] - tblPassengerNames[[#This Row],[CommaPos]] - 1)</f>
        <v>Mr.</v>
      </c>
      <c r="R229" t="str">
        <f>LEFT(tblPassengerNames[[#This Row],[Name]], tblPassengerNames[[#This Row],[CommaPos]] - 1)</f>
        <v>Pears</v>
      </c>
    </row>
    <row r="230" spans="2:18" x14ac:dyDescent="0.25">
      <c r="B230" s="21">
        <v>228</v>
      </c>
      <c r="C230" s="21" t="s">
        <v>364</v>
      </c>
      <c r="D230" s="21" t="s">
        <v>136</v>
      </c>
      <c r="E230">
        <f>FIND(",", tblPassengerNames[[#This Row],[Name]])</f>
        <v>6</v>
      </c>
      <c r="F230">
        <f>FIND(".", tblPassengerNames[[#This Row],[Name]])</f>
        <v>11</v>
      </c>
      <c r="G230">
        <f>FIND("(", tblPassengerNames[[#This Row],[Name]])</f>
        <v>20</v>
      </c>
      <c r="H230">
        <f>FIND(")", tblPassengerNames[[#This Row],[Name]])</f>
        <v>33</v>
      </c>
      <c r="I230">
        <f>IFERROR(tblPassengerNames[[#This Row],[OpenParPos]] - 2, LEN(tblPassengerNames[[#This Row],[Name]]))</f>
        <v>18</v>
      </c>
      <c r="J230" t="str">
        <f>MID(tblPassengerNames[[#This Row],[Name]], tblPassengerNames[[#This Row],[DotPos]] + 2, tblPassengerNames[[#This Row],[EndOfConvFNPos]] - tblPassengerNames[[#This Row],[DotPos]] - 1)</f>
        <v>Thomas</v>
      </c>
      <c r="K230" t="str">
        <f>MID(tblPassengerNames[[#This Row],[Name]], tblPassengerNames[[#This Row],[OpenParPos]] + 1, tblPassengerNames[[#This Row],[CloseParPos]] - tblPassengerNames[[#This Row],[OpenParPos]] - 1)</f>
        <v>Edith Wearne</v>
      </c>
      <c r="L230" t="str">
        <f>IF(AND(LEFT(tblPassengerNames[[#This Row],[InParentheses]], 1) = "'", RIGHT(tblPassengerNames[[#This Row],[InParentheses]], 1) = "'"),
    #VALUE!,
    tblPassengerNames[[#This Row],[InParentheses]]
)</f>
        <v>Edith Wearne</v>
      </c>
      <c r="M230">
        <f>LEN(tblPassengerNames[[#This Row],[InParenthesesCleaned]]) - LEN(SUBSTITUTE(tblPassengerNames[[#This Row],[InParenthesesCleaned]], " ", ""))</f>
        <v>1</v>
      </c>
      <c r="N230">
        <f>FIND("@", SUBSTITUTE(tblPassengerNames[[#This Row],[InParenthesesCleaned]], " ", "@", tblPassengerNames[[#This Row],[P_NSpaces]]))</f>
        <v>6</v>
      </c>
      <c r="O230" t="str">
        <f>IF(tblPassengerNames[[#This Row],[P_NSpaces]] = 0,
    tblPassengerNames[[#This Row],[InParenthesesCleaned]],
    LEFT(tblPassengerNames[[#This Row],[InParenthesesCleaned]], tblPassengerNames[[#This Row],[P_FinalSpacePos]] - 1)
)</f>
        <v>Edith</v>
      </c>
      <c r="P230" t="str">
        <f>IFERROR(tblPassengerNames[[#This Row],[P_Forenames]], tblPassengerNames[[#This Row],[ConvForenames]])</f>
        <v>Edith</v>
      </c>
      <c r="Q230" t="str">
        <f>MID(tblPassengerNames[[#This Row],[Name]], tblPassengerNames[[#This Row],[CommaPos]] + 2, tblPassengerNames[[#This Row],[DotPos]] - tblPassengerNames[[#This Row],[CommaPos]] - 1)</f>
        <v>Mrs.</v>
      </c>
      <c r="R230" t="str">
        <f>LEFT(tblPassengerNames[[#This Row],[Name]], tblPassengerNames[[#This Row],[CommaPos]] - 1)</f>
        <v>Pears</v>
      </c>
    </row>
    <row r="231" spans="2:18" x14ac:dyDescent="0.25">
      <c r="B231" s="21">
        <v>229</v>
      </c>
      <c r="C231" s="21" t="s">
        <v>365</v>
      </c>
      <c r="D231" s="21" t="s">
        <v>138</v>
      </c>
      <c r="E231">
        <f>FIND(",", tblPassengerNames[[#This Row],[Name]])</f>
        <v>21</v>
      </c>
      <c r="F231">
        <f>FIND(".", tblPassengerNames[[#This Row],[Name]])</f>
        <v>25</v>
      </c>
      <c r="G231" t="e">
        <f>FIND("(", tblPassengerNames[[#This Row],[Name]])</f>
        <v>#VALUE!</v>
      </c>
      <c r="H231" t="e">
        <f>FIND(")", tblPassengerNames[[#This Row],[Name]])</f>
        <v>#VALUE!</v>
      </c>
      <c r="I231">
        <f>IFERROR(tblPassengerNames[[#This Row],[OpenParPos]] - 2, LEN(tblPassengerNames[[#This Row],[Name]]))</f>
        <v>42</v>
      </c>
      <c r="J231" t="str">
        <f>MID(tblPassengerNames[[#This Row],[Name]], tblPassengerNames[[#This Row],[DotPos]] + 2, tblPassengerNames[[#This Row],[EndOfConvFNPos]] - tblPassengerNames[[#This Row],[DotPos]] - 1)</f>
        <v>Victor de Satode</v>
      </c>
      <c r="K231" t="e">
        <f>MID(tblPassengerNames[[#This Row],[Name]], tblPassengerNames[[#This Row],[OpenParPos]] + 1, tblPassengerNames[[#This Row],[CloseParPos]] - tblPassengerNames[[#This Row],[OpenParPos]] - 1)</f>
        <v>#VALUE!</v>
      </c>
      <c r="L231" t="e">
        <f>IF(AND(LEFT(tblPassengerNames[[#This Row],[InParentheses]], 1) = "'", RIGHT(tblPassengerNames[[#This Row],[InParentheses]], 1) = "'"),
    #VALUE!,
    tblPassengerNames[[#This Row],[InParentheses]]
)</f>
        <v>#VALUE!</v>
      </c>
      <c r="M231" t="e">
        <f>LEN(tblPassengerNames[[#This Row],[InParenthesesCleaned]]) - LEN(SUBSTITUTE(tblPassengerNames[[#This Row],[InParenthesesCleaned]], " ", ""))</f>
        <v>#VALUE!</v>
      </c>
      <c r="N231" t="e">
        <f>FIND("@", SUBSTITUTE(tblPassengerNames[[#This Row],[InParenthesesCleaned]], " ", "@", tblPassengerNames[[#This Row],[P_NSpaces]]))</f>
        <v>#VALUE!</v>
      </c>
      <c r="O231" t="e">
        <f>IF(tblPassengerNames[[#This Row],[P_NSpaces]] = 0,
    tblPassengerNames[[#This Row],[InParenthesesCleaned]],
    LEFT(tblPassengerNames[[#This Row],[InParenthesesCleaned]], tblPassengerNames[[#This Row],[P_FinalSpacePos]] - 1)
)</f>
        <v>#VALUE!</v>
      </c>
      <c r="P231" t="str">
        <f>IFERROR(tblPassengerNames[[#This Row],[P_Forenames]], tblPassengerNames[[#This Row],[ConvForenames]])</f>
        <v>Victor de Satode</v>
      </c>
      <c r="Q231" t="str">
        <f>MID(tblPassengerNames[[#This Row],[Name]], tblPassengerNames[[#This Row],[CommaPos]] + 2, tblPassengerNames[[#This Row],[DotPos]] - tblPassengerNames[[#This Row],[CommaPos]] - 1)</f>
        <v>Mr.</v>
      </c>
      <c r="R231" t="str">
        <f>LEFT(tblPassengerNames[[#This Row],[Name]], tblPassengerNames[[#This Row],[CommaPos]] - 1)</f>
        <v>Penasco y Castellana</v>
      </c>
    </row>
    <row r="232" spans="2:18" x14ac:dyDescent="0.25">
      <c r="B232" s="21">
        <v>230</v>
      </c>
      <c r="C232" s="21" t="s">
        <v>366</v>
      </c>
      <c r="D232" s="21" t="s">
        <v>136</v>
      </c>
      <c r="E232">
        <f>FIND(",", tblPassengerNames[[#This Row],[Name]])</f>
        <v>21</v>
      </c>
      <c r="F232">
        <f>FIND(".", tblPassengerNames[[#This Row],[Name]])</f>
        <v>26</v>
      </c>
      <c r="G232">
        <f>FIND("(", tblPassengerNames[[#This Row],[Name]])</f>
        <v>45</v>
      </c>
      <c r="H232">
        <f>FIND(")", tblPassengerNames[[#This Row],[Name]])</f>
        <v>82</v>
      </c>
      <c r="I232">
        <f>IFERROR(tblPassengerNames[[#This Row],[OpenParPos]] - 2, LEN(tblPassengerNames[[#This Row],[Name]]))</f>
        <v>43</v>
      </c>
      <c r="J232" t="str">
        <f>MID(tblPassengerNames[[#This Row],[Name]], tblPassengerNames[[#This Row],[DotPos]] + 2, tblPassengerNames[[#This Row],[EndOfConvFNPos]] - tblPassengerNames[[#This Row],[DotPos]] - 1)</f>
        <v>Victor de Satode</v>
      </c>
      <c r="K232" t="str">
        <f>MID(tblPassengerNames[[#This Row],[Name]], tblPassengerNames[[#This Row],[OpenParPos]] + 1, tblPassengerNames[[#This Row],[CloseParPos]] - tblPassengerNames[[#This Row],[OpenParPos]] - 1)</f>
        <v>Maria Josefa Perez de Soto y Vallejo</v>
      </c>
      <c r="L232" t="str">
        <f>IF(AND(LEFT(tblPassengerNames[[#This Row],[InParentheses]], 1) = "'", RIGHT(tblPassengerNames[[#This Row],[InParentheses]], 1) = "'"),
    #VALUE!,
    tblPassengerNames[[#This Row],[InParentheses]]
)</f>
        <v>Maria Josefa Perez de Soto y Vallejo</v>
      </c>
      <c r="M232">
        <f>LEN(tblPassengerNames[[#This Row],[InParenthesesCleaned]]) - LEN(SUBSTITUTE(tblPassengerNames[[#This Row],[InParenthesesCleaned]], " ", ""))</f>
        <v>6</v>
      </c>
      <c r="N232">
        <f>FIND("@", SUBSTITUTE(tblPassengerNames[[#This Row],[InParenthesesCleaned]], " ", "@", tblPassengerNames[[#This Row],[P_NSpaces]]))</f>
        <v>29</v>
      </c>
      <c r="O232" t="str">
        <f>IF(tblPassengerNames[[#This Row],[P_NSpaces]] = 0,
    tblPassengerNames[[#This Row],[InParenthesesCleaned]],
    LEFT(tblPassengerNames[[#This Row],[InParenthesesCleaned]], tblPassengerNames[[#This Row],[P_FinalSpacePos]] - 1)
)</f>
        <v>Maria Josefa Perez de Soto y</v>
      </c>
      <c r="P232" t="str">
        <f>IFERROR(tblPassengerNames[[#This Row],[P_Forenames]], tblPassengerNames[[#This Row],[ConvForenames]])</f>
        <v>Maria Josefa Perez de Soto y</v>
      </c>
      <c r="Q232" t="str">
        <f>MID(tblPassengerNames[[#This Row],[Name]], tblPassengerNames[[#This Row],[CommaPos]] + 2, tblPassengerNames[[#This Row],[DotPos]] - tblPassengerNames[[#This Row],[CommaPos]] - 1)</f>
        <v>Mrs.</v>
      </c>
      <c r="R232" t="str">
        <f>LEFT(tblPassengerNames[[#This Row],[Name]], tblPassengerNames[[#This Row],[CommaPos]] - 1)</f>
        <v>Penasco y Castellana</v>
      </c>
    </row>
    <row r="233" spans="2:18" x14ac:dyDescent="0.25">
      <c r="B233" s="21">
        <v>231</v>
      </c>
      <c r="C233" s="21" t="s">
        <v>367</v>
      </c>
      <c r="D233" s="21" t="s">
        <v>136</v>
      </c>
      <c r="E233">
        <f>FIND(",", tblPassengerNames[[#This Row],[Name]])</f>
        <v>10</v>
      </c>
      <c r="F233">
        <f>FIND(".", tblPassengerNames[[#This Row],[Name]])</f>
        <v>16</v>
      </c>
      <c r="G233" t="e">
        <f>FIND("(", tblPassengerNames[[#This Row],[Name]])</f>
        <v>#VALUE!</v>
      </c>
      <c r="H233" t="e">
        <f>FIND(")", tblPassengerNames[[#This Row],[Name]])</f>
        <v>#VALUE!</v>
      </c>
      <c r="I233">
        <f>IFERROR(tblPassengerNames[[#This Row],[OpenParPos]] - 2, LEN(tblPassengerNames[[#This Row],[Name]]))</f>
        <v>21</v>
      </c>
      <c r="J233" t="str">
        <f>MID(tblPassengerNames[[#This Row],[Name]], tblPassengerNames[[#This Row],[DotPos]] + 2, tblPassengerNames[[#This Row],[EndOfConvFNPos]] - tblPassengerNames[[#This Row],[DotPos]] - 1)</f>
        <v>Anne</v>
      </c>
      <c r="K233" t="e">
        <f>MID(tblPassengerNames[[#This Row],[Name]], tblPassengerNames[[#This Row],[OpenParPos]] + 1, tblPassengerNames[[#This Row],[CloseParPos]] - tblPassengerNames[[#This Row],[OpenParPos]] - 1)</f>
        <v>#VALUE!</v>
      </c>
      <c r="L233" t="e">
        <f>IF(AND(LEFT(tblPassengerNames[[#This Row],[InParentheses]], 1) = "'", RIGHT(tblPassengerNames[[#This Row],[InParentheses]], 1) = "'"),
    #VALUE!,
    tblPassengerNames[[#This Row],[InParentheses]]
)</f>
        <v>#VALUE!</v>
      </c>
      <c r="M233" t="e">
        <f>LEN(tblPassengerNames[[#This Row],[InParenthesesCleaned]]) - LEN(SUBSTITUTE(tblPassengerNames[[#This Row],[InParenthesesCleaned]], " ", ""))</f>
        <v>#VALUE!</v>
      </c>
      <c r="N233" t="e">
        <f>FIND("@", SUBSTITUTE(tblPassengerNames[[#This Row],[InParenthesesCleaned]], " ", "@", tblPassengerNames[[#This Row],[P_NSpaces]]))</f>
        <v>#VALUE!</v>
      </c>
      <c r="O233" t="e">
        <f>IF(tblPassengerNames[[#This Row],[P_NSpaces]] = 0,
    tblPassengerNames[[#This Row],[InParenthesesCleaned]],
    LEFT(tblPassengerNames[[#This Row],[InParenthesesCleaned]], tblPassengerNames[[#This Row],[P_FinalSpacePos]] - 1)
)</f>
        <v>#VALUE!</v>
      </c>
      <c r="P233" t="str">
        <f>IFERROR(tblPassengerNames[[#This Row],[P_Forenames]], tblPassengerNames[[#This Row],[ConvForenames]])</f>
        <v>Anne</v>
      </c>
      <c r="Q233" t="str">
        <f>MID(tblPassengerNames[[#This Row],[Name]], tblPassengerNames[[#This Row],[CommaPos]] + 2, tblPassengerNames[[#This Row],[DotPos]] - tblPassengerNames[[#This Row],[CommaPos]] - 1)</f>
        <v>Miss.</v>
      </c>
      <c r="R233" t="str">
        <f>LEFT(tblPassengerNames[[#This Row],[Name]], tblPassengerNames[[#This Row],[CommaPos]] - 1)</f>
        <v>Perreault</v>
      </c>
    </row>
    <row r="234" spans="2:18" x14ac:dyDescent="0.25">
      <c r="B234" s="21">
        <v>232</v>
      </c>
      <c r="C234" s="21" t="s">
        <v>368</v>
      </c>
      <c r="D234" s="21" t="s">
        <v>138</v>
      </c>
      <c r="E234">
        <f>FIND(",", tblPassengerNames[[#This Row],[Name]])</f>
        <v>8</v>
      </c>
      <c r="F234">
        <f>FIND(".", tblPassengerNames[[#This Row],[Name]])</f>
        <v>15</v>
      </c>
      <c r="G234" t="e">
        <f>FIND("(", tblPassengerNames[[#This Row],[Name]])</f>
        <v>#VALUE!</v>
      </c>
      <c r="H234" t="e">
        <f>FIND(")", tblPassengerNames[[#This Row],[Name]])</f>
        <v>#VALUE!</v>
      </c>
      <c r="I234">
        <f>IFERROR(tblPassengerNames[[#This Row],[OpenParPos]] - 2, LEN(tblPassengerNames[[#This Row],[Name]]))</f>
        <v>30</v>
      </c>
      <c r="J234" t="str">
        <f>MID(tblPassengerNames[[#This Row],[Name]], tblPassengerNames[[#This Row],[DotPos]] + 2, tblPassengerNames[[#This Row],[EndOfConvFNPos]] - tblPassengerNames[[#This Row],[DotPos]] - 1)</f>
        <v>Arthur Godfrey</v>
      </c>
      <c r="K234" t="e">
        <f>MID(tblPassengerNames[[#This Row],[Name]], tblPassengerNames[[#This Row],[OpenParPos]] + 1, tblPassengerNames[[#This Row],[CloseParPos]] - tblPassengerNames[[#This Row],[OpenParPos]] - 1)</f>
        <v>#VALUE!</v>
      </c>
      <c r="L234" t="e">
        <f>IF(AND(LEFT(tblPassengerNames[[#This Row],[InParentheses]], 1) = "'", RIGHT(tblPassengerNames[[#This Row],[InParentheses]], 1) = "'"),
    #VALUE!,
    tblPassengerNames[[#This Row],[InParentheses]]
)</f>
        <v>#VALUE!</v>
      </c>
      <c r="M234" t="e">
        <f>LEN(tblPassengerNames[[#This Row],[InParenthesesCleaned]]) - LEN(SUBSTITUTE(tblPassengerNames[[#This Row],[InParenthesesCleaned]], " ", ""))</f>
        <v>#VALUE!</v>
      </c>
      <c r="N234" t="e">
        <f>FIND("@", SUBSTITUTE(tblPassengerNames[[#This Row],[InParenthesesCleaned]], " ", "@", tblPassengerNames[[#This Row],[P_NSpaces]]))</f>
        <v>#VALUE!</v>
      </c>
      <c r="O234" t="e">
        <f>IF(tblPassengerNames[[#This Row],[P_NSpaces]] = 0,
    tblPassengerNames[[#This Row],[InParenthesesCleaned]],
    LEFT(tblPassengerNames[[#This Row],[InParenthesesCleaned]], tblPassengerNames[[#This Row],[P_FinalSpacePos]] - 1)
)</f>
        <v>#VALUE!</v>
      </c>
      <c r="P234" t="str">
        <f>IFERROR(tblPassengerNames[[#This Row],[P_Forenames]], tblPassengerNames[[#This Row],[ConvForenames]])</f>
        <v>Arthur Godfrey</v>
      </c>
      <c r="Q234" t="str">
        <f>MID(tblPassengerNames[[#This Row],[Name]], tblPassengerNames[[#This Row],[CommaPos]] + 2, tblPassengerNames[[#This Row],[DotPos]] - tblPassengerNames[[#This Row],[CommaPos]] - 1)</f>
        <v>Major.</v>
      </c>
      <c r="R234" t="str">
        <f>LEFT(tblPassengerNames[[#This Row],[Name]], tblPassengerNames[[#This Row],[CommaPos]] - 1)</f>
        <v>Peuchen</v>
      </c>
    </row>
    <row r="235" spans="2:18" x14ac:dyDescent="0.25">
      <c r="B235" s="21">
        <v>233</v>
      </c>
      <c r="C235" s="21" t="s">
        <v>369</v>
      </c>
      <c r="D235" s="21" t="s">
        <v>138</v>
      </c>
      <c r="E235">
        <f>FIND(",", tblPassengerNames[[#This Row],[Name]])</f>
        <v>7</v>
      </c>
      <c r="F235">
        <f>FIND(".", tblPassengerNames[[#This Row],[Name]])</f>
        <v>11</v>
      </c>
      <c r="G235" t="e">
        <f>FIND("(", tblPassengerNames[[#This Row],[Name]])</f>
        <v>#VALUE!</v>
      </c>
      <c r="H235" t="e">
        <f>FIND(")", tblPassengerNames[[#This Row],[Name]])</f>
        <v>#VALUE!</v>
      </c>
      <c r="I235">
        <f>IFERROR(tblPassengerNames[[#This Row],[OpenParPos]] - 2, LEN(tblPassengerNames[[#This Row],[Name]]))</f>
        <v>30</v>
      </c>
      <c r="J235" t="str">
        <f>MID(tblPassengerNames[[#This Row],[Name]], tblPassengerNames[[#This Row],[DotPos]] + 2, tblPassengerNames[[#This Row],[EndOfConvFNPos]] - tblPassengerNames[[#This Row],[DotPos]] - 1)</f>
        <v>Walter Chamberlain</v>
      </c>
      <c r="K235" t="e">
        <f>MID(tblPassengerNames[[#This Row],[Name]], tblPassengerNames[[#This Row],[OpenParPos]] + 1, tblPassengerNames[[#This Row],[CloseParPos]] - tblPassengerNames[[#This Row],[OpenParPos]] - 1)</f>
        <v>#VALUE!</v>
      </c>
      <c r="L235" t="e">
        <f>IF(AND(LEFT(tblPassengerNames[[#This Row],[InParentheses]], 1) = "'", RIGHT(tblPassengerNames[[#This Row],[InParentheses]], 1) = "'"),
    #VALUE!,
    tblPassengerNames[[#This Row],[InParentheses]]
)</f>
        <v>#VALUE!</v>
      </c>
      <c r="M235" t="e">
        <f>LEN(tblPassengerNames[[#This Row],[InParenthesesCleaned]]) - LEN(SUBSTITUTE(tblPassengerNames[[#This Row],[InParenthesesCleaned]], " ", ""))</f>
        <v>#VALUE!</v>
      </c>
      <c r="N235" t="e">
        <f>FIND("@", SUBSTITUTE(tblPassengerNames[[#This Row],[InParenthesesCleaned]], " ", "@", tblPassengerNames[[#This Row],[P_NSpaces]]))</f>
        <v>#VALUE!</v>
      </c>
      <c r="O235" t="e">
        <f>IF(tblPassengerNames[[#This Row],[P_NSpaces]] = 0,
    tblPassengerNames[[#This Row],[InParenthesesCleaned]],
    LEFT(tblPassengerNames[[#This Row],[InParenthesesCleaned]], tblPassengerNames[[#This Row],[P_FinalSpacePos]] - 1)
)</f>
        <v>#VALUE!</v>
      </c>
      <c r="P235" t="str">
        <f>IFERROR(tblPassengerNames[[#This Row],[P_Forenames]], tblPassengerNames[[#This Row],[ConvForenames]])</f>
        <v>Walter Chamberlain</v>
      </c>
      <c r="Q235" t="str">
        <f>MID(tblPassengerNames[[#This Row],[Name]], tblPassengerNames[[#This Row],[CommaPos]] + 2, tblPassengerNames[[#This Row],[DotPos]] - tblPassengerNames[[#This Row],[CommaPos]] - 1)</f>
        <v>Mr.</v>
      </c>
      <c r="R235" t="str">
        <f>LEFT(tblPassengerNames[[#This Row],[Name]], tblPassengerNames[[#This Row],[CommaPos]] - 1)</f>
        <v>Porter</v>
      </c>
    </row>
    <row r="236" spans="2:18" x14ac:dyDescent="0.25">
      <c r="B236" s="21">
        <v>234</v>
      </c>
      <c r="C236" s="21" t="s">
        <v>370</v>
      </c>
      <c r="D236" s="21" t="s">
        <v>136</v>
      </c>
      <c r="E236">
        <f>FIND(",", tblPassengerNames[[#This Row],[Name]])</f>
        <v>7</v>
      </c>
      <c r="F236">
        <f>FIND(".", tblPassengerNames[[#This Row],[Name]])</f>
        <v>12</v>
      </c>
      <c r="G236">
        <f>FIND("(", tblPassengerNames[[#This Row],[Name]])</f>
        <v>24</v>
      </c>
      <c r="H236">
        <f>FIND(")", tblPassengerNames[[#This Row],[Name]])</f>
        <v>45</v>
      </c>
      <c r="I236">
        <f>IFERROR(tblPassengerNames[[#This Row],[OpenParPos]] - 2, LEN(tblPassengerNames[[#This Row],[Name]]))</f>
        <v>22</v>
      </c>
      <c r="J236" t="str">
        <f>MID(tblPassengerNames[[#This Row],[Name]], tblPassengerNames[[#This Row],[DotPos]] + 2, tblPassengerNames[[#This Row],[EndOfConvFNPos]] - tblPassengerNames[[#This Row],[DotPos]] - 1)</f>
        <v>Thomas Jr</v>
      </c>
      <c r="K236" t="str">
        <f>MID(tblPassengerNames[[#This Row],[Name]], tblPassengerNames[[#This Row],[OpenParPos]] + 1, tblPassengerNames[[#This Row],[CloseParPos]] - tblPassengerNames[[#This Row],[OpenParPos]] - 1)</f>
        <v>Lily Alexenia Wilson</v>
      </c>
      <c r="L236" t="str">
        <f>IF(AND(LEFT(tblPassengerNames[[#This Row],[InParentheses]], 1) = "'", RIGHT(tblPassengerNames[[#This Row],[InParentheses]], 1) = "'"),
    #VALUE!,
    tblPassengerNames[[#This Row],[InParentheses]]
)</f>
        <v>Lily Alexenia Wilson</v>
      </c>
      <c r="M236">
        <f>LEN(tblPassengerNames[[#This Row],[InParenthesesCleaned]]) - LEN(SUBSTITUTE(tblPassengerNames[[#This Row],[InParenthesesCleaned]], " ", ""))</f>
        <v>2</v>
      </c>
      <c r="N236">
        <f>FIND("@", SUBSTITUTE(tblPassengerNames[[#This Row],[InParenthesesCleaned]], " ", "@", tblPassengerNames[[#This Row],[P_NSpaces]]))</f>
        <v>14</v>
      </c>
      <c r="O236" t="str">
        <f>IF(tblPassengerNames[[#This Row],[P_NSpaces]] = 0,
    tblPassengerNames[[#This Row],[InParenthesesCleaned]],
    LEFT(tblPassengerNames[[#This Row],[InParenthesesCleaned]], tblPassengerNames[[#This Row],[P_FinalSpacePos]] - 1)
)</f>
        <v>Lily Alexenia</v>
      </c>
      <c r="P236" t="str">
        <f>IFERROR(tblPassengerNames[[#This Row],[P_Forenames]], tblPassengerNames[[#This Row],[ConvForenames]])</f>
        <v>Lily Alexenia</v>
      </c>
      <c r="Q236" t="str">
        <f>MID(tblPassengerNames[[#This Row],[Name]], tblPassengerNames[[#This Row],[CommaPos]] + 2, tblPassengerNames[[#This Row],[DotPos]] - tblPassengerNames[[#This Row],[CommaPos]] - 1)</f>
        <v>Mrs.</v>
      </c>
      <c r="R236" t="str">
        <f>LEFT(tblPassengerNames[[#This Row],[Name]], tblPassengerNames[[#This Row],[CommaPos]] - 1)</f>
        <v>Potter</v>
      </c>
    </row>
    <row r="237" spans="2:18" x14ac:dyDescent="0.25">
      <c r="B237" s="21">
        <v>235</v>
      </c>
      <c r="C237" s="21" t="s">
        <v>371</v>
      </c>
      <c r="D237" s="21" t="s">
        <v>138</v>
      </c>
      <c r="E237">
        <f>FIND(",", tblPassengerNames[[#This Row],[Name]])</f>
        <v>9</v>
      </c>
      <c r="F237">
        <f>FIND(".", tblPassengerNames[[#This Row],[Name]])</f>
        <v>19</v>
      </c>
      <c r="G237" t="e">
        <f>FIND("(", tblPassengerNames[[#This Row],[Name]])</f>
        <v>#VALUE!</v>
      </c>
      <c r="H237" t="e">
        <f>FIND(")", tblPassengerNames[[#This Row],[Name]])</f>
        <v>#VALUE!</v>
      </c>
      <c r="I237">
        <f>IFERROR(tblPassengerNames[[#This Row],[OpenParPos]] - 2, LEN(tblPassengerNames[[#This Row],[Name]]))</f>
        <v>31</v>
      </c>
      <c r="J237" t="str">
        <f>MID(tblPassengerNames[[#This Row],[Name]], tblPassengerNames[[#This Row],[DotPos]] + 2, tblPassengerNames[[#This Row],[EndOfConvFNPos]] - tblPassengerNames[[#This Row],[DotPos]] - 1)</f>
        <v>John George</v>
      </c>
      <c r="K237" t="e">
        <f>MID(tblPassengerNames[[#This Row],[Name]], tblPassengerNames[[#This Row],[OpenParPos]] + 1, tblPassengerNames[[#This Row],[CloseParPos]] - tblPassengerNames[[#This Row],[OpenParPos]] - 1)</f>
        <v>#VALUE!</v>
      </c>
      <c r="L237" t="e">
        <f>IF(AND(LEFT(tblPassengerNames[[#This Row],[InParentheses]], 1) = "'", RIGHT(tblPassengerNames[[#This Row],[InParentheses]], 1) = "'"),
    #VALUE!,
    tblPassengerNames[[#This Row],[InParentheses]]
)</f>
        <v>#VALUE!</v>
      </c>
      <c r="M237" t="e">
        <f>LEN(tblPassengerNames[[#This Row],[InParenthesesCleaned]]) - LEN(SUBSTITUTE(tblPassengerNames[[#This Row],[InParenthesesCleaned]], " ", ""))</f>
        <v>#VALUE!</v>
      </c>
      <c r="N237" t="e">
        <f>FIND("@", SUBSTITUTE(tblPassengerNames[[#This Row],[InParenthesesCleaned]], " ", "@", tblPassengerNames[[#This Row],[P_NSpaces]]))</f>
        <v>#VALUE!</v>
      </c>
      <c r="O237" t="e">
        <f>IF(tblPassengerNames[[#This Row],[P_NSpaces]] = 0,
    tblPassengerNames[[#This Row],[InParenthesesCleaned]],
    LEFT(tblPassengerNames[[#This Row],[InParenthesesCleaned]], tblPassengerNames[[#This Row],[P_FinalSpacePos]] - 1)
)</f>
        <v>#VALUE!</v>
      </c>
      <c r="P237" t="str">
        <f>IFERROR(tblPassengerNames[[#This Row],[P_Forenames]], tblPassengerNames[[#This Row],[ConvForenames]])</f>
        <v>John George</v>
      </c>
      <c r="Q237" t="str">
        <f>MID(tblPassengerNames[[#This Row],[Name]], tblPassengerNames[[#This Row],[CommaPos]] + 2, tblPassengerNames[[#This Row],[DotPos]] - tblPassengerNames[[#This Row],[CommaPos]] - 1)</f>
        <v>Jonkheer.</v>
      </c>
      <c r="R237" t="str">
        <f>LEFT(tblPassengerNames[[#This Row],[Name]], tblPassengerNames[[#This Row],[CommaPos]] - 1)</f>
        <v>Reuchlin</v>
      </c>
    </row>
    <row r="238" spans="2:18" x14ac:dyDescent="0.25">
      <c r="B238" s="21">
        <v>236</v>
      </c>
      <c r="C238" s="21" t="s">
        <v>372</v>
      </c>
      <c r="D238" s="21" t="s">
        <v>138</v>
      </c>
      <c r="E238">
        <f>FIND(",", tblPassengerNames[[#This Row],[Name]])</f>
        <v>7</v>
      </c>
      <c r="F238">
        <f>FIND(".", tblPassengerNames[[#This Row],[Name]])</f>
        <v>11</v>
      </c>
      <c r="G238" t="e">
        <f>FIND("(", tblPassengerNames[[#This Row],[Name]])</f>
        <v>#VALUE!</v>
      </c>
      <c r="H238" t="e">
        <f>FIND(")", tblPassengerNames[[#This Row],[Name]])</f>
        <v>#VALUE!</v>
      </c>
      <c r="I238">
        <f>IFERROR(tblPassengerNames[[#This Row],[OpenParPos]] - 2, LEN(tblPassengerNames[[#This Row],[Name]]))</f>
        <v>35</v>
      </c>
      <c r="J238" t="str">
        <f>MID(tblPassengerNames[[#This Row],[Name]], tblPassengerNames[[#This Row],[DotPos]] + 2, tblPassengerNames[[#This Row],[EndOfConvFNPos]] - tblPassengerNames[[#This Row],[DotPos]] - 1)</f>
        <v>George Alexander Lucien</v>
      </c>
      <c r="K238" t="e">
        <f>MID(tblPassengerNames[[#This Row],[Name]], tblPassengerNames[[#This Row],[OpenParPos]] + 1, tblPassengerNames[[#This Row],[CloseParPos]] - tblPassengerNames[[#This Row],[OpenParPos]] - 1)</f>
        <v>#VALUE!</v>
      </c>
      <c r="L238" t="e">
        <f>IF(AND(LEFT(tblPassengerNames[[#This Row],[InParentheses]], 1) = "'", RIGHT(tblPassengerNames[[#This Row],[InParentheses]], 1) = "'"),
    #VALUE!,
    tblPassengerNames[[#This Row],[InParentheses]]
)</f>
        <v>#VALUE!</v>
      </c>
      <c r="M238" t="e">
        <f>LEN(tblPassengerNames[[#This Row],[InParenthesesCleaned]]) - LEN(SUBSTITUTE(tblPassengerNames[[#This Row],[InParenthesesCleaned]], " ", ""))</f>
        <v>#VALUE!</v>
      </c>
      <c r="N238" t="e">
        <f>FIND("@", SUBSTITUTE(tblPassengerNames[[#This Row],[InParenthesesCleaned]], " ", "@", tblPassengerNames[[#This Row],[P_NSpaces]]))</f>
        <v>#VALUE!</v>
      </c>
      <c r="O238" t="e">
        <f>IF(tblPassengerNames[[#This Row],[P_NSpaces]] = 0,
    tblPassengerNames[[#This Row],[InParenthesesCleaned]],
    LEFT(tblPassengerNames[[#This Row],[InParenthesesCleaned]], tblPassengerNames[[#This Row],[P_FinalSpacePos]] - 1)
)</f>
        <v>#VALUE!</v>
      </c>
      <c r="P238" t="str">
        <f>IFERROR(tblPassengerNames[[#This Row],[P_Forenames]], tblPassengerNames[[#This Row],[ConvForenames]])</f>
        <v>George Alexander Lucien</v>
      </c>
      <c r="Q238" t="str">
        <f>MID(tblPassengerNames[[#This Row],[Name]], tblPassengerNames[[#This Row],[CommaPos]] + 2, tblPassengerNames[[#This Row],[DotPos]] - tblPassengerNames[[#This Row],[CommaPos]] - 1)</f>
        <v>Mr.</v>
      </c>
      <c r="R238" t="str">
        <f>LEFT(tblPassengerNames[[#This Row],[Name]], tblPassengerNames[[#This Row],[CommaPos]] - 1)</f>
        <v>Rheims</v>
      </c>
    </row>
    <row r="239" spans="2:18" x14ac:dyDescent="0.25">
      <c r="B239" s="21">
        <v>237</v>
      </c>
      <c r="C239" s="21" t="s">
        <v>373</v>
      </c>
      <c r="D239" s="21" t="s">
        <v>138</v>
      </c>
      <c r="E239">
        <f>FIND(",", tblPassengerNames[[#This Row],[Name]])</f>
        <v>9</v>
      </c>
      <c r="F239">
        <f>FIND(".", tblPassengerNames[[#This Row],[Name]])</f>
        <v>13</v>
      </c>
      <c r="G239" t="e">
        <f>FIND("(", tblPassengerNames[[#This Row],[Name]])</f>
        <v>#VALUE!</v>
      </c>
      <c r="H239" t="e">
        <f>FIND(")", tblPassengerNames[[#This Row],[Name]])</f>
        <v>#VALUE!</v>
      </c>
      <c r="I239">
        <f>IFERROR(tblPassengerNames[[#This Row],[OpenParPos]] - 2, LEN(tblPassengerNames[[#This Row],[Name]]))</f>
        <v>19</v>
      </c>
      <c r="J239" t="str">
        <f>MID(tblPassengerNames[[#This Row],[Name]], tblPassengerNames[[#This Row],[DotPos]] + 2, tblPassengerNames[[#This Row],[EndOfConvFNPos]] - tblPassengerNames[[#This Row],[DotPos]] - 1)</f>
        <v>Sante</v>
      </c>
      <c r="K239" t="e">
        <f>MID(tblPassengerNames[[#This Row],[Name]], tblPassengerNames[[#This Row],[OpenParPos]] + 1, tblPassengerNames[[#This Row],[CloseParPos]] - tblPassengerNames[[#This Row],[OpenParPos]] - 1)</f>
        <v>#VALUE!</v>
      </c>
      <c r="L239" t="e">
        <f>IF(AND(LEFT(tblPassengerNames[[#This Row],[InParentheses]], 1) = "'", RIGHT(tblPassengerNames[[#This Row],[InParentheses]], 1) = "'"),
    #VALUE!,
    tblPassengerNames[[#This Row],[InParentheses]]
)</f>
        <v>#VALUE!</v>
      </c>
      <c r="M239" t="e">
        <f>LEN(tblPassengerNames[[#This Row],[InParenthesesCleaned]]) - LEN(SUBSTITUTE(tblPassengerNames[[#This Row],[InParenthesesCleaned]], " ", ""))</f>
        <v>#VALUE!</v>
      </c>
      <c r="N239" t="e">
        <f>FIND("@", SUBSTITUTE(tblPassengerNames[[#This Row],[InParenthesesCleaned]], " ", "@", tblPassengerNames[[#This Row],[P_NSpaces]]))</f>
        <v>#VALUE!</v>
      </c>
      <c r="O239" t="e">
        <f>IF(tblPassengerNames[[#This Row],[P_NSpaces]] = 0,
    tblPassengerNames[[#This Row],[InParenthesesCleaned]],
    LEFT(tblPassengerNames[[#This Row],[InParenthesesCleaned]], tblPassengerNames[[#This Row],[P_FinalSpacePos]] - 1)
)</f>
        <v>#VALUE!</v>
      </c>
      <c r="P239" t="str">
        <f>IFERROR(tblPassengerNames[[#This Row],[P_Forenames]], tblPassengerNames[[#This Row],[ConvForenames]])</f>
        <v>Sante</v>
      </c>
      <c r="Q239" t="str">
        <f>MID(tblPassengerNames[[#This Row],[Name]], tblPassengerNames[[#This Row],[CommaPos]] + 2, tblPassengerNames[[#This Row],[DotPos]] - tblPassengerNames[[#This Row],[CommaPos]] - 1)</f>
        <v>Mr.</v>
      </c>
      <c r="R239" t="str">
        <f>LEFT(tblPassengerNames[[#This Row],[Name]], tblPassengerNames[[#This Row],[CommaPos]] - 1)</f>
        <v>Ringhini</v>
      </c>
    </row>
    <row r="240" spans="2:18" x14ac:dyDescent="0.25">
      <c r="B240" s="21">
        <v>238</v>
      </c>
      <c r="C240" s="21" t="s">
        <v>374</v>
      </c>
      <c r="D240" s="21" t="s">
        <v>138</v>
      </c>
      <c r="E240">
        <f>FIND(",", tblPassengerNames[[#This Row],[Name]])</f>
        <v>8</v>
      </c>
      <c r="F240">
        <f>FIND(".", tblPassengerNames[[#This Row],[Name]])</f>
        <v>12</v>
      </c>
      <c r="G240" t="e">
        <f>FIND("(", tblPassengerNames[[#This Row],[Name]])</f>
        <v>#VALUE!</v>
      </c>
      <c r="H240" t="e">
        <f>FIND(")", tblPassengerNames[[#This Row],[Name]])</f>
        <v>#VALUE!</v>
      </c>
      <c r="I240">
        <f>IFERROR(tblPassengerNames[[#This Row],[OpenParPos]] - 2, LEN(tblPassengerNames[[#This Row],[Name]]))</f>
        <v>19</v>
      </c>
      <c r="J240" t="str">
        <f>MID(tblPassengerNames[[#This Row],[Name]], tblPassengerNames[[#This Row],[DotPos]] + 2, tblPassengerNames[[#This Row],[EndOfConvFNPos]] - tblPassengerNames[[#This Row],[DotPos]] - 1)</f>
        <v>Victor</v>
      </c>
      <c r="K240" t="e">
        <f>MID(tblPassengerNames[[#This Row],[Name]], tblPassengerNames[[#This Row],[OpenParPos]] + 1, tblPassengerNames[[#This Row],[CloseParPos]] - tblPassengerNames[[#This Row],[OpenParPos]] - 1)</f>
        <v>#VALUE!</v>
      </c>
      <c r="L240" t="e">
        <f>IF(AND(LEFT(tblPassengerNames[[#This Row],[InParentheses]], 1) = "'", RIGHT(tblPassengerNames[[#This Row],[InParentheses]], 1) = "'"),
    #VALUE!,
    tblPassengerNames[[#This Row],[InParentheses]]
)</f>
        <v>#VALUE!</v>
      </c>
      <c r="M240" t="e">
        <f>LEN(tblPassengerNames[[#This Row],[InParenthesesCleaned]]) - LEN(SUBSTITUTE(tblPassengerNames[[#This Row],[InParenthesesCleaned]], " ", ""))</f>
        <v>#VALUE!</v>
      </c>
      <c r="N240" t="e">
        <f>FIND("@", SUBSTITUTE(tblPassengerNames[[#This Row],[InParenthesesCleaned]], " ", "@", tblPassengerNames[[#This Row],[P_NSpaces]]))</f>
        <v>#VALUE!</v>
      </c>
      <c r="O240" t="e">
        <f>IF(tblPassengerNames[[#This Row],[P_NSpaces]] = 0,
    tblPassengerNames[[#This Row],[InParenthesesCleaned]],
    LEFT(tblPassengerNames[[#This Row],[InParenthesesCleaned]], tblPassengerNames[[#This Row],[P_FinalSpacePos]] - 1)
)</f>
        <v>#VALUE!</v>
      </c>
      <c r="P240" t="str">
        <f>IFERROR(tblPassengerNames[[#This Row],[P_Forenames]], tblPassengerNames[[#This Row],[ConvForenames]])</f>
        <v>Victor</v>
      </c>
      <c r="Q240" t="str">
        <f>MID(tblPassengerNames[[#This Row],[Name]], tblPassengerNames[[#This Row],[CommaPos]] + 2, tblPassengerNames[[#This Row],[DotPos]] - tblPassengerNames[[#This Row],[CommaPos]] - 1)</f>
        <v>Mr.</v>
      </c>
      <c r="R240" t="str">
        <f>LEFT(tblPassengerNames[[#This Row],[Name]], tblPassengerNames[[#This Row],[CommaPos]] - 1)</f>
        <v>Robbins</v>
      </c>
    </row>
    <row r="241" spans="2:18" x14ac:dyDescent="0.25">
      <c r="B241" s="21">
        <v>239</v>
      </c>
      <c r="C241" s="21" t="s">
        <v>375</v>
      </c>
      <c r="D241" s="21" t="s">
        <v>136</v>
      </c>
      <c r="E241">
        <f>FIND(",", tblPassengerNames[[#This Row],[Name]])</f>
        <v>7</v>
      </c>
      <c r="F241">
        <f>FIND(".", tblPassengerNames[[#This Row],[Name]])</f>
        <v>12</v>
      </c>
      <c r="G241">
        <f>FIND("(", tblPassengerNames[[#This Row],[Name]])</f>
        <v>27</v>
      </c>
      <c r="H241">
        <f>FIND(")", tblPassengerNames[[#This Row],[Name]])</f>
        <v>53</v>
      </c>
      <c r="I241">
        <f>IFERROR(tblPassengerNames[[#This Row],[OpenParPos]] - 2, LEN(tblPassengerNames[[#This Row],[Name]]))</f>
        <v>25</v>
      </c>
      <c r="J241" t="str">
        <f>MID(tblPassengerNames[[#This Row],[Name]], tblPassengerNames[[#This Row],[DotPos]] + 2, tblPassengerNames[[#This Row],[EndOfConvFNPos]] - tblPassengerNames[[#This Row],[DotPos]] - 1)</f>
        <v>Edward Scott</v>
      </c>
      <c r="K241" t="str">
        <f>MID(tblPassengerNames[[#This Row],[Name]], tblPassengerNames[[#This Row],[OpenParPos]] + 1, tblPassengerNames[[#This Row],[CloseParPos]] - tblPassengerNames[[#This Row],[OpenParPos]] - 1)</f>
        <v>Elisabeth Walton McMillan</v>
      </c>
      <c r="L241" t="str">
        <f>IF(AND(LEFT(tblPassengerNames[[#This Row],[InParentheses]], 1) = "'", RIGHT(tblPassengerNames[[#This Row],[InParentheses]], 1) = "'"),
    #VALUE!,
    tblPassengerNames[[#This Row],[InParentheses]]
)</f>
        <v>Elisabeth Walton McMillan</v>
      </c>
      <c r="M241">
        <f>LEN(tblPassengerNames[[#This Row],[InParenthesesCleaned]]) - LEN(SUBSTITUTE(tblPassengerNames[[#This Row],[InParenthesesCleaned]], " ", ""))</f>
        <v>2</v>
      </c>
      <c r="N241">
        <f>FIND("@", SUBSTITUTE(tblPassengerNames[[#This Row],[InParenthesesCleaned]], " ", "@", tblPassengerNames[[#This Row],[P_NSpaces]]))</f>
        <v>17</v>
      </c>
      <c r="O241" t="str">
        <f>IF(tblPassengerNames[[#This Row],[P_NSpaces]] = 0,
    tblPassengerNames[[#This Row],[InParenthesesCleaned]],
    LEFT(tblPassengerNames[[#This Row],[InParenthesesCleaned]], tblPassengerNames[[#This Row],[P_FinalSpacePos]] - 1)
)</f>
        <v>Elisabeth Walton</v>
      </c>
      <c r="P241" t="str">
        <f>IFERROR(tblPassengerNames[[#This Row],[P_Forenames]], tblPassengerNames[[#This Row],[ConvForenames]])</f>
        <v>Elisabeth Walton</v>
      </c>
      <c r="Q241" t="str">
        <f>MID(tblPassengerNames[[#This Row],[Name]], tblPassengerNames[[#This Row],[CommaPos]] + 2, tblPassengerNames[[#This Row],[DotPos]] - tblPassengerNames[[#This Row],[CommaPos]] - 1)</f>
        <v>Mrs.</v>
      </c>
      <c r="R241" t="str">
        <f>LEFT(tblPassengerNames[[#This Row],[Name]], tblPassengerNames[[#This Row],[CommaPos]] - 1)</f>
        <v>Robert</v>
      </c>
    </row>
    <row r="242" spans="2:18" x14ac:dyDescent="0.25">
      <c r="B242" s="21">
        <v>240</v>
      </c>
      <c r="C242" s="21" t="s">
        <v>376</v>
      </c>
      <c r="D242" s="21" t="s">
        <v>138</v>
      </c>
      <c r="E242">
        <f>FIND(",", tblPassengerNames[[#This Row],[Name]])</f>
        <v>9</v>
      </c>
      <c r="F242">
        <f>FIND(".", tblPassengerNames[[#This Row],[Name]])</f>
        <v>13</v>
      </c>
      <c r="G242" t="e">
        <f>FIND("(", tblPassengerNames[[#This Row],[Name]])</f>
        <v>#VALUE!</v>
      </c>
      <c r="H242" t="e">
        <f>FIND(")", tblPassengerNames[[#This Row],[Name]])</f>
        <v>#VALUE!</v>
      </c>
      <c r="I242">
        <f>IFERROR(tblPassengerNames[[#This Row],[OpenParPos]] - 2, LEN(tblPassengerNames[[#This Row],[Name]]))</f>
        <v>36</v>
      </c>
      <c r="J242" t="str">
        <f>MID(tblPassengerNames[[#This Row],[Name]], tblPassengerNames[[#This Row],[DotPos]] + 2, tblPassengerNames[[#This Row],[EndOfConvFNPos]] - tblPassengerNames[[#This Row],[DotPos]] - 1)</f>
        <v>Washington Augustus II</v>
      </c>
      <c r="K242" t="e">
        <f>MID(tblPassengerNames[[#This Row],[Name]], tblPassengerNames[[#This Row],[OpenParPos]] + 1, tblPassengerNames[[#This Row],[CloseParPos]] - tblPassengerNames[[#This Row],[OpenParPos]] - 1)</f>
        <v>#VALUE!</v>
      </c>
      <c r="L242" t="e">
        <f>IF(AND(LEFT(tblPassengerNames[[#This Row],[InParentheses]], 1) = "'", RIGHT(tblPassengerNames[[#This Row],[InParentheses]], 1) = "'"),
    #VALUE!,
    tblPassengerNames[[#This Row],[InParentheses]]
)</f>
        <v>#VALUE!</v>
      </c>
      <c r="M242" t="e">
        <f>LEN(tblPassengerNames[[#This Row],[InParenthesesCleaned]]) - LEN(SUBSTITUTE(tblPassengerNames[[#This Row],[InParenthesesCleaned]], " ", ""))</f>
        <v>#VALUE!</v>
      </c>
      <c r="N242" t="e">
        <f>FIND("@", SUBSTITUTE(tblPassengerNames[[#This Row],[InParenthesesCleaned]], " ", "@", tblPassengerNames[[#This Row],[P_NSpaces]]))</f>
        <v>#VALUE!</v>
      </c>
      <c r="O242" t="e">
        <f>IF(tblPassengerNames[[#This Row],[P_NSpaces]] = 0,
    tblPassengerNames[[#This Row],[InParenthesesCleaned]],
    LEFT(tblPassengerNames[[#This Row],[InParenthesesCleaned]], tblPassengerNames[[#This Row],[P_FinalSpacePos]] - 1)
)</f>
        <v>#VALUE!</v>
      </c>
      <c r="P242" t="str">
        <f>IFERROR(tblPassengerNames[[#This Row],[P_Forenames]], tblPassengerNames[[#This Row],[ConvForenames]])</f>
        <v>Washington Augustus II</v>
      </c>
      <c r="Q242" t="str">
        <f>MID(tblPassengerNames[[#This Row],[Name]], tblPassengerNames[[#This Row],[CommaPos]] + 2, tblPassengerNames[[#This Row],[DotPos]] - tblPassengerNames[[#This Row],[CommaPos]] - 1)</f>
        <v>Mr.</v>
      </c>
      <c r="R242" t="str">
        <f>LEFT(tblPassengerNames[[#This Row],[Name]], tblPassengerNames[[#This Row],[CommaPos]] - 1)</f>
        <v>Roebling</v>
      </c>
    </row>
    <row r="243" spans="2:18" x14ac:dyDescent="0.25">
      <c r="B243" s="21">
        <v>241</v>
      </c>
      <c r="C243" s="21" t="s">
        <v>377</v>
      </c>
      <c r="D243" s="21" t="s">
        <v>138</v>
      </c>
      <c r="E243">
        <f>FIND(",", tblPassengerNames[[#This Row],[Name]])</f>
        <v>8</v>
      </c>
      <c r="F243">
        <f>FIND(".", tblPassengerNames[[#This Row],[Name]])</f>
        <v>12</v>
      </c>
      <c r="G243">
        <f>FIND("(", tblPassengerNames[[#This Row],[Name]])</f>
        <v>30</v>
      </c>
      <c r="H243">
        <f>FIND(")", tblPassengerNames[[#This Row],[Name]])</f>
        <v>45</v>
      </c>
      <c r="I243">
        <f>IFERROR(tblPassengerNames[[#This Row],[OpenParPos]] - 2, LEN(tblPassengerNames[[#This Row],[Name]]))</f>
        <v>28</v>
      </c>
      <c r="J243" t="str">
        <f>MID(tblPassengerNames[[#This Row],[Name]], tblPassengerNames[[#This Row],[DotPos]] + 2, tblPassengerNames[[#This Row],[EndOfConvFNPos]] - tblPassengerNames[[#This Row],[DotPos]] - 1)</f>
        <v>Charles Hallace</v>
      </c>
      <c r="K243" t="str">
        <f>MID(tblPassengerNames[[#This Row],[Name]], tblPassengerNames[[#This Row],[OpenParPos]] + 1, tblPassengerNames[[#This Row],[CloseParPos]] - tblPassengerNames[[#This Row],[OpenParPos]] - 1)</f>
        <v>'Mr C Rolmane'</v>
      </c>
      <c r="L243" t="e">
        <f>IF(AND(LEFT(tblPassengerNames[[#This Row],[InParentheses]], 1) = "'", RIGHT(tblPassengerNames[[#This Row],[InParentheses]], 1) = "'"),
    #VALUE!,
    tblPassengerNames[[#This Row],[InParentheses]]
)</f>
        <v>#VALUE!</v>
      </c>
      <c r="M243" t="e">
        <f>LEN(tblPassengerNames[[#This Row],[InParenthesesCleaned]]) - LEN(SUBSTITUTE(tblPassengerNames[[#This Row],[InParenthesesCleaned]], " ", ""))</f>
        <v>#VALUE!</v>
      </c>
      <c r="N243" t="e">
        <f>FIND("@", SUBSTITUTE(tblPassengerNames[[#This Row],[InParenthesesCleaned]], " ", "@", tblPassengerNames[[#This Row],[P_NSpaces]]))</f>
        <v>#VALUE!</v>
      </c>
      <c r="O243" t="e">
        <f>IF(tblPassengerNames[[#This Row],[P_NSpaces]] = 0,
    tblPassengerNames[[#This Row],[InParenthesesCleaned]],
    LEFT(tblPassengerNames[[#This Row],[InParenthesesCleaned]], tblPassengerNames[[#This Row],[P_FinalSpacePos]] - 1)
)</f>
        <v>#VALUE!</v>
      </c>
      <c r="P243" t="str">
        <f>IFERROR(tblPassengerNames[[#This Row],[P_Forenames]], tblPassengerNames[[#This Row],[ConvForenames]])</f>
        <v>Charles Hallace</v>
      </c>
      <c r="Q243" t="str">
        <f>MID(tblPassengerNames[[#This Row],[Name]], tblPassengerNames[[#This Row],[CommaPos]] + 2, tblPassengerNames[[#This Row],[DotPos]] - tblPassengerNames[[#This Row],[CommaPos]] - 1)</f>
        <v>Mr.</v>
      </c>
      <c r="R243" t="str">
        <f>LEFT(tblPassengerNames[[#This Row],[Name]], tblPassengerNames[[#This Row],[CommaPos]] - 1)</f>
        <v>Romaine</v>
      </c>
    </row>
    <row r="244" spans="2:18" x14ac:dyDescent="0.25">
      <c r="B244" s="21">
        <v>242</v>
      </c>
      <c r="C244" s="21" t="s">
        <v>378</v>
      </c>
      <c r="D244" s="21" t="s">
        <v>138</v>
      </c>
      <c r="E244">
        <f>FIND(",", tblPassengerNames[[#This Row],[Name]])</f>
        <v>5</v>
      </c>
      <c r="F244">
        <f>FIND(".", tblPassengerNames[[#This Row],[Name]])</f>
        <v>9</v>
      </c>
      <c r="G244" t="e">
        <f>FIND("(", tblPassengerNames[[#This Row],[Name]])</f>
        <v>#VALUE!</v>
      </c>
      <c r="H244" t="e">
        <f>FIND(")", tblPassengerNames[[#This Row],[Name]])</f>
        <v>#VALUE!</v>
      </c>
      <c r="I244">
        <f>IFERROR(tblPassengerNames[[#This Row],[OpenParPos]] - 2, LEN(tblPassengerNames[[#This Row],[Name]]))</f>
        <v>21</v>
      </c>
      <c r="J244" t="str">
        <f>MID(tblPassengerNames[[#This Row],[Name]], tblPassengerNames[[#This Row],[DotPos]] + 2, tblPassengerNames[[#This Row],[EndOfConvFNPos]] - tblPassengerNames[[#This Row],[DotPos]] - 1)</f>
        <v>Hugh Roscoe</v>
      </c>
      <c r="K244" t="e">
        <f>MID(tblPassengerNames[[#This Row],[Name]], tblPassengerNames[[#This Row],[OpenParPos]] + 1, tblPassengerNames[[#This Row],[CloseParPos]] - tblPassengerNames[[#This Row],[OpenParPos]] - 1)</f>
        <v>#VALUE!</v>
      </c>
      <c r="L244" t="e">
        <f>IF(AND(LEFT(tblPassengerNames[[#This Row],[InParentheses]], 1) = "'", RIGHT(tblPassengerNames[[#This Row],[InParentheses]], 1) = "'"),
    #VALUE!,
    tblPassengerNames[[#This Row],[InParentheses]]
)</f>
        <v>#VALUE!</v>
      </c>
      <c r="M244" t="e">
        <f>LEN(tblPassengerNames[[#This Row],[InParenthesesCleaned]]) - LEN(SUBSTITUTE(tblPassengerNames[[#This Row],[InParenthesesCleaned]], " ", ""))</f>
        <v>#VALUE!</v>
      </c>
      <c r="N244" t="e">
        <f>FIND("@", SUBSTITUTE(tblPassengerNames[[#This Row],[InParenthesesCleaned]], " ", "@", tblPassengerNames[[#This Row],[P_NSpaces]]))</f>
        <v>#VALUE!</v>
      </c>
      <c r="O244" t="e">
        <f>IF(tblPassengerNames[[#This Row],[P_NSpaces]] = 0,
    tblPassengerNames[[#This Row],[InParenthesesCleaned]],
    LEFT(tblPassengerNames[[#This Row],[InParenthesesCleaned]], tblPassengerNames[[#This Row],[P_FinalSpacePos]] - 1)
)</f>
        <v>#VALUE!</v>
      </c>
      <c r="P244" t="str">
        <f>IFERROR(tblPassengerNames[[#This Row],[P_Forenames]], tblPassengerNames[[#This Row],[ConvForenames]])</f>
        <v>Hugh Roscoe</v>
      </c>
      <c r="Q244" t="str">
        <f>MID(tblPassengerNames[[#This Row],[Name]], tblPassengerNames[[#This Row],[CommaPos]] + 2, tblPassengerNames[[#This Row],[DotPos]] - tblPassengerNames[[#This Row],[CommaPos]] - 1)</f>
        <v>Mr.</v>
      </c>
      <c r="R244" t="str">
        <f>LEFT(tblPassengerNames[[#This Row],[Name]], tblPassengerNames[[#This Row],[CommaPos]] - 1)</f>
        <v>Rood</v>
      </c>
    </row>
    <row r="245" spans="2:18" x14ac:dyDescent="0.25">
      <c r="B245" s="21">
        <v>243</v>
      </c>
      <c r="C245" s="21" t="s">
        <v>379</v>
      </c>
      <c r="D245" s="21" t="s">
        <v>136</v>
      </c>
      <c r="E245">
        <f>FIND(",", tblPassengerNames[[#This Row],[Name]])</f>
        <v>10</v>
      </c>
      <c r="F245">
        <f>FIND(".", tblPassengerNames[[#This Row],[Name]])</f>
        <v>16</v>
      </c>
      <c r="G245" t="e">
        <f>FIND("(", tblPassengerNames[[#This Row],[Name]])</f>
        <v>#VALUE!</v>
      </c>
      <c r="H245" t="e">
        <f>FIND(")", tblPassengerNames[[#This Row],[Name]])</f>
        <v>#VALUE!</v>
      </c>
      <c r="I245">
        <f>IFERROR(tblPassengerNames[[#This Row],[OpenParPos]] - 2, LEN(tblPassengerNames[[#This Row],[Name]]))</f>
        <v>29</v>
      </c>
      <c r="J245" t="str">
        <f>MID(tblPassengerNames[[#This Row],[Name]], tblPassengerNames[[#This Row],[DotPos]] + 2, tblPassengerNames[[#This Row],[EndOfConvFNPos]] - tblPassengerNames[[#This Row],[DotPos]] - 1)</f>
        <v>Edith Louise</v>
      </c>
      <c r="K245" t="e">
        <f>MID(tblPassengerNames[[#This Row],[Name]], tblPassengerNames[[#This Row],[OpenParPos]] + 1, tblPassengerNames[[#This Row],[CloseParPos]] - tblPassengerNames[[#This Row],[OpenParPos]] - 1)</f>
        <v>#VALUE!</v>
      </c>
      <c r="L245" t="e">
        <f>IF(AND(LEFT(tblPassengerNames[[#This Row],[InParentheses]], 1) = "'", RIGHT(tblPassengerNames[[#This Row],[InParentheses]], 1) = "'"),
    #VALUE!,
    tblPassengerNames[[#This Row],[InParentheses]]
)</f>
        <v>#VALUE!</v>
      </c>
      <c r="M245" t="e">
        <f>LEN(tblPassengerNames[[#This Row],[InParenthesesCleaned]]) - LEN(SUBSTITUTE(tblPassengerNames[[#This Row],[InParenthesesCleaned]], " ", ""))</f>
        <v>#VALUE!</v>
      </c>
      <c r="N245" t="e">
        <f>FIND("@", SUBSTITUTE(tblPassengerNames[[#This Row],[InParenthesesCleaned]], " ", "@", tblPassengerNames[[#This Row],[P_NSpaces]]))</f>
        <v>#VALUE!</v>
      </c>
      <c r="O245" t="e">
        <f>IF(tblPassengerNames[[#This Row],[P_NSpaces]] = 0,
    tblPassengerNames[[#This Row],[InParenthesesCleaned]],
    LEFT(tblPassengerNames[[#This Row],[InParenthesesCleaned]], tblPassengerNames[[#This Row],[P_FinalSpacePos]] - 1)
)</f>
        <v>#VALUE!</v>
      </c>
      <c r="P245" t="str">
        <f>IFERROR(tblPassengerNames[[#This Row],[P_Forenames]], tblPassengerNames[[#This Row],[ConvForenames]])</f>
        <v>Edith Louise</v>
      </c>
      <c r="Q245" t="str">
        <f>MID(tblPassengerNames[[#This Row],[Name]], tblPassengerNames[[#This Row],[CommaPos]] + 2, tblPassengerNames[[#This Row],[DotPos]] - tblPassengerNames[[#This Row],[CommaPos]] - 1)</f>
        <v>Miss.</v>
      </c>
      <c r="R245" t="str">
        <f>LEFT(tblPassengerNames[[#This Row],[Name]], tblPassengerNames[[#This Row],[CommaPos]] - 1)</f>
        <v>Rosenbaum</v>
      </c>
    </row>
    <row r="246" spans="2:18" x14ac:dyDescent="0.25">
      <c r="B246" s="21">
        <v>244</v>
      </c>
      <c r="C246" s="21" t="s">
        <v>380</v>
      </c>
      <c r="D246" s="21" t="s">
        <v>138</v>
      </c>
      <c r="E246">
        <f>FIND(",", tblPassengerNames[[#This Row],[Name]])</f>
        <v>11</v>
      </c>
      <c r="F246">
        <f>FIND(".", tblPassengerNames[[#This Row],[Name]])</f>
        <v>15</v>
      </c>
      <c r="G246">
        <f>FIND("(", tblPassengerNames[[#This Row],[Name]])</f>
        <v>24</v>
      </c>
      <c r="H246">
        <f>FIND(")", tblPassengerNames[[#This Row],[Name]])</f>
        <v>43</v>
      </c>
      <c r="I246">
        <f>IFERROR(tblPassengerNames[[#This Row],[OpenParPos]] - 2, LEN(tblPassengerNames[[#This Row],[Name]]))</f>
        <v>22</v>
      </c>
      <c r="J246" t="str">
        <f>MID(tblPassengerNames[[#This Row],[Name]], tblPassengerNames[[#This Row],[DotPos]] + 2, tblPassengerNames[[#This Row],[EndOfConvFNPos]] - tblPassengerNames[[#This Row],[DotPos]] - 1)</f>
        <v>George</v>
      </c>
      <c r="K246" t="str">
        <f>MID(tblPassengerNames[[#This Row],[Name]], tblPassengerNames[[#This Row],[OpenParPos]] + 1, tblPassengerNames[[#This Row],[CloseParPos]] - tblPassengerNames[[#This Row],[OpenParPos]] - 1)</f>
        <v>'Mr George Thorne'</v>
      </c>
      <c r="L246" t="e">
        <f>IF(AND(LEFT(tblPassengerNames[[#This Row],[InParentheses]], 1) = "'", RIGHT(tblPassengerNames[[#This Row],[InParentheses]], 1) = "'"),
    #VALUE!,
    tblPassengerNames[[#This Row],[InParentheses]]
)</f>
        <v>#VALUE!</v>
      </c>
      <c r="M246" t="e">
        <f>LEN(tblPassengerNames[[#This Row],[InParenthesesCleaned]]) - LEN(SUBSTITUTE(tblPassengerNames[[#This Row],[InParenthesesCleaned]], " ", ""))</f>
        <v>#VALUE!</v>
      </c>
      <c r="N246" t="e">
        <f>FIND("@", SUBSTITUTE(tblPassengerNames[[#This Row],[InParenthesesCleaned]], " ", "@", tblPassengerNames[[#This Row],[P_NSpaces]]))</f>
        <v>#VALUE!</v>
      </c>
      <c r="O246" t="e">
        <f>IF(tblPassengerNames[[#This Row],[P_NSpaces]] = 0,
    tblPassengerNames[[#This Row],[InParenthesesCleaned]],
    LEFT(tblPassengerNames[[#This Row],[InParenthesesCleaned]], tblPassengerNames[[#This Row],[P_FinalSpacePos]] - 1)
)</f>
        <v>#VALUE!</v>
      </c>
      <c r="P246" t="str">
        <f>IFERROR(tblPassengerNames[[#This Row],[P_Forenames]], tblPassengerNames[[#This Row],[ConvForenames]])</f>
        <v>George</v>
      </c>
      <c r="Q246" t="str">
        <f>MID(tblPassengerNames[[#This Row],[Name]], tblPassengerNames[[#This Row],[CommaPos]] + 2, tblPassengerNames[[#This Row],[DotPos]] - tblPassengerNames[[#This Row],[CommaPos]] - 1)</f>
        <v>Mr.</v>
      </c>
      <c r="R246" t="str">
        <f>LEFT(tblPassengerNames[[#This Row],[Name]], tblPassengerNames[[#This Row],[CommaPos]] - 1)</f>
        <v>Rosenshine</v>
      </c>
    </row>
    <row r="247" spans="2:18" x14ac:dyDescent="0.25">
      <c r="B247" s="21">
        <v>245</v>
      </c>
      <c r="C247" s="21" t="s">
        <v>381</v>
      </c>
      <c r="D247" s="21" t="s">
        <v>138</v>
      </c>
      <c r="E247">
        <f>FIND(",", tblPassengerNames[[#This Row],[Name]])</f>
        <v>5</v>
      </c>
      <c r="F247">
        <f>FIND(".", tblPassengerNames[[#This Row],[Name]])</f>
        <v>9</v>
      </c>
      <c r="G247" t="e">
        <f>FIND("(", tblPassengerNames[[#This Row],[Name]])</f>
        <v>#VALUE!</v>
      </c>
      <c r="H247" t="e">
        <f>FIND(")", tblPassengerNames[[#This Row],[Name]])</f>
        <v>#VALUE!</v>
      </c>
      <c r="I247">
        <f>IFERROR(tblPassengerNames[[#This Row],[OpenParPos]] - 2, LEN(tblPassengerNames[[#This Row],[Name]]))</f>
        <v>19</v>
      </c>
      <c r="J247" t="str">
        <f>MID(tblPassengerNames[[#This Row],[Name]], tblPassengerNames[[#This Row],[DotPos]] + 2, tblPassengerNames[[#This Row],[EndOfConvFNPos]] - tblPassengerNames[[#This Row],[DotPos]] - 1)</f>
        <v>John Hugo</v>
      </c>
      <c r="K247" t="e">
        <f>MID(tblPassengerNames[[#This Row],[Name]], tblPassengerNames[[#This Row],[OpenParPos]] + 1, tblPassengerNames[[#This Row],[CloseParPos]] - tblPassengerNames[[#This Row],[OpenParPos]] - 1)</f>
        <v>#VALUE!</v>
      </c>
      <c r="L247" t="e">
        <f>IF(AND(LEFT(tblPassengerNames[[#This Row],[InParentheses]], 1) = "'", RIGHT(tblPassengerNames[[#This Row],[InParentheses]], 1) = "'"),
    #VALUE!,
    tblPassengerNames[[#This Row],[InParentheses]]
)</f>
        <v>#VALUE!</v>
      </c>
      <c r="M247" t="e">
        <f>LEN(tblPassengerNames[[#This Row],[InParenthesesCleaned]]) - LEN(SUBSTITUTE(tblPassengerNames[[#This Row],[InParenthesesCleaned]], " ", ""))</f>
        <v>#VALUE!</v>
      </c>
      <c r="N247" t="e">
        <f>FIND("@", SUBSTITUTE(tblPassengerNames[[#This Row],[InParenthesesCleaned]], " ", "@", tblPassengerNames[[#This Row],[P_NSpaces]]))</f>
        <v>#VALUE!</v>
      </c>
      <c r="O247" t="e">
        <f>IF(tblPassengerNames[[#This Row],[P_NSpaces]] = 0,
    tblPassengerNames[[#This Row],[InParenthesesCleaned]],
    LEFT(tblPassengerNames[[#This Row],[InParenthesesCleaned]], tblPassengerNames[[#This Row],[P_FinalSpacePos]] - 1)
)</f>
        <v>#VALUE!</v>
      </c>
      <c r="P247" t="str">
        <f>IFERROR(tblPassengerNames[[#This Row],[P_Forenames]], tblPassengerNames[[#This Row],[ConvForenames]])</f>
        <v>John Hugo</v>
      </c>
      <c r="Q247" t="str">
        <f>MID(tblPassengerNames[[#This Row],[Name]], tblPassengerNames[[#This Row],[CommaPos]] + 2, tblPassengerNames[[#This Row],[DotPos]] - tblPassengerNames[[#This Row],[CommaPos]] - 1)</f>
        <v>Mr.</v>
      </c>
      <c r="R247" t="str">
        <f>LEFT(tblPassengerNames[[#This Row],[Name]], tblPassengerNames[[#This Row],[CommaPos]] - 1)</f>
        <v>Ross</v>
      </c>
    </row>
    <row r="248" spans="2:18" x14ac:dyDescent="0.25">
      <c r="B248" s="21">
        <v>246</v>
      </c>
      <c r="C248" s="21" t="s">
        <v>382</v>
      </c>
      <c r="D248" s="21" t="s">
        <v>136</v>
      </c>
      <c r="E248">
        <f>FIND(",", tblPassengerNames[[#This Row],[Name]])</f>
        <v>7</v>
      </c>
      <c r="F248">
        <f>FIND(".", tblPassengerNames[[#This Row],[Name]])</f>
        <v>21</v>
      </c>
      <c r="G248">
        <f>FIND("(", tblPassengerNames[[#This Row],[Name]])</f>
        <v>26</v>
      </c>
      <c r="H248">
        <f>FIND(")", tblPassengerNames[[#This Row],[Name]])</f>
        <v>56</v>
      </c>
      <c r="I248">
        <f>IFERROR(tblPassengerNames[[#This Row],[OpenParPos]] - 2, LEN(tblPassengerNames[[#This Row],[Name]]))</f>
        <v>24</v>
      </c>
      <c r="J248" t="str">
        <f>MID(tblPassengerNames[[#This Row],[Name]], tblPassengerNames[[#This Row],[DotPos]] + 2, tblPassengerNames[[#This Row],[EndOfConvFNPos]] - tblPassengerNames[[#This Row],[DotPos]] - 1)</f>
        <v>of</v>
      </c>
      <c r="K248" t="str">
        <f>MID(tblPassengerNames[[#This Row],[Name]], tblPassengerNames[[#This Row],[OpenParPos]] + 1, tblPassengerNames[[#This Row],[CloseParPos]] - tblPassengerNames[[#This Row],[OpenParPos]] - 1)</f>
        <v>Lucy Noel Martha Dyer-Edwards</v>
      </c>
      <c r="L248" t="str">
        <f>IF(AND(LEFT(tblPassengerNames[[#This Row],[InParentheses]], 1) = "'", RIGHT(tblPassengerNames[[#This Row],[InParentheses]], 1) = "'"),
    #VALUE!,
    tblPassengerNames[[#This Row],[InParentheses]]
)</f>
        <v>Lucy Noel Martha Dyer-Edwards</v>
      </c>
      <c r="M248">
        <f>LEN(tblPassengerNames[[#This Row],[InParenthesesCleaned]]) - LEN(SUBSTITUTE(tblPassengerNames[[#This Row],[InParenthesesCleaned]], " ", ""))</f>
        <v>3</v>
      </c>
      <c r="N248">
        <f>FIND("@", SUBSTITUTE(tblPassengerNames[[#This Row],[InParenthesesCleaned]], " ", "@", tblPassengerNames[[#This Row],[P_NSpaces]]))</f>
        <v>17</v>
      </c>
      <c r="O248" t="str">
        <f>IF(tblPassengerNames[[#This Row],[P_NSpaces]] = 0,
    tblPassengerNames[[#This Row],[InParenthesesCleaned]],
    LEFT(tblPassengerNames[[#This Row],[InParenthesesCleaned]], tblPassengerNames[[#This Row],[P_FinalSpacePos]] - 1)
)</f>
        <v>Lucy Noel Martha</v>
      </c>
      <c r="P248" t="str">
        <f>IFERROR(tblPassengerNames[[#This Row],[P_Forenames]], tblPassengerNames[[#This Row],[ConvForenames]])</f>
        <v>Lucy Noel Martha</v>
      </c>
      <c r="Q248" t="str">
        <f>MID(tblPassengerNames[[#This Row],[Name]], tblPassengerNames[[#This Row],[CommaPos]] + 2, tblPassengerNames[[#This Row],[DotPos]] - tblPassengerNames[[#This Row],[CommaPos]] - 1)</f>
        <v>the Countess.</v>
      </c>
      <c r="R248" t="str">
        <f>LEFT(tblPassengerNames[[#This Row],[Name]], tblPassengerNames[[#This Row],[CommaPos]] - 1)</f>
        <v>Rothes</v>
      </c>
    </row>
    <row r="249" spans="2:18" x14ac:dyDescent="0.25">
      <c r="B249" s="21">
        <v>247</v>
      </c>
      <c r="C249" s="21" t="s">
        <v>383</v>
      </c>
      <c r="D249" s="21" t="s">
        <v>138</v>
      </c>
      <c r="E249">
        <f>FIND(",", tblPassengerNames[[#This Row],[Name]])</f>
        <v>11</v>
      </c>
      <c r="F249">
        <f>FIND(".", tblPassengerNames[[#This Row],[Name]])</f>
        <v>15</v>
      </c>
      <c r="G249" t="e">
        <f>FIND("(", tblPassengerNames[[#This Row],[Name]])</f>
        <v>#VALUE!</v>
      </c>
      <c r="H249" t="e">
        <f>FIND(")", tblPassengerNames[[#This Row],[Name]])</f>
        <v>#VALUE!</v>
      </c>
      <c r="I249">
        <f>IFERROR(tblPassengerNames[[#This Row],[OpenParPos]] - 2, LEN(tblPassengerNames[[#This Row],[Name]]))</f>
        <v>22</v>
      </c>
      <c r="J249" t="str">
        <f>MID(tblPassengerNames[[#This Row],[Name]], tblPassengerNames[[#This Row],[DotPos]] + 2, tblPassengerNames[[#This Row],[EndOfConvFNPos]] - tblPassengerNames[[#This Row],[DotPos]] - 1)</f>
        <v>Martin</v>
      </c>
      <c r="K249" t="e">
        <f>MID(tblPassengerNames[[#This Row],[Name]], tblPassengerNames[[#This Row],[OpenParPos]] + 1, tblPassengerNames[[#This Row],[CloseParPos]] - tblPassengerNames[[#This Row],[OpenParPos]] - 1)</f>
        <v>#VALUE!</v>
      </c>
      <c r="L249" t="e">
        <f>IF(AND(LEFT(tblPassengerNames[[#This Row],[InParentheses]], 1) = "'", RIGHT(tblPassengerNames[[#This Row],[InParentheses]], 1) = "'"),
    #VALUE!,
    tblPassengerNames[[#This Row],[InParentheses]]
)</f>
        <v>#VALUE!</v>
      </c>
      <c r="M249" t="e">
        <f>LEN(tblPassengerNames[[#This Row],[InParenthesesCleaned]]) - LEN(SUBSTITUTE(tblPassengerNames[[#This Row],[InParenthesesCleaned]], " ", ""))</f>
        <v>#VALUE!</v>
      </c>
      <c r="N249" t="e">
        <f>FIND("@", SUBSTITUTE(tblPassengerNames[[#This Row],[InParenthesesCleaned]], " ", "@", tblPassengerNames[[#This Row],[P_NSpaces]]))</f>
        <v>#VALUE!</v>
      </c>
      <c r="O249" t="e">
        <f>IF(tblPassengerNames[[#This Row],[P_NSpaces]] = 0,
    tblPassengerNames[[#This Row],[InParenthesesCleaned]],
    LEFT(tblPassengerNames[[#This Row],[InParenthesesCleaned]], tblPassengerNames[[#This Row],[P_FinalSpacePos]] - 1)
)</f>
        <v>#VALUE!</v>
      </c>
      <c r="P249" t="str">
        <f>IFERROR(tblPassengerNames[[#This Row],[P_Forenames]], tblPassengerNames[[#This Row],[ConvForenames]])</f>
        <v>Martin</v>
      </c>
      <c r="Q249" t="str">
        <f>MID(tblPassengerNames[[#This Row],[Name]], tblPassengerNames[[#This Row],[CommaPos]] + 2, tblPassengerNames[[#This Row],[DotPos]] - tblPassengerNames[[#This Row],[CommaPos]] - 1)</f>
        <v>Mr.</v>
      </c>
      <c r="R249" t="str">
        <f>LEFT(tblPassengerNames[[#This Row],[Name]], tblPassengerNames[[#This Row],[CommaPos]] - 1)</f>
        <v>Rothschild</v>
      </c>
    </row>
    <row r="250" spans="2:18" x14ac:dyDescent="0.25">
      <c r="B250" s="21">
        <v>248</v>
      </c>
      <c r="C250" s="21" t="s">
        <v>384</v>
      </c>
      <c r="D250" s="21" t="s">
        <v>136</v>
      </c>
      <c r="E250">
        <f>FIND(",", tblPassengerNames[[#This Row],[Name]])</f>
        <v>11</v>
      </c>
      <c r="F250">
        <f>FIND(".", tblPassengerNames[[#This Row],[Name]])</f>
        <v>16</v>
      </c>
      <c r="G250">
        <f>FIND("(", tblPassengerNames[[#This Row],[Name]])</f>
        <v>25</v>
      </c>
      <c r="H250">
        <f>FIND(")", tblPassengerNames[[#This Row],[Name]])</f>
        <v>46</v>
      </c>
      <c r="I250">
        <f>IFERROR(tblPassengerNames[[#This Row],[OpenParPos]] - 2, LEN(tblPassengerNames[[#This Row],[Name]]))</f>
        <v>23</v>
      </c>
      <c r="J250" t="str">
        <f>MID(tblPassengerNames[[#This Row],[Name]], tblPassengerNames[[#This Row],[DotPos]] + 2, tblPassengerNames[[#This Row],[EndOfConvFNPos]] - tblPassengerNames[[#This Row],[DotPos]] - 1)</f>
        <v>Martin</v>
      </c>
      <c r="K250" t="str">
        <f>MID(tblPassengerNames[[#This Row],[Name]], tblPassengerNames[[#This Row],[OpenParPos]] + 1, tblPassengerNames[[#This Row],[CloseParPos]] - tblPassengerNames[[#This Row],[OpenParPos]] - 1)</f>
        <v>Elizabeth L. Barrett</v>
      </c>
      <c r="L250" t="str">
        <f>IF(AND(LEFT(tblPassengerNames[[#This Row],[InParentheses]], 1) = "'", RIGHT(tblPassengerNames[[#This Row],[InParentheses]], 1) = "'"),
    #VALUE!,
    tblPassengerNames[[#This Row],[InParentheses]]
)</f>
        <v>Elizabeth L. Barrett</v>
      </c>
      <c r="M250">
        <f>LEN(tblPassengerNames[[#This Row],[InParenthesesCleaned]]) - LEN(SUBSTITUTE(tblPassengerNames[[#This Row],[InParenthesesCleaned]], " ", ""))</f>
        <v>2</v>
      </c>
      <c r="N250">
        <f>FIND("@", SUBSTITUTE(tblPassengerNames[[#This Row],[InParenthesesCleaned]], " ", "@", tblPassengerNames[[#This Row],[P_NSpaces]]))</f>
        <v>13</v>
      </c>
      <c r="O250" t="str">
        <f>IF(tblPassengerNames[[#This Row],[P_NSpaces]] = 0,
    tblPassengerNames[[#This Row],[InParenthesesCleaned]],
    LEFT(tblPassengerNames[[#This Row],[InParenthesesCleaned]], tblPassengerNames[[#This Row],[P_FinalSpacePos]] - 1)
)</f>
        <v>Elizabeth L.</v>
      </c>
      <c r="P250" t="str">
        <f>IFERROR(tblPassengerNames[[#This Row],[P_Forenames]], tblPassengerNames[[#This Row],[ConvForenames]])</f>
        <v>Elizabeth L.</v>
      </c>
      <c r="Q250" t="str">
        <f>MID(tblPassengerNames[[#This Row],[Name]], tblPassengerNames[[#This Row],[CommaPos]] + 2, tblPassengerNames[[#This Row],[DotPos]] - tblPassengerNames[[#This Row],[CommaPos]] - 1)</f>
        <v>Mrs.</v>
      </c>
      <c r="R250" t="str">
        <f>LEFT(tblPassengerNames[[#This Row],[Name]], tblPassengerNames[[#This Row],[CommaPos]] - 1)</f>
        <v>Rothschild</v>
      </c>
    </row>
    <row r="251" spans="2:18" x14ac:dyDescent="0.25">
      <c r="B251" s="21">
        <v>249</v>
      </c>
      <c r="C251" s="21" t="s">
        <v>385</v>
      </c>
      <c r="D251" s="21" t="s">
        <v>138</v>
      </c>
      <c r="E251">
        <f>FIND(",", tblPassengerNames[[#This Row],[Name]])</f>
        <v>5</v>
      </c>
      <c r="F251">
        <f>FIND(".", tblPassengerNames[[#This Row],[Name]])</f>
        <v>9</v>
      </c>
      <c r="G251" t="e">
        <f>FIND("(", tblPassengerNames[[#This Row],[Name]])</f>
        <v>#VALUE!</v>
      </c>
      <c r="H251" t="e">
        <f>FIND(")", tblPassengerNames[[#This Row],[Name]])</f>
        <v>#VALUE!</v>
      </c>
      <c r="I251">
        <f>IFERROR(tblPassengerNames[[#This Row],[OpenParPos]] - 2, LEN(tblPassengerNames[[#This Row],[Name]]))</f>
        <v>18</v>
      </c>
      <c r="J251" t="str">
        <f>MID(tblPassengerNames[[#This Row],[Name]], tblPassengerNames[[#This Row],[DotPos]] + 2, tblPassengerNames[[#This Row],[EndOfConvFNPos]] - tblPassengerNames[[#This Row],[DotPos]] - 1)</f>
        <v>Alfred G</v>
      </c>
      <c r="K251" t="e">
        <f>MID(tblPassengerNames[[#This Row],[Name]], tblPassengerNames[[#This Row],[OpenParPos]] + 1, tblPassengerNames[[#This Row],[CloseParPos]] - tblPassengerNames[[#This Row],[OpenParPos]] - 1)</f>
        <v>#VALUE!</v>
      </c>
      <c r="L251" t="e">
        <f>IF(AND(LEFT(tblPassengerNames[[#This Row],[InParentheses]], 1) = "'", RIGHT(tblPassengerNames[[#This Row],[InParentheses]], 1) = "'"),
    #VALUE!,
    tblPassengerNames[[#This Row],[InParentheses]]
)</f>
        <v>#VALUE!</v>
      </c>
      <c r="M251" t="e">
        <f>LEN(tblPassengerNames[[#This Row],[InParenthesesCleaned]]) - LEN(SUBSTITUTE(tblPassengerNames[[#This Row],[InParenthesesCleaned]], " ", ""))</f>
        <v>#VALUE!</v>
      </c>
      <c r="N251" t="e">
        <f>FIND("@", SUBSTITUTE(tblPassengerNames[[#This Row],[InParenthesesCleaned]], " ", "@", tblPassengerNames[[#This Row],[P_NSpaces]]))</f>
        <v>#VALUE!</v>
      </c>
      <c r="O251" t="e">
        <f>IF(tblPassengerNames[[#This Row],[P_NSpaces]] = 0,
    tblPassengerNames[[#This Row],[InParenthesesCleaned]],
    LEFT(tblPassengerNames[[#This Row],[InParenthesesCleaned]], tblPassengerNames[[#This Row],[P_FinalSpacePos]] - 1)
)</f>
        <v>#VALUE!</v>
      </c>
      <c r="P251" t="str">
        <f>IFERROR(tblPassengerNames[[#This Row],[P_Forenames]], tblPassengerNames[[#This Row],[ConvForenames]])</f>
        <v>Alfred G</v>
      </c>
      <c r="Q251" t="str">
        <f>MID(tblPassengerNames[[#This Row],[Name]], tblPassengerNames[[#This Row],[CommaPos]] + 2, tblPassengerNames[[#This Row],[DotPos]] - tblPassengerNames[[#This Row],[CommaPos]] - 1)</f>
        <v>Mr.</v>
      </c>
      <c r="R251" t="str">
        <f>LEFT(tblPassengerNames[[#This Row],[Name]], tblPassengerNames[[#This Row],[CommaPos]] - 1)</f>
        <v>Rowe</v>
      </c>
    </row>
    <row r="252" spans="2:18" x14ac:dyDescent="0.25">
      <c r="B252" s="21">
        <v>250</v>
      </c>
      <c r="C252" s="21" t="s">
        <v>386</v>
      </c>
      <c r="D252" s="21" t="s">
        <v>138</v>
      </c>
      <c r="E252">
        <f>FIND(",", tblPassengerNames[[#This Row],[Name]])</f>
        <v>8</v>
      </c>
      <c r="F252">
        <f>FIND(".", tblPassengerNames[[#This Row],[Name]])</f>
        <v>16</v>
      </c>
      <c r="G252" t="e">
        <f>FIND("(", tblPassengerNames[[#This Row],[Name]])</f>
        <v>#VALUE!</v>
      </c>
      <c r="H252" t="e">
        <f>FIND(")", tblPassengerNames[[#This Row],[Name]])</f>
        <v>#VALUE!</v>
      </c>
      <c r="I252">
        <f>IFERROR(tblPassengerNames[[#This Row],[OpenParPos]] - 2, LEN(tblPassengerNames[[#This Row],[Name]]))</f>
        <v>27</v>
      </c>
      <c r="J252" t="str">
        <f>MID(tblPassengerNames[[#This Row],[Name]], tblPassengerNames[[#This Row],[DotPos]] + 2, tblPassengerNames[[#This Row],[EndOfConvFNPos]] - tblPassengerNames[[#This Row],[DotPos]] - 1)</f>
        <v>John Borie</v>
      </c>
      <c r="K252" t="e">
        <f>MID(tblPassengerNames[[#This Row],[Name]], tblPassengerNames[[#This Row],[OpenParPos]] + 1, tblPassengerNames[[#This Row],[CloseParPos]] - tblPassengerNames[[#This Row],[OpenParPos]] - 1)</f>
        <v>#VALUE!</v>
      </c>
      <c r="L252" t="e">
        <f>IF(AND(LEFT(tblPassengerNames[[#This Row],[InParentheses]], 1) = "'", RIGHT(tblPassengerNames[[#This Row],[InParentheses]], 1) = "'"),
    #VALUE!,
    tblPassengerNames[[#This Row],[InParentheses]]
)</f>
        <v>#VALUE!</v>
      </c>
      <c r="M252" t="e">
        <f>LEN(tblPassengerNames[[#This Row],[InParenthesesCleaned]]) - LEN(SUBSTITUTE(tblPassengerNames[[#This Row],[InParenthesesCleaned]], " ", ""))</f>
        <v>#VALUE!</v>
      </c>
      <c r="N252" t="e">
        <f>FIND("@", SUBSTITUTE(tblPassengerNames[[#This Row],[InParenthesesCleaned]], " ", "@", tblPassengerNames[[#This Row],[P_NSpaces]]))</f>
        <v>#VALUE!</v>
      </c>
      <c r="O252" t="e">
        <f>IF(tblPassengerNames[[#This Row],[P_NSpaces]] = 0,
    tblPassengerNames[[#This Row],[InParenthesesCleaned]],
    LEFT(tblPassengerNames[[#This Row],[InParenthesesCleaned]], tblPassengerNames[[#This Row],[P_FinalSpacePos]] - 1)
)</f>
        <v>#VALUE!</v>
      </c>
      <c r="P252" t="str">
        <f>IFERROR(tblPassengerNames[[#This Row],[P_Forenames]], tblPassengerNames[[#This Row],[ConvForenames]])</f>
        <v>John Borie</v>
      </c>
      <c r="Q252" t="str">
        <f>MID(tblPassengerNames[[#This Row],[Name]], tblPassengerNames[[#This Row],[CommaPos]] + 2, tblPassengerNames[[#This Row],[DotPos]] - tblPassengerNames[[#This Row],[CommaPos]] - 1)</f>
        <v>Master.</v>
      </c>
      <c r="R252" t="str">
        <f>LEFT(tblPassengerNames[[#This Row],[Name]], tblPassengerNames[[#This Row],[CommaPos]] - 1)</f>
        <v>Ryerson</v>
      </c>
    </row>
    <row r="253" spans="2:18" x14ac:dyDescent="0.25">
      <c r="B253" s="21">
        <v>251</v>
      </c>
      <c r="C253" s="21" t="s">
        <v>387</v>
      </c>
      <c r="D253" s="21" t="s">
        <v>136</v>
      </c>
      <c r="E253">
        <f>FIND(",", tblPassengerNames[[#This Row],[Name]])</f>
        <v>8</v>
      </c>
      <c r="F253">
        <f>FIND(".", tblPassengerNames[[#This Row],[Name]])</f>
        <v>14</v>
      </c>
      <c r="G253" t="e">
        <f>FIND("(", tblPassengerNames[[#This Row],[Name]])</f>
        <v>#VALUE!</v>
      </c>
      <c r="H253" t="e">
        <f>FIND(")", tblPassengerNames[[#This Row],[Name]])</f>
        <v>#VALUE!</v>
      </c>
      <c r="I253">
        <f>IFERROR(tblPassengerNames[[#This Row],[OpenParPos]] - 2, LEN(tblPassengerNames[[#This Row],[Name]]))</f>
        <v>26</v>
      </c>
      <c r="J253" t="str">
        <f>MID(tblPassengerNames[[#This Row],[Name]], tblPassengerNames[[#This Row],[DotPos]] + 2, tblPassengerNames[[#This Row],[EndOfConvFNPos]] - tblPassengerNames[[#This Row],[DotPos]] - 1)</f>
        <v>Emily Borie</v>
      </c>
      <c r="K253" t="e">
        <f>MID(tblPassengerNames[[#This Row],[Name]], tblPassengerNames[[#This Row],[OpenParPos]] + 1, tblPassengerNames[[#This Row],[CloseParPos]] - tblPassengerNames[[#This Row],[OpenParPos]] - 1)</f>
        <v>#VALUE!</v>
      </c>
      <c r="L253" t="e">
        <f>IF(AND(LEFT(tblPassengerNames[[#This Row],[InParentheses]], 1) = "'", RIGHT(tblPassengerNames[[#This Row],[InParentheses]], 1) = "'"),
    #VALUE!,
    tblPassengerNames[[#This Row],[InParentheses]]
)</f>
        <v>#VALUE!</v>
      </c>
      <c r="M253" t="e">
        <f>LEN(tblPassengerNames[[#This Row],[InParenthesesCleaned]]) - LEN(SUBSTITUTE(tblPassengerNames[[#This Row],[InParenthesesCleaned]], " ", ""))</f>
        <v>#VALUE!</v>
      </c>
      <c r="N253" t="e">
        <f>FIND("@", SUBSTITUTE(tblPassengerNames[[#This Row],[InParenthesesCleaned]], " ", "@", tblPassengerNames[[#This Row],[P_NSpaces]]))</f>
        <v>#VALUE!</v>
      </c>
      <c r="O253" t="e">
        <f>IF(tblPassengerNames[[#This Row],[P_NSpaces]] = 0,
    tblPassengerNames[[#This Row],[InParenthesesCleaned]],
    LEFT(tblPassengerNames[[#This Row],[InParenthesesCleaned]], tblPassengerNames[[#This Row],[P_FinalSpacePos]] - 1)
)</f>
        <v>#VALUE!</v>
      </c>
      <c r="P253" t="str">
        <f>IFERROR(tblPassengerNames[[#This Row],[P_Forenames]], tblPassengerNames[[#This Row],[ConvForenames]])</f>
        <v>Emily Borie</v>
      </c>
      <c r="Q253" t="str">
        <f>MID(tblPassengerNames[[#This Row],[Name]], tblPassengerNames[[#This Row],[CommaPos]] + 2, tblPassengerNames[[#This Row],[DotPos]] - tblPassengerNames[[#This Row],[CommaPos]] - 1)</f>
        <v>Miss.</v>
      </c>
      <c r="R253" t="str">
        <f>LEFT(tblPassengerNames[[#This Row],[Name]], tblPassengerNames[[#This Row],[CommaPos]] - 1)</f>
        <v>Ryerson</v>
      </c>
    </row>
    <row r="254" spans="2:18" x14ac:dyDescent="0.25">
      <c r="B254" s="21">
        <v>252</v>
      </c>
      <c r="C254" s="21" t="s">
        <v>388</v>
      </c>
      <c r="D254" s="21" t="s">
        <v>136</v>
      </c>
      <c r="E254">
        <f>FIND(",", tblPassengerNames[[#This Row],[Name]])</f>
        <v>8</v>
      </c>
      <c r="F254">
        <f>FIND(".", tblPassengerNames[[#This Row],[Name]])</f>
        <v>14</v>
      </c>
      <c r="G254" t="e">
        <f>FIND("(", tblPassengerNames[[#This Row],[Name]])</f>
        <v>#VALUE!</v>
      </c>
      <c r="H254" t="e">
        <f>FIND(")", tblPassengerNames[[#This Row],[Name]])</f>
        <v>#VALUE!</v>
      </c>
      <c r="I254">
        <f>IFERROR(tblPassengerNames[[#This Row],[OpenParPos]] - 2, LEN(tblPassengerNames[[#This Row],[Name]]))</f>
        <v>37</v>
      </c>
      <c r="J254" t="str">
        <f>MID(tblPassengerNames[[#This Row],[Name]], tblPassengerNames[[#This Row],[DotPos]] + 2, tblPassengerNames[[#This Row],[EndOfConvFNPos]] - tblPassengerNames[[#This Row],[DotPos]] - 1)</f>
        <v>Susan Parker 'Suzette'</v>
      </c>
      <c r="K254" t="e">
        <f>MID(tblPassengerNames[[#This Row],[Name]], tblPassengerNames[[#This Row],[OpenParPos]] + 1, tblPassengerNames[[#This Row],[CloseParPos]] - tblPassengerNames[[#This Row],[OpenParPos]] - 1)</f>
        <v>#VALUE!</v>
      </c>
      <c r="L254" t="e">
        <f>IF(AND(LEFT(tblPassengerNames[[#This Row],[InParentheses]], 1) = "'", RIGHT(tblPassengerNames[[#This Row],[InParentheses]], 1) = "'"),
    #VALUE!,
    tblPassengerNames[[#This Row],[InParentheses]]
)</f>
        <v>#VALUE!</v>
      </c>
      <c r="M254" t="e">
        <f>LEN(tblPassengerNames[[#This Row],[InParenthesesCleaned]]) - LEN(SUBSTITUTE(tblPassengerNames[[#This Row],[InParenthesesCleaned]], " ", ""))</f>
        <v>#VALUE!</v>
      </c>
      <c r="N254" t="e">
        <f>FIND("@", SUBSTITUTE(tblPassengerNames[[#This Row],[InParenthesesCleaned]], " ", "@", tblPassengerNames[[#This Row],[P_NSpaces]]))</f>
        <v>#VALUE!</v>
      </c>
      <c r="O254" t="e">
        <f>IF(tblPassengerNames[[#This Row],[P_NSpaces]] = 0,
    tblPassengerNames[[#This Row],[InParenthesesCleaned]],
    LEFT(tblPassengerNames[[#This Row],[InParenthesesCleaned]], tblPassengerNames[[#This Row],[P_FinalSpacePos]] - 1)
)</f>
        <v>#VALUE!</v>
      </c>
      <c r="P254" t="str">
        <f>IFERROR(tblPassengerNames[[#This Row],[P_Forenames]], tblPassengerNames[[#This Row],[ConvForenames]])</f>
        <v>Susan Parker 'Suzette'</v>
      </c>
      <c r="Q254" t="str">
        <f>MID(tblPassengerNames[[#This Row],[Name]], tblPassengerNames[[#This Row],[CommaPos]] + 2, tblPassengerNames[[#This Row],[DotPos]] - tblPassengerNames[[#This Row],[CommaPos]] - 1)</f>
        <v>Miss.</v>
      </c>
      <c r="R254" t="str">
        <f>LEFT(tblPassengerNames[[#This Row],[Name]], tblPassengerNames[[#This Row],[CommaPos]] - 1)</f>
        <v>Ryerson</v>
      </c>
    </row>
    <row r="255" spans="2:18" x14ac:dyDescent="0.25">
      <c r="B255" s="21">
        <v>253</v>
      </c>
      <c r="C255" s="21" t="s">
        <v>389</v>
      </c>
      <c r="D255" s="21" t="s">
        <v>138</v>
      </c>
      <c r="E255">
        <f>FIND(",", tblPassengerNames[[#This Row],[Name]])</f>
        <v>8</v>
      </c>
      <c r="F255">
        <f>FIND(".", tblPassengerNames[[#This Row],[Name]])</f>
        <v>12</v>
      </c>
      <c r="G255" t="e">
        <f>FIND("(", tblPassengerNames[[#This Row],[Name]])</f>
        <v>#VALUE!</v>
      </c>
      <c r="H255" t="e">
        <f>FIND(")", tblPassengerNames[[#This Row],[Name]])</f>
        <v>#VALUE!</v>
      </c>
      <c r="I255">
        <f>IFERROR(tblPassengerNames[[#This Row],[OpenParPos]] - 2, LEN(tblPassengerNames[[#This Row],[Name]]))</f>
        <v>26</v>
      </c>
      <c r="J255" t="str">
        <f>MID(tblPassengerNames[[#This Row],[Name]], tblPassengerNames[[#This Row],[DotPos]] + 2, tblPassengerNames[[#This Row],[EndOfConvFNPos]] - tblPassengerNames[[#This Row],[DotPos]] - 1)</f>
        <v>Arthur Larned</v>
      </c>
      <c r="K255" t="e">
        <f>MID(tblPassengerNames[[#This Row],[Name]], tblPassengerNames[[#This Row],[OpenParPos]] + 1, tblPassengerNames[[#This Row],[CloseParPos]] - tblPassengerNames[[#This Row],[OpenParPos]] - 1)</f>
        <v>#VALUE!</v>
      </c>
      <c r="L255" t="e">
        <f>IF(AND(LEFT(tblPassengerNames[[#This Row],[InParentheses]], 1) = "'", RIGHT(tblPassengerNames[[#This Row],[InParentheses]], 1) = "'"),
    #VALUE!,
    tblPassengerNames[[#This Row],[InParentheses]]
)</f>
        <v>#VALUE!</v>
      </c>
      <c r="M255" t="e">
        <f>LEN(tblPassengerNames[[#This Row],[InParenthesesCleaned]]) - LEN(SUBSTITUTE(tblPassengerNames[[#This Row],[InParenthesesCleaned]], " ", ""))</f>
        <v>#VALUE!</v>
      </c>
      <c r="N255" t="e">
        <f>FIND("@", SUBSTITUTE(tblPassengerNames[[#This Row],[InParenthesesCleaned]], " ", "@", tblPassengerNames[[#This Row],[P_NSpaces]]))</f>
        <v>#VALUE!</v>
      </c>
      <c r="O255" t="e">
        <f>IF(tblPassengerNames[[#This Row],[P_NSpaces]] = 0,
    tblPassengerNames[[#This Row],[InParenthesesCleaned]],
    LEFT(tblPassengerNames[[#This Row],[InParenthesesCleaned]], tblPassengerNames[[#This Row],[P_FinalSpacePos]] - 1)
)</f>
        <v>#VALUE!</v>
      </c>
      <c r="P255" t="str">
        <f>IFERROR(tblPassengerNames[[#This Row],[P_Forenames]], tblPassengerNames[[#This Row],[ConvForenames]])</f>
        <v>Arthur Larned</v>
      </c>
      <c r="Q255" t="str">
        <f>MID(tblPassengerNames[[#This Row],[Name]], tblPassengerNames[[#This Row],[CommaPos]] + 2, tblPassengerNames[[#This Row],[DotPos]] - tblPassengerNames[[#This Row],[CommaPos]] - 1)</f>
        <v>Mr.</v>
      </c>
      <c r="R255" t="str">
        <f>LEFT(tblPassengerNames[[#This Row],[Name]], tblPassengerNames[[#This Row],[CommaPos]] - 1)</f>
        <v>Ryerson</v>
      </c>
    </row>
    <row r="256" spans="2:18" x14ac:dyDescent="0.25">
      <c r="B256" s="21">
        <v>254</v>
      </c>
      <c r="C256" s="21" t="s">
        <v>390</v>
      </c>
      <c r="D256" s="21" t="s">
        <v>136</v>
      </c>
      <c r="E256">
        <f>FIND(",", tblPassengerNames[[#This Row],[Name]])</f>
        <v>8</v>
      </c>
      <c r="F256">
        <f>FIND(".", tblPassengerNames[[#This Row],[Name]])</f>
        <v>13</v>
      </c>
      <c r="G256">
        <f>FIND("(", tblPassengerNames[[#This Row],[Name]])</f>
        <v>29</v>
      </c>
      <c r="H256">
        <f>FIND(")", tblPassengerNames[[#This Row],[Name]])</f>
        <v>47</v>
      </c>
      <c r="I256">
        <f>IFERROR(tblPassengerNames[[#This Row],[OpenParPos]] - 2, LEN(tblPassengerNames[[#This Row],[Name]]))</f>
        <v>27</v>
      </c>
      <c r="J256" t="str">
        <f>MID(tblPassengerNames[[#This Row],[Name]], tblPassengerNames[[#This Row],[DotPos]] + 2, tblPassengerNames[[#This Row],[EndOfConvFNPos]] - tblPassengerNames[[#This Row],[DotPos]] - 1)</f>
        <v>Arthur Larned</v>
      </c>
      <c r="K256" t="str">
        <f>MID(tblPassengerNames[[#This Row],[Name]], tblPassengerNames[[#This Row],[OpenParPos]] + 1, tblPassengerNames[[#This Row],[CloseParPos]] - tblPassengerNames[[#This Row],[OpenParPos]] - 1)</f>
        <v>Emily Maria Borie</v>
      </c>
      <c r="L256" t="str">
        <f>IF(AND(LEFT(tblPassengerNames[[#This Row],[InParentheses]], 1) = "'", RIGHT(tblPassengerNames[[#This Row],[InParentheses]], 1) = "'"),
    #VALUE!,
    tblPassengerNames[[#This Row],[InParentheses]]
)</f>
        <v>Emily Maria Borie</v>
      </c>
      <c r="M256">
        <f>LEN(tblPassengerNames[[#This Row],[InParenthesesCleaned]]) - LEN(SUBSTITUTE(tblPassengerNames[[#This Row],[InParenthesesCleaned]], " ", ""))</f>
        <v>2</v>
      </c>
      <c r="N256">
        <f>FIND("@", SUBSTITUTE(tblPassengerNames[[#This Row],[InParenthesesCleaned]], " ", "@", tblPassengerNames[[#This Row],[P_NSpaces]]))</f>
        <v>12</v>
      </c>
      <c r="O256" t="str">
        <f>IF(tblPassengerNames[[#This Row],[P_NSpaces]] = 0,
    tblPassengerNames[[#This Row],[InParenthesesCleaned]],
    LEFT(tblPassengerNames[[#This Row],[InParenthesesCleaned]], tblPassengerNames[[#This Row],[P_FinalSpacePos]] - 1)
)</f>
        <v>Emily Maria</v>
      </c>
      <c r="P256" t="str">
        <f>IFERROR(tblPassengerNames[[#This Row],[P_Forenames]], tblPassengerNames[[#This Row],[ConvForenames]])</f>
        <v>Emily Maria</v>
      </c>
      <c r="Q256" t="str">
        <f>MID(tblPassengerNames[[#This Row],[Name]], tblPassengerNames[[#This Row],[CommaPos]] + 2, tblPassengerNames[[#This Row],[DotPos]] - tblPassengerNames[[#This Row],[CommaPos]] - 1)</f>
        <v>Mrs.</v>
      </c>
      <c r="R256" t="str">
        <f>LEFT(tblPassengerNames[[#This Row],[Name]], tblPassengerNames[[#This Row],[CommaPos]] - 1)</f>
        <v>Ryerson</v>
      </c>
    </row>
    <row r="257" spans="2:18" x14ac:dyDescent="0.25">
      <c r="B257" s="21">
        <v>255</v>
      </c>
      <c r="C257" s="21" t="s">
        <v>391</v>
      </c>
      <c r="D257" s="21" t="s">
        <v>138</v>
      </c>
      <c r="E257">
        <f>FIND(",", tblPassengerNames[[#This Row],[Name]])</f>
        <v>9</v>
      </c>
      <c r="F257">
        <f>FIND(".", tblPassengerNames[[#This Row],[Name]])</f>
        <v>13</v>
      </c>
      <c r="G257" t="e">
        <f>FIND("(", tblPassengerNames[[#This Row],[Name]])</f>
        <v>#VALUE!</v>
      </c>
      <c r="H257" t="e">
        <f>FIND(")", tblPassengerNames[[#This Row],[Name]])</f>
        <v>#VALUE!</v>
      </c>
      <c r="I257">
        <f>IFERROR(tblPassengerNames[[#This Row],[OpenParPos]] - 2, LEN(tblPassengerNames[[#This Row],[Name]]))</f>
        <v>21</v>
      </c>
      <c r="J257" t="str">
        <f>MID(tblPassengerNames[[#This Row],[Name]], tblPassengerNames[[#This Row],[DotPos]] + 2, tblPassengerNames[[#This Row],[EndOfConvFNPos]] - tblPassengerNames[[#This Row],[DotPos]] - 1)</f>
        <v>Adolphe</v>
      </c>
      <c r="K257" t="e">
        <f>MID(tblPassengerNames[[#This Row],[Name]], tblPassengerNames[[#This Row],[OpenParPos]] + 1, tblPassengerNames[[#This Row],[CloseParPos]] - tblPassengerNames[[#This Row],[OpenParPos]] - 1)</f>
        <v>#VALUE!</v>
      </c>
      <c r="L257" t="e">
        <f>IF(AND(LEFT(tblPassengerNames[[#This Row],[InParentheses]], 1) = "'", RIGHT(tblPassengerNames[[#This Row],[InParentheses]], 1) = "'"),
    #VALUE!,
    tblPassengerNames[[#This Row],[InParentheses]]
)</f>
        <v>#VALUE!</v>
      </c>
      <c r="M257" t="e">
        <f>LEN(tblPassengerNames[[#This Row],[InParenthesesCleaned]]) - LEN(SUBSTITUTE(tblPassengerNames[[#This Row],[InParenthesesCleaned]], " ", ""))</f>
        <v>#VALUE!</v>
      </c>
      <c r="N257" t="e">
        <f>FIND("@", SUBSTITUTE(tblPassengerNames[[#This Row],[InParenthesesCleaned]], " ", "@", tblPassengerNames[[#This Row],[P_NSpaces]]))</f>
        <v>#VALUE!</v>
      </c>
      <c r="O257" t="e">
        <f>IF(tblPassengerNames[[#This Row],[P_NSpaces]] = 0,
    tblPassengerNames[[#This Row],[InParenthesesCleaned]],
    LEFT(tblPassengerNames[[#This Row],[InParenthesesCleaned]], tblPassengerNames[[#This Row],[P_FinalSpacePos]] - 1)
)</f>
        <v>#VALUE!</v>
      </c>
      <c r="P257" t="str">
        <f>IFERROR(tblPassengerNames[[#This Row],[P_Forenames]], tblPassengerNames[[#This Row],[ConvForenames]])</f>
        <v>Adolphe</v>
      </c>
      <c r="Q257" t="str">
        <f>MID(tblPassengerNames[[#This Row],[Name]], tblPassengerNames[[#This Row],[CommaPos]] + 2, tblPassengerNames[[#This Row],[DotPos]] - tblPassengerNames[[#This Row],[CommaPos]] - 1)</f>
        <v>Mr.</v>
      </c>
      <c r="R257" t="str">
        <f>LEFT(tblPassengerNames[[#This Row],[Name]], tblPassengerNames[[#This Row],[CommaPos]] - 1)</f>
        <v>Saalfeld</v>
      </c>
    </row>
    <row r="258" spans="2:18" x14ac:dyDescent="0.25">
      <c r="B258" s="21">
        <v>256</v>
      </c>
      <c r="C258" s="21" t="s">
        <v>392</v>
      </c>
      <c r="D258" s="21" t="s">
        <v>136</v>
      </c>
      <c r="E258">
        <f>FIND(",", tblPassengerNames[[#This Row],[Name]])</f>
        <v>9</v>
      </c>
      <c r="F258">
        <f>FIND(".", tblPassengerNames[[#This Row],[Name]])</f>
        <v>15</v>
      </c>
      <c r="G258" t="e">
        <f>FIND("(", tblPassengerNames[[#This Row],[Name]])</f>
        <v>#VALUE!</v>
      </c>
      <c r="H258" t="e">
        <f>FIND(")", tblPassengerNames[[#This Row],[Name]])</f>
        <v>#VALUE!</v>
      </c>
      <c r="I258">
        <f>IFERROR(tblPassengerNames[[#This Row],[OpenParPos]] - 2, LEN(tblPassengerNames[[#This Row],[Name]]))</f>
        <v>20</v>
      </c>
      <c r="J258" t="str">
        <f>MID(tblPassengerNames[[#This Row],[Name]], tblPassengerNames[[#This Row],[DotPos]] + 2, tblPassengerNames[[#This Row],[EndOfConvFNPos]] - tblPassengerNames[[#This Row],[DotPos]] - 1)</f>
        <v>Emma</v>
      </c>
      <c r="K258" t="e">
        <f>MID(tblPassengerNames[[#This Row],[Name]], tblPassengerNames[[#This Row],[OpenParPos]] + 1, tblPassengerNames[[#This Row],[CloseParPos]] - tblPassengerNames[[#This Row],[OpenParPos]] - 1)</f>
        <v>#VALUE!</v>
      </c>
      <c r="L258" t="e">
        <f>IF(AND(LEFT(tblPassengerNames[[#This Row],[InParentheses]], 1) = "'", RIGHT(tblPassengerNames[[#This Row],[InParentheses]], 1) = "'"),
    #VALUE!,
    tblPassengerNames[[#This Row],[InParentheses]]
)</f>
        <v>#VALUE!</v>
      </c>
      <c r="M258" t="e">
        <f>LEN(tblPassengerNames[[#This Row],[InParenthesesCleaned]]) - LEN(SUBSTITUTE(tblPassengerNames[[#This Row],[InParenthesesCleaned]], " ", ""))</f>
        <v>#VALUE!</v>
      </c>
      <c r="N258" t="e">
        <f>FIND("@", SUBSTITUTE(tblPassengerNames[[#This Row],[InParenthesesCleaned]], " ", "@", tblPassengerNames[[#This Row],[P_NSpaces]]))</f>
        <v>#VALUE!</v>
      </c>
      <c r="O258" t="e">
        <f>IF(tblPassengerNames[[#This Row],[P_NSpaces]] = 0,
    tblPassengerNames[[#This Row],[InParenthesesCleaned]],
    LEFT(tblPassengerNames[[#This Row],[InParenthesesCleaned]], tblPassengerNames[[#This Row],[P_FinalSpacePos]] - 1)
)</f>
        <v>#VALUE!</v>
      </c>
      <c r="P258" t="str">
        <f>IFERROR(tblPassengerNames[[#This Row],[P_Forenames]], tblPassengerNames[[#This Row],[ConvForenames]])</f>
        <v>Emma</v>
      </c>
      <c r="Q258" t="str">
        <f>MID(tblPassengerNames[[#This Row],[Name]], tblPassengerNames[[#This Row],[CommaPos]] + 2, tblPassengerNames[[#This Row],[DotPos]] - tblPassengerNames[[#This Row],[CommaPos]] - 1)</f>
        <v>Mlle.</v>
      </c>
      <c r="R258" t="str">
        <f>LEFT(tblPassengerNames[[#This Row],[Name]], tblPassengerNames[[#This Row],[CommaPos]] - 1)</f>
        <v>Sagesser</v>
      </c>
    </row>
    <row r="259" spans="2:18" x14ac:dyDescent="0.25">
      <c r="B259" s="21">
        <v>257</v>
      </c>
      <c r="C259" s="21" t="s">
        <v>393</v>
      </c>
      <c r="D259" s="21" t="s">
        <v>138</v>
      </c>
      <c r="E259">
        <f>FIND(",", tblPassengerNames[[#This Row],[Name]])</f>
        <v>8</v>
      </c>
      <c r="F259">
        <f>FIND(".", tblPassengerNames[[#This Row],[Name]])</f>
        <v>12</v>
      </c>
      <c r="G259" t="e">
        <f>FIND("(", tblPassengerNames[[#This Row],[Name]])</f>
        <v>#VALUE!</v>
      </c>
      <c r="H259" t="e">
        <f>FIND(")", tblPassengerNames[[#This Row],[Name]])</f>
        <v>#VALUE!</v>
      </c>
      <c r="I259">
        <f>IFERROR(tblPassengerNames[[#This Row],[OpenParPos]] - 2, LEN(tblPassengerNames[[#This Row],[Name]]))</f>
        <v>22</v>
      </c>
      <c r="J259" t="str">
        <f>MID(tblPassengerNames[[#This Row],[Name]], tblPassengerNames[[#This Row],[DotPos]] + 2, tblPassengerNames[[#This Row],[EndOfConvFNPos]] - tblPassengerNames[[#This Row],[DotPos]] - 1)</f>
        <v>Abraham L</v>
      </c>
      <c r="K259" t="e">
        <f>MID(tblPassengerNames[[#This Row],[Name]], tblPassengerNames[[#This Row],[OpenParPos]] + 1, tblPassengerNames[[#This Row],[CloseParPos]] - tblPassengerNames[[#This Row],[OpenParPos]] - 1)</f>
        <v>#VALUE!</v>
      </c>
      <c r="L259" t="e">
        <f>IF(AND(LEFT(tblPassengerNames[[#This Row],[InParentheses]], 1) = "'", RIGHT(tblPassengerNames[[#This Row],[InParentheses]], 1) = "'"),
    #VALUE!,
    tblPassengerNames[[#This Row],[InParentheses]]
)</f>
        <v>#VALUE!</v>
      </c>
      <c r="M259" t="e">
        <f>LEN(tblPassengerNames[[#This Row],[InParenthesesCleaned]]) - LEN(SUBSTITUTE(tblPassengerNames[[#This Row],[InParenthesesCleaned]], " ", ""))</f>
        <v>#VALUE!</v>
      </c>
      <c r="N259" t="e">
        <f>FIND("@", SUBSTITUTE(tblPassengerNames[[#This Row],[InParenthesesCleaned]], " ", "@", tblPassengerNames[[#This Row],[P_NSpaces]]))</f>
        <v>#VALUE!</v>
      </c>
      <c r="O259" t="e">
        <f>IF(tblPassengerNames[[#This Row],[P_NSpaces]] = 0,
    tblPassengerNames[[#This Row],[InParenthesesCleaned]],
    LEFT(tblPassengerNames[[#This Row],[InParenthesesCleaned]], tblPassengerNames[[#This Row],[P_FinalSpacePos]] - 1)
)</f>
        <v>#VALUE!</v>
      </c>
      <c r="P259" t="str">
        <f>IFERROR(tblPassengerNames[[#This Row],[P_Forenames]], tblPassengerNames[[#This Row],[ConvForenames]])</f>
        <v>Abraham L</v>
      </c>
      <c r="Q259" t="str">
        <f>MID(tblPassengerNames[[#This Row],[Name]], tblPassengerNames[[#This Row],[CommaPos]] + 2, tblPassengerNames[[#This Row],[DotPos]] - tblPassengerNames[[#This Row],[CommaPos]] - 1)</f>
        <v>Mr.</v>
      </c>
      <c r="R259" t="str">
        <f>LEFT(tblPassengerNames[[#This Row],[Name]], tblPassengerNames[[#This Row],[CommaPos]] - 1)</f>
        <v>Salomon</v>
      </c>
    </row>
    <row r="260" spans="2:18" x14ac:dyDescent="0.25">
      <c r="B260" s="21">
        <v>258</v>
      </c>
      <c r="C260" s="21" t="s">
        <v>394</v>
      </c>
      <c r="D260" s="21" t="s">
        <v>136</v>
      </c>
      <c r="E260">
        <f>FIND(",", tblPassengerNames[[#This Row],[Name]])</f>
        <v>9</v>
      </c>
      <c r="F260">
        <f>FIND(".", tblPassengerNames[[#This Row],[Name]])</f>
        <v>14</v>
      </c>
      <c r="G260">
        <f>FIND("(", tblPassengerNames[[#This Row],[Name]])</f>
        <v>21</v>
      </c>
      <c r="H260">
        <f>FIND(")", tblPassengerNames[[#This Row],[Name]])</f>
        <v>31</v>
      </c>
      <c r="I260">
        <f>IFERROR(tblPassengerNames[[#This Row],[OpenParPos]] - 2, LEN(tblPassengerNames[[#This Row],[Name]]))</f>
        <v>19</v>
      </c>
      <c r="J260" t="str">
        <f>MID(tblPassengerNames[[#This Row],[Name]], tblPassengerNames[[#This Row],[DotPos]] + 2, tblPassengerNames[[#This Row],[EndOfConvFNPos]] - tblPassengerNames[[#This Row],[DotPos]] - 1)</f>
        <v>Paul</v>
      </c>
      <c r="K260" t="str">
        <f>MID(tblPassengerNames[[#This Row],[Name]], tblPassengerNames[[#This Row],[OpenParPos]] + 1, tblPassengerNames[[#This Row],[CloseParPos]] - tblPassengerNames[[#This Row],[OpenParPos]] - 1)</f>
        <v>Emma Mock</v>
      </c>
      <c r="L260" t="str">
        <f>IF(AND(LEFT(tblPassengerNames[[#This Row],[InParentheses]], 1) = "'", RIGHT(tblPassengerNames[[#This Row],[InParentheses]], 1) = "'"),
    #VALUE!,
    tblPassengerNames[[#This Row],[InParentheses]]
)</f>
        <v>Emma Mock</v>
      </c>
      <c r="M260">
        <f>LEN(tblPassengerNames[[#This Row],[InParenthesesCleaned]]) - LEN(SUBSTITUTE(tblPassengerNames[[#This Row],[InParenthesesCleaned]], " ", ""))</f>
        <v>1</v>
      </c>
      <c r="N260">
        <f>FIND("@", SUBSTITUTE(tblPassengerNames[[#This Row],[InParenthesesCleaned]], " ", "@", tblPassengerNames[[#This Row],[P_NSpaces]]))</f>
        <v>5</v>
      </c>
      <c r="O260" t="str">
        <f>IF(tblPassengerNames[[#This Row],[P_NSpaces]] = 0,
    tblPassengerNames[[#This Row],[InParenthesesCleaned]],
    LEFT(tblPassengerNames[[#This Row],[InParenthesesCleaned]], tblPassengerNames[[#This Row],[P_FinalSpacePos]] - 1)
)</f>
        <v>Emma</v>
      </c>
      <c r="P260" t="str">
        <f>IFERROR(tblPassengerNames[[#This Row],[P_Forenames]], tblPassengerNames[[#This Row],[ConvForenames]])</f>
        <v>Emma</v>
      </c>
      <c r="Q260" t="str">
        <f>MID(tblPassengerNames[[#This Row],[Name]], tblPassengerNames[[#This Row],[CommaPos]] + 2, tblPassengerNames[[#This Row],[DotPos]] - tblPassengerNames[[#This Row],[CommaPos]] - 1)</f>
        <v>Mrs.</v>
      </c>
      <c r="R260" t="str">
        <f>LEFT(tblPassengerNames[[#This Row],[Name]], tblPassengerNames[[#This Row],[CommaPos]] - 1)</f>
        <v>Schabert</v>
      </c>
    </row>
    <row r="261" spans="2:18" x14ac:dyDescent="0.25">
      <c r="B261" s="21">
        <v>259</v>
      </c>
      <c r="C261" s="21" t="s">
        <v>395</v>
      </c>
      <c r="D261" s="21" t="s">
        <v>136</v>
      </c>
      <c r="E261">
        <f>FIND(",", tblPassengerNames[[#This Row],[Name]])</f>
        <v>9</v>
      </c>
      <c r="F261">
        <f>FIND(".", tblPassengerNames[[#This Row],[Name]])</f>
        <v>15</v>
      </c>
      <c r="G261" t="e">
        <f>FIND("(", tblPassengerNames[[#This Row],[Name]])</f>
        <v>#VALUE!</v>
      </c>
      <c r="H261" t="e">
        <f>FIND(")", tblPassengerNames[[#This Row],[Name]])</f>
        <v>#VALUE!</v>
      </c>
      <c r="I261">
        <f>IFERROR(tblPassengerNames[[#This Row],[OpenParPos]] - 2, LEN(tblPassengerNames[[#This Row],[Name]]))</f>
        <v>23</v>
      </c>
      <c r="J261" t="str">
        <f>MID(tblPassengerNames[[#This Row],[Name]], tblPassengerNames[[#This Row],[DotPos]] + 2, tblPassengerNames[[#This Row],[EndOfConvFNPos]] - tblPassengerNames[[#This Row],[DotPos]] - 1)</f>
        <v>Augusta</v>
      </c>
      <c r="K261" t="e">
        <f>MID(tblPassengerNames[[#This Row],[Name]], tblPassengerNames[[#This Row],[OpenParPos]] + 1, tblPassengerNames[[#This Row],[CloseParPos]] - tblPassengerNames[[#This Row],[OpenParPos]] - 1)</f>
        <v>#VALUE!</v>
      </c>
      <c r="L261" t="e">
        <f>IF(AND(LEFT(tblPassengerNames[[#This Row],[InParentheses]], 1) = "'", RIGHT(tblPassengerNames[[#This Row],[InParentheses]], 1) = "'"),
    #VALUE!,
    tblPassengerNames[[#This Row],[InParentheses]]
)</f>
        <v>#VALUE!</v>
      </c>
      <c r="M261" t="e">
        <f>LEN(tblPassengerNames[[#This Row],[InParenthesesCleaned]]) - LEN(SUBSTITUTE(tblPassengerNames[[#This Row],[InParenthesesCleaned]], " ", ""))</f>
        <v>#VALUE!</v>
      </c>
      <c r="N261" t="e">
        <f>FIND("@", SUBSTITUTE(tblPassengerNames[[#This Row],[InParenthesesCleaned]], " ", "@", tblPassengerNames[[#This Row],[P_NSpaces]]))</f>
        <v>#VALUE!</v>
      </c>
      <c r="O261" t="e">
        <f>IF(tblPassengerNames[[#This Row],[P_NSpaces]] = 0,
    tblPassengerNames[[#This Row],[InParenthesesCleaned]],
    LEFT(tblPassengerNames[[#This Row],[InParenthesesCleaned]], tblPassengerNames[[#This Row],[P_FinalSpacePos]] - 1)
)</f>
        <v>#VALUE!</v>
      </c>
      <c r="P261" t="str">
        <f>IFERROR(tblPassengerNames[[#This Row],[P_Forenames]], tblPassengerNames[[#This Row],[ConvForenames]])</f>
        <v>Augusta</v>
      </c>
      <c r="Q261" t="str">
        <f>MID(tblPassengerNames[[#This Row],[Name]], tblPassengerNames[[#This Row],[CommaPos]] + 2, tblPassengerNames[[#This Row],[DotPos]] - tblPassengerNames[[#This Row],[CommaPos]] - 1)</f>
        <v>Miss.</v>
      </c>
      <c r="R261" t="str">
        <f>LEFT(tblPassengerNames[[#This Row],[Name]], tblPassengerNames[[#This Row],[CommaPos]] - 1)</f>
        <v>Serepeca</v>
      </c>
    </row>
    <row r="262" spans="2:18" x14ac:dyDescent="0.25">
      <c r="B262" s="21">
        <v>260</v>
      </c>
      <c r="C262" s="21" t="s">
        <v>396</v>
      </c>
      <c r="D262" s="21" t="s">
        <v>138</v>
      </c>
      <c r="E262">
        <f>FIND(",", tblPassengerNames[[#This Row],[Name]])</f>
        <v>7</v>
      </c>
      <c r="F262">
        <f>FIND(".", tblPassengerNames[[#This Row],[Name]])</f>
        <v>11</v>
      </c>
      <c r="G262" t="e">
        <f>FIND("(", tblPassengerNames[[#This Row],[Name]])</f>
        <v>#VALUE!</v>
      </c>
      <c r="H262" t="e">
        <f>FIND(")", tblPassengerNames[[#This Row],[Name]])</f>
        <v>#VALUE!</v>
      </c>
      <c r="I262">
        <f>IFERROR(tblPassengerNames[[#This Row],[OpenParPos]] - 2, LEN(tblPassengerNames[[#This Row],[Name]]))</f>
        <v>27</v>
      </c>
      <c r="J262" t="str">
        <f>MID(tblPassengerNames[[#This Row],[Name]], tblPassengerNames[[#This Row],[DotPos]] + 2, tblPassengerNames[[#This Row],[EndOfConvFNPos]] - tblPassengerNames[[#This Row],[DotPos]] - 1)</f>
        <v>Frederic Kimber</v>
      </c>
      <c r="K262" t="e">
        <f>MID(tblPassengerNames[[#This Row],[Name]], tblPassengerNames[[#This Row],[OpenParPos]] + 1, tblPassengerNames[[#This Row],[CloseParPos]] - tblPassengerNames[[#This Row],[OpenParPos]] - 1)</f>
        <v>#VALUE!</v>
      </c>
      <c r="L262" t="e">
        <f>IF(AND(LEFT(tblPassengerNames[[#This Row],[InParentheses]], 1) = "'", RIGHT(tblPassengerNames[[#This Row],[InParentheses]], 1) = "'"),
    #VALUE!,
    tblPassengerNames[[#This Row],[InParentheses]]
)</f>
        <v>#VALUE!</v>
      </c>
      <c r="M262" t="e">
        <f>LEN(tblPassengerNames[[#This Row],[InParenthesesCleaned]]) - LEN(SUBSTITUTE(tblPassengerNames[[#This Row],[InParenthesesCleaned]], " ", ""))</f>
        <v>#VALUE!</v>
      </c>
      <c r="N262" t="e">
        <f>FIND("@", SUBSTITUTE(tblPassengerNames[[#This Row],[InParenthesesCleaned]], " ", "@", tblPassengerNames[[#This Row],[P_NSpaces]]))</f>
        <v>#VALUE!</v>
      </c>
      <c r="O262" t="e">
        <f>IF(tblPassengerNames[[#This Row],[P_NSpaces]] = 0,
    tblPassengerNames[[#This Row],[InParenthesesCleaned]],
    LEFT(tblPassengerNames[[#This Row],[InParenthesesCleaned]], tblPassengerNames[[#This Row],[P_FinalSpacePos]] - 1)
)</f>
        <v>#VALUE!</v>
      </c>
      <c r="P262" t="str">
        <f>IFERROR(tblPassengerNames[[#This Row],[P_Forenames]], tblPassengerNames[[#This Row],[ConvForenames]])</f>
        <v>Frederic Kimber</v>
      </c>
      <c r="Q262" t="str">
        <f>MID(tblPassengerNames[[#This Row],[Name]], tblPassengerNames[[#This Row],[CommaPos]] + 2, tblPassengerNames[[#This Row],[DotPos]] - tblPassengerNames[[#This Row],[CommaPos]] - 1)</f>
        <v>Mr.</v>
      </c>
      <c r="R262" t="str">
        <f>LEFT(tblPassengerNames[[#This Row],[Name]], tblPassengerNames[[#This Row],[CommaPos]] - 1)</f>
        <v>Seward</v>
      </c>
    </row>
    <row r="263" spans="2:18" x14ac:dyDescent="0.25">
      <c r="B263" s="21">
        <v>261</v>
      </c>
      <c r="C263" s="21" t="s">
        <v>397</v>
      </c>
      <c r="D263" s="21" t="s">
        <v>136</v>
      </c>
      <c r="E263">
        <f>FIND(",", tblPassengerNames[[#This Row],[Name]])</f>
        <v>7</v>
      </c>
      <c r="F263">
        <f>FIND(".", tblPassengerNames[[#This Row],[Name]])</f>
        <v>13</v>
      </c>
      <c r="G263" t="e">
        <f>FIND("(", tblPassengerNames[[#This Row],[Name]])</f>
        <v>#VALUE!</v>
      </c>
      <c r="H263" t="e">
        <f>FIND(")", tblPassengerNames[[#This Row],[Name]])</f>
        <v>#VALUE!</v>
      </c>
      <c r="I263">
        <f>IFERROR(tblPassengerNames[[#This Row],[OpenParPos]] - 2, LEN(tblPassengerNames[[#This Row],[Name]]))</f>
        <v>25</v>
      </c>
      <c r="J263" t="str">
        <f>MID(tblPassengerNames[[#This Row],[Name]], tblPassengerNames[[#This Row],[DotPos]] + 2, tblPassengerNames[[#This Row],[EndOfConvFNPos]] - tblPassengerNames[[#This Row],[DotPos]] - 1)</f>
        <v>Elizabeth W</v>
      </c>
      <c r="K263" t="e">
        <f>MID(tblPassengerNames[[#This Row],[Name]], tblPassengerNames[[#This Row],[OpenParPos]] + 1, tblPassengerNames[[#This Row],[CloseParPos]] - tblPassengerNames[[#This Row],[OpenParPos]] - 1)</f>
        <v>#VALUE!</v>
      </c>
      <c r="L263" t="e">
        <f>IF(AND(LEFT(tblPassengerNames[[#This Row],[InParentheses]], 1) = "'", RIGHT(tblPassengerNames[[#This Row],[InParentheses]], 1) = "'"),
    #VALUE!,
    tblPassengerNames[[#This Row],[InParentheses]]
)</f>
        <v>#VALUE!</v>
      </c>
      <c r="M263" t="e">
        <f>LEN(tblPassengerNames[[#This Row],[InParenthesesCleaned]]) - LEN(SUBSTITUTE(tblPassengerNames[[#This Row],[InParenthesesCleaned]], " ", ""))</f>
        <v>#VALUE!</v>
      </c>
      <c r="N263" t="e">
        <f>FIND("@", SUBSTITUTE(tblPassengerNames[[#This Row],[InParenthesesCleaned]], " ", "@", tblPassengerNames[[#This Row],[P_NSpaces]]))</f>
        <v>#VALUE!</v>
      </c>
      <c r="O263" t="e">
        <f>IF(tblPassengerNames[[#This Row],[P_NSpaces]] = 0,
    tblPassengerNames[[#This Row],[InParenthesesCleaned]],
    LEFT(tblPassengerNames[[#This Row],[InParenthesesCleaned]], tblPassengerNames[[#This Row],[P_FinalSpacePos]] - 1)
)</f>
        <v>#VALUE!</v>
      </c>
      <c r="P263" t="str">
        <f>IFERROR(tblPassengerNames[[#This Row],[P_Forenames]], tblPassengerNames[[#This Row],[ConvForenames]])</f>
        <v>Elizabeth W</v>
      </c>
      <c r="Q263" t="str">
        <f>MID(tblPassengerNames[[#This Row],[Name]], tblPassengerNames[[#This Row],[CommaPos]] + 2, tblPassengerNames[[#This Row],[DotPos]] - tblPassengerNames[[#This Row],[CommaPos]] - 1)</f>
        <v>Miss.</v>
      </c>
      <c r="R263" t="str">
        <f>LEFT(tblPassengerNames[[#This Row],[Name]], tblPassengerNames[[#This Row],[CommaPos]] - 1)</f>
        <v>Shutes</v>
      </c>
    </row>
    <row r="264" spans="2:18" x14ac:dyDescent="0.25">
      <c r="B264" s="21">
        <v>262</v>
      </c>
      <c r="C264" s="21" t="s">
        <v>398</v>
      </c>
      <c r="D264" s="21" t="s">
        <v>138</v>
      </c>
      <c r="E264">
        <f>FIND(",", tblPassengerNames[[#This Row],[Name]])</f>
        <v>13</v>
      </c>
      <c r="F264">
        <f>FIND(".", tblPassengerNames[[#This Row],[Name]])</f>
        <v>17</v>
      </c>
      <c r="G264" t="e">
        <f>FIND("(", tblPassengerNames[[#This Row],[Name]])</f>
        <v>#VALUE!</v>
      </c>
      <c r="H264" t="e">
        <f>FIND(")", tblPassengerNames[[#This Row],[Name]])</f>
        <v>#VALUE!</v>
      </c>
      <c r="I264">
        <f>IFERROR(tblPassengerNames[[#This Row],[OpenParPos]] - 2, LEN(tblPassengerNames[[#This Row],[Name]]))</f>
        <v>32</v>
      </c>
      <c r="J264" t="str">
        <f>MID(tblPassengerNames[[#This Row],[Name]], tblPassengerNames[[#This Row],[DotPos]] + 2, tblPassengerNames[[#This Row],[EndOfConvFNPos]] - tblPassengerNames[[#This Row],[DotPos]] - 1)</f>
        <v>Spencer Victor</v>
      </c>
      <c r="K264" t="e">
        <f>MID(tblPassengerNames[[#This Row],[Name]], tblPassengerNames[[#This Row],[OpenParPos]] + 1, tblPassengerNames[[#This Row],[CloseParPos]] - tblPassengerNames[[#This Row],[OpenParPos]] - 1)</f>
        <v>#VALUE!</v>
      </c>
      <c r="L264" t="e">
        <f>IF(AND(LEFT(tblPassengerNames[[#This Row],[InParentheses]], 1) = "'", RIGHT(tblPassengerNames[[#This Row],[InParentheses]], 1) = "'"),
    #VALUE!,
    tblPassengerNames[[#This Row],[InParentheses]]
)</f>
        <v>#VALUE!</v>
      </c>
      <c r="M264" t="e">
        <f>LEN(tblPassengerNames[[#This Row],[InParenthesesCleaned]]) - LEN(SUBSTITUTE(tblPassengerNames[[#This Row],[InParenthesesCleaned]], " ", ""))</f>
        <v>#VALUE!</v>
      </c>
      <c r="N264" t="e">
        <f>FIND("@", SUBSTITUTE(tblPassengerNames[[#This Row],[InParenthesesCleaned]], " ", "@", tblPassengerNames[[#This Row],[P_NSpaces]]))</f>
        <v>#VALUE!</v>
      </c>
      <c r="O264" t="e">
        <f>IF(tblPassengerNames[[#This Row],[P_NSpaces]] = 0,
    tblPassengerNames[[#This Row],[InParenthesesCleaned]],
    LEFT(tblPassengerNames[[#This Row],[InParenthesesCleaned]], tblPassengerNames[[#This Row],[P_FinalSpacePos]] - 1)
)</f>
        <v>#VALUE!</v>
      </c>
      <c r="P264" t="str">
        <f>IFERROR(tblPassengerNames[[#This Row],[P_Forenames]], tblPassengerNames[[#This Row],[ConvForenames]])</f>
        <v>Spencer Victor</v>
      </c>
      <c r="Q264" t="str">
        <f>MID(tblPassengerNames[[#This Row],[Name]], tblPassengerNames[[#This Row],[CommaPos]] + 2, tblPassengerNames[[#This Row],[DotPos]] - tblPassengerNames[[#This Row],[CommaPos]] - 1)</f>
        <v>Mr.</v>
      </c>
      <c r="R264" t="str">
        <f>LEFT(tblPassengerNames[[#This Row],[Name]], tblPassengerNames[[#This Row],[CommaPos]] - 1)</f>
        <v>Silverthorne</v>
      </c>
    </row>
    <row r="265" spans="2:18" x14ac:dyDescent="0.25">
      <c r="B265" s="21">
        <v>263</v>
      </c>
      <c r="C265" s="21" t="s">
        <v>399</v>
      </c>
      <c r="D265" s="21" t="s">
        <v>138</v>
      </c>
      <c r="E265">
        <f>FIND(",", tblPassengerNames[[#This Row],[Name]])</f>
        <v>7</v>
      </c>
      <c r="F265">
        <f>FIND(".", tblPassengerNames[[#This Row],[Name]])</f>
        <v>11</v>
      </c>
      <c r="G265" t="e">
        <f>FIND("(", tblPassengerNames[[#This Row],[Name]])</f>
        <v>#VALUE!</v>
      </c>
      <c r="H265" t="e">
        <f>FIND(")", tblPassengerNames[[#This Row],[Name]])</f>
        <v>#VALUE!</v>
      </c>
      <c r="I265">
        <f>IFERROR(tblPassengerNames[[#This Row],[OpenParPos]] - 2, LEN(tblPassengerNames[[#This Row],[Name]]))</f>
        <v>25</v>
      </c>
      <c r="J265" t="str">
        <f>MID(tblPassengerNames[[#This Row],[Name]], tblPassengerNames[[#This Row],[DotPos]] + 2, tblPassengerNames[[#This Row],[EndOfConvFNPos]] - tblPassengerNames[[#This Row],[DotPos]] - 1)</f>
        <v>William Baird</v>
      </c>
      <c r="K265" t="e">
        <f>MID(tblPassengerNames[[#This Row],[Name]], tblPassengerNames[[#This Row],[OpenParPos]] + 1, tblPassengerNames[[#This Row],[CloseParPos]] - tblPassengerNames[[#This Row],[OpenParPos]] - 1)</f>
        <v>#VALUE!</v>
      </c>
      <c r="L265" t="e">
        <f>IF(AND(LEFT(tblPassengerNames[[#This Row],[InParentheses]], 1) = "'", RIGHT(tblPassengerNames[[#This Row],[InParentheses]], 1) = "'"),
    #VALUE!,
    tblPassengerNames[[#This Row],[InParentheses]]
)</f>
        <v>#VALUE!</v>
      </c>
      <c r="M265" t="e">
        <f>LEN(tblPassengerNames[[#This Row],[InParenthesesCleaned]]) - LEN(SUBSTITUTE(tblPassengerNames[[#This Row],[InParenthesesCleaned]], " ", ""))</f>
        <v>#VALUE!</v>
      </c>
      <c r="N265" t="e">
        <f>FIND("@", SUBSTITUTE(tblPassengerNames[[#This Row],[InParenthesesCleaned]], " ", "@", tblPassengerNames[[#This Row],[P_NSpaces]]))</f>
        <v>#VALUE!</v>
      </c>
      <c r="O265" t="e">
        <f>IF(tblPassengerNames[[#This Row],[P_NSpaces]] = 0,
    tblPassengerNames[[#This Row],[InParenthesesCleaned]],
    LEFT(tblPassengerNames[[#This Row],[InParenthesesCleaned]], tblPassengerNames[[#This Row],[P_FinalSpacePos]] - 1)
)</f>
        <v>#VALUE!</v>
      </c>
      <c r="P265" t="str">
        <f>IFERROR(tblPassengerNames[[#This Row],[P_Forenames]], tblPassengerNames[[#This Row],[ConvForenames]])</f>
        <v>William Baird</v>
      </c>
      <c r="Q265" t="str">
        <f>MID(tblPassengerNames[[#This Row],[Name]], tblPassengerNames[[#This Row],[CommaPos]] + 2, tblPassengerNames[[#This Row],[DotPos]] - tblPassengerNames[[#This Row],[CommaPos]] - 1)</f>
        <v>Mr.</v>
      </c>
      <c r="R265" t="str">
        <f>LEFT(tblPassengerNames[[#This Row],[Name]], tblPassengerNames[[#This Row],[CommaPos]] - 1)</f>
        <v>Silvey</v>
      </c>
    </row>
    <row r="266" spans="2:18" x14ac:dyDescent="0.25">
      <c r="B266" s="21">
        <v>264</v>
      </c>
      <c r="C266" s="21" t="s">
        <v>400</v>
      </c>
      <c r="D266" s="21" t="s">
        <v>136</v>
      </c>
      <c r="E266">
        <f>FIND(",", tblPassengerNames[[#This Row],[Name]])</f>
        <v>7</v>
      </c>
      <c r="F266">
        <f>FIND(".", tblPassengerNames[[#This Row],[Name]])</f>
        <v>12</v>
      </c>
      <c r="G266">
        <f>FIND("(", tblPassengerNames[[#This Row],[Name]])</f>
        <v>28</v>
      </c>
      <c r="H266">
        <f>FIND(")", tblPassengerNames[[#This Row],[Name]])</f>
        <v>41</v>
      </c>
      <c r="I266">
        <f>IFERROR(tblPassengerNames[[#This Row],[OpenParPos]] - 2, LEN(tblPassengerNames[[#This Row],[Name]]))</f>
        <v>26</v>
      </c>
      <c r="J266" t="str">
        <f>MID(tblPassengerNames[[#This Row],[Name]], tblPassengerNames[[#This Row],[DotPos]] + 2, tblPassengerNames[[#This Row],[EndOfConvFNPos]] - tblPassengerNames[[#This Row],[DotPos]] - 1)</f>
        <v>William Baird</v>
      </c>
      <c r="K266" t="str">
        <f>MID(tblPassengerNames[[#This Row],[Name]], tblPassengerNames[[#This Row],[OpenParPos]] + 1, tblPassengerNames[[#This Row],[CloseParPos]] - tblPassengerNames[[#This Row],[OpenParPos]] - 1)</f>
        <v>Alice Munger</v>
      </c>
      <c r="L266" t="str">
        <f>IF(AND(LEFT(tblPassengerNames[[#This Row],[InParentheses]], 1) = "'", RIGHT(tblPassengerNames[[#This Row],[InParentheses]], 1) = "'"),
    #VALUE!,
    tblPassengerNames[[#This Row],[InParentheses]]
)</f>
        <v>Alice Munger</v>
      </c>
      <c r="M266">
        <f>LEN(tblPassengerNames[[#This Row],[InParenthesesCleaned]]) - LEN(SUBSTITUTE(tblPassengerNames[[#This Row],[InParenthesesCleaned]], " ", ""))</f>
        <v>1</v>
      </c>
      <c r="N266">
        <f>FIND("@", SUBSTITUTE(tblPassengerNames[[#This Row],[InParenthesesCleaned]], " ", "@", tblPassengerNames[[#This Row],[P_NSpaces]]))</f>
        <v>6</v>
      </c>
      <c r="O266" t="str">
        <f>IF(tblPassengerNames[[#This Row],[P_NSpaces]] = 0,
    tblPassengerNames[[#This Row],[InParenthesesCleaned]],
    LEFT(tblPassengerNames[[#This Row],[InParenthesesCleaned]], tblPassengerNames[[#This Row],[P_FinalSpacePos]] - 1)
)</f>
        <v>Alice</v>
      </c>
      <c r="P266" t="str">
        <f>IFERROR(tblPassengerNames[[#This Row],[P_Forenames]], tblPassengerNames[[#This Row],[ConvForenames]])</f>
        <v>Alice</v>
      </c>
      <c r="Q266" t="str">
        <f>MID(tblPassengerNames[[#This Row],[Name]], tblPassengerNames[[#This Row],[CommaPos]] + 2, tblPassengerNames[[#This Row],[DotPos]] - tblPassengerNames[[#This Row],[CommaPos]] - 1)</f>
        <v>Mrs.</v>
      </c>
      <c r="R266" t="str">
        <f>LEFT(tblPassengerNames[[#This Row],[Name]], tblPassengerNames[[#This Row],[CommaPos]] - 1)</f>
        <v>Silvey</v>
      </c>
    </row>
    <row r="267" spans="2:18" x14ac:dyDescent="0.25">
      <c r="B267" s="21">
        <v>265</v>
      </c>
      <c r="C267" s="21" t="s">
        <v>401</v>
      </c>
      <c r="D267" s="21" t="s">
        <v>138</v>
      </c>
      <c r="E267">
        <f>FIND(",", tblPassengerNames[[#This Row],[Name]])</f>
        <v>16</v>
      </c>
      <c r="F267">
        <f>FIND(".", tblPassengerNames[[#This Row],[Name]])</f>
        <v>21</v>
      </c>
      <c r="G267" t="e">
        <f>FIND("(", tblPassengerNames[[#This Row],[Name]])</f>
        <v>#VALUE!</v>
      </c>
      <c r="H267" t="e">
        <f>FIND(")", tblPassengerNames[[#This Row],[Name]])</f>
        <v>#VALUE!</v>
      </c>
      <c r="I267">
        <f>IFERROR(tblPassengerNames[[#This Row],[OpenParPos]] - 2, LEN(tblPassengerNames[[#This Row],[Name]]))</f>
        <v>35</v>
      </c>
      <c r="J267" t="str">
        <f>MID(tblPassengerNames[[#This Row],[Name]], tblPassengerNames[[#This Row],[DotPos]] + 2, tblPassengerNames[[#This Row],[EndOfConvFNPos]] - tblPassengerNames[[#This Row],[DotPos]] - 1)</f>
        <v>Oberst Alfons</v>
      </c>
      <c r="K267" t="e">
        <f>MID(tblPassengerNames[[#This Row],[Name]], tblPassengerNames[[#This Row],[OpenParPos]] + 1, tblPassengerNames[[#This Row],[CloseParPos]] - tblPassengerNames[[#This Row],[OpenParPos]] - 1)</f>
        <v>#VALUE!</v>
      </c>
      <c r="L267" t="e">
        <f>IF(AND(LEFT(tblPassengerNames[[#This Row],[InParentheses]], 1) = "'", RIGHT(tblPassengerNames[[#This Row],[InParentheses]], 1) = "'"),
    #VALUE!,
    tblPassengerNames[[#This Row],[InParentheses]]
)</f>
        <v>#VALUE!</v>
      </c>
      <c r="M267" t="e">
        <f>LEN(tblPassengerNames[[#This Row],[InParenthesesCleaned]]) - LEN(SUBSTITUTE(tblPassengerNames[[#This Row],[InParenthesesCleaned]], " ", ""))</f>
        <v>#VALUE!</v>
      </c>
      <c r="N267" t="e">
        <f>FIND("@", SUBSTITUTE(tblPassengerNames[[#This Row],[InParenthesesCleaned]], " ", "@", tblPassengerNames[[#This Row],[P_NSpaces]]))</f>
        <v>#VALUE!</v>
      </c>
      <c r="O267" t="e">
        <f>IF(tblPassengerNames[[#This Row],[P_NSpaces]] = 0,
    tblPassengerNames[[#This Row],[InParenthesesCleaned]],
    LEFT(tblPassengerNames[[#This Row],[InParenthesesCleaned]], tblPassengerNames[[#This Row],[P_FinalSpacePos]] - 1)
)</f>
        <v>#VALUE!</v>
      </c>
      <c r="P267" t="str">
        <f>IFERROR(tblPassengerNames[[#This Row],[P_Forenames]], tblPassengerNames[[#This Row],[ConvForenames]])</f>
        <v>Oberst Alfons</v>
      </c>
      <c r="Q267" t="str">
        <f>MID(tblPassengerNames[[#This Row],[Name]], tblPassengerNames[[#This Row],[CommaPos]] + 2, tblPassengerNames[[#This Row],[DotPos]] - tblPassengerNames[[#This Row],[CommaPos]] - 1)</f>
        <v>Col.</v>
      </c>
      <c r="R267" t="str">
        <f>LEFT(tblPassengerNames[[#This Row],[Name]], tblPassengerNames[[#This Row],[CommaPos]] - 1)</f>
        <v>Simonius-Blumer</v>
      </c>
    </row>
    <row r="268" spans="2:18" x14ac:dyDescent="0.25">
      <c r="B268" s="21">
        <v>266</v>
      </c>
      <c r="C268" s="21" t="s">
        <v>402</v>
      </c>
      <c r="D268" s="21" t="s">
        <v>138</v>
      </c>
      <c r="E268">
        <f>FIND(",", tblPassengerNames[[#This Row],[Name]])</f>
        <v>7</v>
      </c>
      <c r="F268">
        <f>FIND(".", tblPassengerNames[[#This Row],[Name]])</f>
        <v>11</v>
      </c>
      <c r="G268" t="e">
        <f>FIND("(", tblPassengerNames[[#This Row],[Name]])</f>
        <v>#VALUE!</v>
      </c>
      <c r="H268" t="e">
        <f>FIND(")", tblPassengerNames[[#This Row],[Name]])</f>
        <v>#VALUE!</v>
      </c>
      <c r="I268">
        <f>IFERROR(tblPassengerNames[[#This Row],[OpenParPos]] - 2, LEN(tblPassengerNames[[#This Row],[Name]]))</f>
        <v>28</v>
      </c>
      <c r="J268" t="str">
        <f>MID(tblPassengerNames[[#This Row],[Name]], tblPassengerNames[[#This Row],[DotPos]] + 2, tblPassengerNames[[#This Row],[EndOfConvFNPos]] - tblPassengerNames[[#This Row],[DotPos]] - 1)</f>
        <v>William Thompson</v>
      </c>
      <c r="K268" t="e">
        <f>MID(tblPassengerNames[[#This Row],[Name]], tblPassengerNames[[#This Row],[OpenParPos]] + 1, tblPassengerNames[[#This Row],[CloseParPos]] - tblPassengerNames[[#This Row],[OpenParPos]] - 1)</f>
        <v>#VALUE!</v>
      </c>
      <c r="L268" t="e">
        <f>IF(AND(LEFT(tblPassengerNames[[#This Row],[InParentheses]], 1) = "'", RIGHT(tblPassengerNames[[#This Row],[InParentheses]], 1) = "'"),
    #VALUE!,
    tblPassengerNames[[#This Row],[InParentheses]]
)</f>
        <v>#VALUE!</v>
      </c>
      <c r="M268" t="e">
        <f>LEN(tblPassengerNames[[#This Row],[InParenthesesCleaned]]) - LEN(SUBSTITUTE(tblPassengerNames[[#This Row],[InParenthesesCleaned]], " ", ""))</f>
        <v>#VALUE!</v>
      </c>
      <c r="N268" t="e">
        <f>FIND("@", SUBSTITUTE(tblPassengerNames[[#This Row],[InParenthesesCleaned]], " ", "@", tblPassengerNames[[#This Row],[P_NSpaces]]))</f>
        <v>#VALUE!</v>
      </c>
      <c r="O268" t="e">
        <f>IF(tblPassengerNames[[#This Row],[P_NSpaces]] = 0,
    tblPassengerNames[[#This Row],[InParenthesesCleaned]],
    LEFT(tblPassengerNames[[#This Row],[InParenthesesCleaned]], tblPassengerNames[[#This Row],[P_FinalSpacePos]] - 1)
)</f>
        <v>#VALUE!</v>
      </c>
      <c r="P268" t="str">
        <f>IFERROR(tblPassengerNames[[#This Row],[P_Forenames]], tblPassengerNames[[#This Row],[ConvForenames]])</f>
        <v>William Thompson</v>
      </c>
      <c r="Q268" t="str">
        <f>MID(tblPassengerNames[[#This Row],[Name]], tblPassengerNames[[#This Row],[CommaPos]] + 2, tblPassengerNames[[#This Row],[DotPos]] - tblPassengerNames[[#This Row],[CommaPos]] - 1)</f>
        <v>Mr.</v>
      </c>
      <c r="R268" t="str">
        <f>LEFT(tblPassengerNames[[#This Row],[Name]], tblPassengerNames[[#This Row],[CommaPos]] - 1)</f>
        <v>Sloper</v>
      </c>
    </row>
    <row r="269" spans="2:18" x14ac:dyDescent="0.25">
      <c r="B269" s="21">
        <v>267</v>
      </c>
      <c r="C269" s="21" t="s">
        <v>403</v>
      </c>
      <c r="D269" s="21" t="s">
        <v>138</v>
      </c>
      <c r="E269">
        <f>FIND(",", tblPassengerNames[[#This Row],[Name]])</f>
        <v>6</v>
      </c>
      <c r="F269">
        <f>FIND(".", tblPassengerNames[[#This Row],[Name]])</f>
        <v>10</v>
      </c>
      <c r="G269" t="e">
        <f>FIND("(", tblPassengerNames[[#This Row],[Name]])</f>
        <v>#VALUE!</v>
      </c>
      <c r="H269" t="e">
        <f>FIND(")", tblPassengerNames[[#This Row],[Name]])</f>
        <v>#VALUE!</v>
      </c>
      <c r="I269">
        <f>IFERROR(tblPassengerNames[[#This Row],[OpenParPos]] - 2, LEN(tblPassengerNames[[#This Row],[Name]]))</f>
        <v>26</v>
      </c>
      <c r="J269" t="str">
        <f>MID(tblPassengerNames[[#This Row],[Name]], tblPassengerNames[[#This Row],[DotPos]] + 2, tblPassengerNames[[#This Row],[EndOfConvFNPos]] - tblPassengerNames[[#This Row],[DotPos]] - 1)</f>
        <v>John Montgomery</v>
      </c>
      <c r="K269" t="e">
        <f>MID(tblPassengerNames[[#This Row],[Name]], tblPassengerNames[[#This Row],[OpenParPos]] + 1, tblPassengerNames[[#This Row],[CloseParPos]] - tblPassengerNames[[#This Row],[OpenParPos]] - 1)</f>
        <v>#VALUE!</v>
      </c>
      <c r="L269" t="e">
        <f>IF(AND(LEFT(tblPassengerNames[[#This Row],[InParentheses]], 1) = "'", RIGHT(tblPassengerNames[[#This Row],[InParentheses]], 1) = "'"),
    #VALUE!,
    tblPassengerNames[[#This Row],[InParentheses]]
)</f>
        <v>#VALUE!</v>
      </c>
      <c r="M269" t="e">
        <f>LEN(tblPassengerNames[[#This Row],[InParenthesesCleaned]]) - LEN(SUBSTITUTE(tblPassengerNames[[#This Row],[InParenthesesCleaned]], " ", ""))</f>
        <v>#VALUE!</v>
      </c>
      <c r="N269" t="e">
        <f>FIND("@", SUBSTITUTE(tblPassengerNames[[#This Row],[InParenthesesCleaned]], " ", "@", tblPassengerNames[[#This Row],[P_NSpaces]]))</f>
        <v>#VALUE!</v>
      </c>
      <c r="O269" t="e">
        <f>IF(tblPassengerNames[[#This Row],[P_NSpaces]] = 0,
    tblPassengerNames[[#This Row],[InParenthesesCleaned]],
    LEFT(tblPassengerNames[[#This Row],[InParenthesesCleaned]], tblPassengerNames[[#This Row],[P_FinalSpacePos]] - 1)
)</f>
        <v>#VALUE!</v>
      </c>
      <c r="P269" t="str">
        <f>IFERROR(tblPassengerNames[[#This Row],[P_Forenames]], tblPassengerNames[[#This Row],[ConvForenames]])</f>
        <v>John Montgomery</v>
      </c>
      <c r="Q269" t="str">
        <f>MID(tblPassengerNames[[#This Row],[Name]], tblPassengerNames[[#This Row],[CommaPos]] + 2, tblPassengerNames[[#This Row],[DotPos]] - tblPassengerNames[[#This Row],[CommaPos]] - 1)</f>
        <v>Mr.</v>
      </c>
      <c r="R269" t="str">
        <f>LEFT(tblPassengerNames[[#This Row],[Name]], tblPassengerNames[[#This Row],[CommaPos]] - 1)</f>
        <v>Smart</v>
      </c>
    </row>
    <row r="270" spans="2:18" x14ac:dyDescent="0.25">
      <c r="B270" s="21">
        <v>268</v>
      </c>
      <c r="C270" s="21" t="s">
        <v>404</v>
      </c>
      <c r="D270" s="21" t="s">
        <v>138</v>
      </c>
      <c r="E270">
        <f>FIND(",", tblPassengerNames[[#This Row],[Name]])</f>
        <v>6</v>
      </c>
      <c r="F270">
        <f>FIND(".", tblPassengerNames[[#This Row],[Name]])</f>
        <v>10</v>
      </c>
      <c r="G270" t="e">
        <f>FIND("(", tblPassengerNames[[#This Row],[Name]])</f>
        <v>#VALUE!</v>
      </c>
      <c r="H270" t="e">
        <f>FIND(")", tblPassengerNames[[#This Row],[Name]])</f>
        <v>#VALUE!</v>
      </c>
      <c r="I270">
        <f>IFERROR(tblPassengerNames[[#This Row],[OpenParPos]] - 2, LEN(tblPassengerNames[[#This Row],[Name]]))</f>
        <v>23</v>
      </c>
      <c r="J270" t="str">
        <f>MID(tblPassengerNames[[#This Row],[Name]], tblPassengerNames[[#This Row],[DotPos]] + 2, tblPassengerNames[[#This Row],[EndOfConvFNPos]] - tblPassengerNames[[#This Row],[DotPos]] - 1)</f>
        <v>James Clinch</v>
      </c>
      <c r="K270" t="e">
        <f>MID(tblPassengerNames[[#This Row],[Name]], tblPassengerNames[[#This Row],[OpenParPos]] + 1, tblPassengerNames[[#This Row],[CloseParPos]] - tblPassengerNames[[#This Row],[OpenParPos]] - 1)</f>
        <v>#VALUE!</v>
      </c>
      <c r="L270" t="e">
        <f>IF(AND(LEFT(tblPassengerNames[[#This Row],[InParentheses]], 1) = "'", RIGHT(tblPassengerNames[[#This Row],[InParentheses]], 1) = "'"),
    #VALUE!,
    tblPassengerNames[[#This Row],[InParentheses]]
)</f>
        <v>#VALUE!</v>
      </c>
      <c r="M270" t="e">
        <f>LEN(tblPassengerNames[[#This Row],[InParenthesesCleaned]]) - LEN(SUBSTITUTE(tblPassengerNames[[#This Row],[InParenthesesCleaned]], " ", ""))</f>
        <v>#VALUE!</v>
      </c>
      <c r="N270" t="e">
        <f>FIND("@", SUBSTITUTE(tblPassengerNames[[#This Row],[InParenthesesCleaned]], " ", "@", tblPassengerNames[[#This Row],[P_NSpaces]]))</f>
        <v>#VALUE!</v>
      </c>
      <c r="O270" t="e">
        <f>IF(tblPassengerNames[[#This Row],[P_NSpaces]] = 0,
    tblPassengerNames[[#This Row],[InParenthesesCleaned]],
    LEFT(tblPassengerNames[[#This Row],[InParenthesesCleaned]], tblPassengerNames[[#This Row],[P_FinalSpacePos]] - 1)
)</f>
        <v>#VALUE!</v>
      </c>
      <c r="P270" t="str">
        <f>IFERROR(tblPassengerNames[[#This Row],[P_Forenames]], tblPassengerNames[[#This Row],[ConvForenames]])</f>
        <v>James Clinch</v>
      </c>
      <c r="Q270" t="str">
        <f>MID(tblPassengerNames[[#This Row],[Name]], tblPassengerNames[[#This Row],[CommaPos]] + 2, tblPassengerNames[[#This Row],[DotPos]] - tblPassengerNames[[#This Row],[CommaPos]] - 1)</f>
        <v>Mr.</v>
      </c>
      <c r="R270" t="str">
        <f>LEFT(tblPassengerNames[[#This Row],[Name]], tblPassengerNames[[#This Row],[CommaPos]] - 1)</f>
        <v>Smith</v>
      </c>
    </row>
    <row r="271" spans="2:18" x14ac:dyDescent="0.25">
      <c r="B271" s="21">
        <v>269</v>
      </c>
      <c r="C271" s="21" t="s">
        <v>405</v>
      </c>
      <c r="D271" s="21" t="s">
        <v>138</v>
      </c>
      <c r="E271">
        <f>FIND(",", tblPassengerNames[[#This Row],[Name]])</f>
        <v>6</v>
      </c>
      <c r="F271">
        <f>FIND(".", tblPassengerNames[[#This Row],[Name]])</f>
        <v>10</v>
      </c>
      <c r="G271" t="e">
        <f>FIND("(", tblPassengerNames[[#This Row],[Name]])</f>
        <v>#VALUE!</v>
      </c>
      <c r="H271" t="e">
        <f>FIND(")", tblPassengerNames[[#This Row],[Name]])</f>
        <v>#VALUE!</v>
      </c>
      <c r="I271">
        <f>IFERROR(tblPassengerNames[[#This Row],[OpenParPos]] - 2, LEN(tblPassengerNames[[#This Row],[Name]]))</f>
        <v>24</v>
      </c>
      <c r="J271" t="str">
        <f>MID(tblPassengerNames[[#This Row],[Name]], tblPassengerNames[[#This Row],[DotPos]] + 2, tblPassengerNames[[#This Row],[EndOfConvFNPos]] - tblPassengerNames[[#This Row],[DotPos]] - 1)</f>
        <v>Lucien Philip</v>
      </c>
      <c r="K271" t="e">
        <f>MID(tblPassengerNames[[#This Row],[Name]], tblPassengerNames[[#This Row],[OpenParPos]] + 1, tblPassengerNames[[#This Row],[CloseParPos]] - tblPassengerNames[[#This Row],[OpenParPos]] - 1)</f>
        <v>#VALUE!</v>
      </c>
      <c r="L271" t="e">
        <f>IF(AND(LEFT(tblPassengerNames[[#This Row],[InParentheses]], 1) = "'", RIGHT(tblPassengerNames[[#This Row],[InParentheses]], 1) = "'"),
    #VALUE!,
    tblPassengerNames[[#This Row],[InParentheses]]
)</f>
        <v>#VALUE!</v>
      </c>
      <c r="M271" t="e">
        <f>LEN(tblPassengerNames[[#This Row],[InParenthesesCleaned]]) - LEN(SUBSTITUTE(tblPassengerNames[[#This Row],[InParenthesesCleaned]], " ", ""))</f>
        <v>#VALUE!</v>
      </c>
      <c r="N271" t="e">
        <f>FIND("@", SUBSTITUTE(tblPassengerNames[[#This Row],[InParenthesesCleaned]], " ", "@", tblPassengerNames[[#This Row],[P_NSpaces]]))</f>
        <v>#VALUE!</v>
      </c>
      <c r="O271" t="e">
        <f>IF(tblPassengerNames[[#This Row],[P_NSpaces]] = 0,
    tblPassengerNames[[#This Row],[InParenthesesCleaned]],
    LEFT(tblPassengerNames[[#This Row],[InParenthesesCleaned]], tblPassengerNames[[#This Row],[P_FinalSpacePos]] - 1)
)</f>
        <v>#VALUE!</v>
      </c>
      <c r="P271" t="str">
        <f>IFERROR(tblPassengerNames[[#This Row],[P_Forenames]], tblPassengerNames[[#This Row],[ConvForenames]])</f>
        <v>Lucien Philip</v>
      </c>
      <c r="Q271" t="str">
        <f>MID(tblPassengerNames[[#This Row],[Name]], tblPassengerNames[[#This Row],[CommaPos]] + 2, tblPassengerNames[[#This Row],[DotPos]] - tblPassengerNames[[#This Row],[CommaPos]] - 1)</f>
        <v>Mr.</v>
      </c>
      <c r="R271" t="str">
        <f>LEFT(tblPassengerNames[[#This Row],[Name]], tblPassengerNames[[#This Row],[CommaPos]] - 1)</f>
        <v>Smith</v>
      </c>
    </row>
    <row r="272" spans="2:18" x14ac:dyDescent="0.25">
      <c r="B272" s="21">
        <v>270</v>
      </c>
      <c r="C272" s="21" t="s">
        <v>406</v>
      </c>
      <c r="D272" s="21" t="s">
        <v>138</v>
      </c>
      <c r="E272">
        <f>FIND(",", tblPassengerNames[[#This Row],[Name]])</f>
        <v>6</v>
      </c>
      <c r="F272">
        <f>FIND(".", tblPassengerNames[[#This Row],[Name]])</f>
        <v>10</v>
      </c>
      <c r="G272" t="e">
        <f>FIND("(", tblPassengerNames[[#This Row],[Name]])</f>
        <v>#VALUE!</v>
      </c>
      <c r="H272" t="e">
        <f>FIND(")", tblPassengerNames[[#This Row],[Name]])</f>
        <v>#VALUE!</v>
      </c>
      <c r="I272">
        <f>IFERROR(tblPassengerNames[[#This Row],[OpenParPos]] - 2, LEN(tblPassengerNames[[#This Row],[Name]]))</f>
        <v>26</v>
      </c>
      <c r="J272" t="str">
        <f>MID(tblPassengerNames[[#This Row],[Name]], tblPassengerNames[[#This Row],[DotPos]] + 2, tblPassengerNames[[#This Row],[EndOfConvFNPos]] - tblPassengerNames[[#This Row],[DotPos]] - 1)</f>
        <v>Richard William</v>
      </c>
      <c r="K272" t="e">
        <f>MID(tblPassengerNames[[#This Row],[Name]], tblPassengerNames[[#This Row],[OpenParPos]] + 1, tblPassengerNames[[#This Row],[CloseParPos]] - tblPassengerNames[[#This Row],[OpenParPos]] - 1)</f>
        <v>#VALUE!</v>
      </c>
      <c r="L272" t="e">
        <f>IF(AND(LEFT(tblPassengerNames[[#This Row],[InParentheses]], 1) = "'", RIGHT(tblPassengerNames[[#This Row],[InParentheses]], 1) = "'"),
    #VALUE!,
    tblPassengerNames[[#This Row],[InParentheses]]
)</f>
        <v>#VALUE!</v>
      </c>
      <c r="M272" t="e">
        <f>LEN(tblPassengerNames[[#This Row],[InParenthesesCleaned]]) - LEN(SUBSTITUTE(tblPassengerNames[[#This Row],[InParenthesesCleaned]], " ", ""))</f>
        <v>#VALUE!</v>
      </c>
      <c r="N272" t="e">
        <f>FIND("@", SUBSTITUTE(tblPassengerNames[[#This Row],[InParenthesesCleaned]], " ", "@", tblPassengerNames[[#This Row],[P_NSpaces]]))</f>
        <v>#VALUE!</v>
      </c>
      <c r="O272" t="e">
        <f>IF(tblPassengerNames[[#This Row],[P_NSpaces]] = 0,
    tblPassengerNames[[#This Row],[InParenthesesCleaned]],
    LEFT(tblPassengerNames[[#This Row],[InParenthesesCleaned]], tblPassengerNames[[#This Row],[P_FinalSpacePos]] - 1)
)</f>
        <v>#VALUE!</v>
      </c>
      <c r="P272" t="str">
        <f>IFERROR(tblPassengerNames[[#This Row],[P_Forenames]], tblPassengerNames[[#This Row],[ConvForenames]])</f>
        <v>Richard William</v>
      </c>
      <c r="Q272" t="str">
        <f>MID(tblPassengerNames[[#This Row],[Name]], tblPassengerNames[[#This Row],[CommaPos]] + 2, tblPassengerNames[[#This Row],[DotPos]] - tblPassengerNames[[#This Row],[CommaPos]] - 1)</f>
        <v>Mr.</v>
      </c>
      <c r="R272" t="str">
        <f>LEFT(tblPassengerNames[[#This Row],[Name]], tblPassengerNames[[#This Row],[CommaPos]] - 1)</f>
        <v>Smith</v>
      </c>
    </row>
    <row r="273" spans="2:18" x14ac:dyDescent="0.25">
      <c r="B273" s="21">
        <v>271</v>
      </c>
      <c r="C273" s="21" t="s">
        <v>407</v>
      </c>
      <c r="D273" s="21" t="s">
        <v>136</v>
      </c>
      <c r="E273">
        <f>FIND(",", tblPassengerNames[[#This Row],[Name]])</f>
        <v>6</v>
      </c>
      <c r="F273">
        <f>FIND(".", tblPassengerNames[[#This Row],[Name]])</f>
        <v>11</v>
      </c>
      <c r="G273">
        <f>FIND("(", tblPassengerNames[[#This Row],[Name]])</f>
        <v>27</v>
      </c>
      <c r="H273">
        <f>FIND(")", tblPassengerNames[[#This Row],[Name]])</f>
        <v>46</v>
      </c>
      <c r="I273">
        <f>IFERROR(tblPassengerNames[[#This Row],[OpenParPos]] - 2, LEN(tblPassengerNames[[#This Row],[Name]]))</f>
        <v>25</v>
      </c>
      <c r="J273" t="str">
        <f>MID(tblPassengerNames[[#This Row],[Name]], tblPassengerNames[[#This Row],[DotPos]] + 2, tblPassengerNames[[#This Row],[EndOfConvFNPos]] - tblPassengerNames[[#This Row],[DotPos]] - 1)</f>
        <v>Lucien Philip</v>
      </c>
      <c r="K273" t="str">
        <f>MID(tblPassengerNames[[#This Row],[Name]], tblPassengerNames[[#This Row],[OpenParPos]] + 1, tblPassengerNames[[#This Row],[CloseParPos]] - tblPassengerNames[[#This Row],[OpenParPos]] - 1)</f>
        <v>Mary Eloise Hughes</v>
      </c>
      <c r="L273" t="str">
        <f>IF(AND(LEFT(tblPassengerNames[[#This Row],[InParentheses]], 1) = "'", RIGHT(tblPassengerNames[[#This Row],[InParentheses]], 1) = "'"),
    #VALUE!,
    tblPassengerNames[[#This Row],[InParentheses]]
)</f>
        <v>Mary Eloise Hughes</v>
      </c>
      <c r="M273">
        <f>LEN(tblPassengerNames[[#This Row],[InParenthesesCleaned]]) - LEN(SUBSTITUTE(tblPassengerNames[[#This Row],[InParenthesesCleaned]], " ", ""))</f>
        <v>2</v>
      </c>
      <c r="N273">
        <f>FIND("@", SUBSTITUTE(tblPassengerNames[[#This Row],[InParenthesesCleaned]], " ", "@", tblPassengerNames[[#This Row],[P_NSpaces]]))</f>
        <v>12</v>
      </c>
      <c r="O273" t="str">
        <f>IF(tblPassengerNames[[#This Row],[P_NSpaces]] = 0,
    tblPassengerNames[[#This Row],[InParenthesesCleaned]],
    LEFT(tblPassengerNames[[#This Row],[InParenthesesCleaned]], tblPassengerNames[[#This Row],[P_FinalSpacePos]] - 1)
)</f>
        <v>Mary Eloise</v>
      </c>
      <c r="P273" t="str">
        <f>IFERROR(tblPassengerNames[[#This Row],[P_Forenames]], tblPassengerNames[[#This Row],[ConvForenames]])</f>
        <v>Mary Eloise</v>
      </c>
      <c r="Q273" t="str">
        <f>MID(tblPassengerNames[[#This Row],[Name]], tblPassengerNames[[#This Row],[CommaPos]] + 2, tblPassengerNames[[#This Row],[DotPos]] - tblPassengerNames[[#This Row],[CommaPos]] - 1)</f>
        <v>Mrs.</v>
      </c>
      <c r="R273" t="str">
        <f>LEFT(tblPassengerNames[[#This Row],[Name]], tblPassengerNames[[#This Row],[CommaPos]] - 1)</f>
        <v>Smith</v>
      </c>
    </row>
    <row r="274" spans="2:18" x14ac:dyDescent="0.25">
      <c r="B274" s="21">
        <v>272</v>
      </c>
      <c r="C274" s="21" t="s">
        <v>408</v>
      </c>
      <c r="D274" s="21" t="s">
        <v>138</v>
      </c>
      <c r="E274">
        <f>FIND(",", tblPassengerNames[[#This Row],[Name]])</f>
        <v>7</v>
      </c>
      <c r="F274">
        <f>FIND(".", tblPassengerNames[[#This Row],[Name]])</f>
        <v>11</v>
      </c>
      <c r="G274" t="e">
        <f>FIND("(", tblPassengerNames[[#This Row],[Name]])</f>
        <v>#VALUE!</v>
      </c>
      <c r="H274" t="e">
        <f>FIND(")", tblPassengerNames[[#This Row],[Name]])</f>
        <v>#VALUE!</v>
      </c>
      <c r="I274">
        <f>IFERROR(tblPassengerNames[[#This Row],[OpenParPos]] - 2, LEN(tblPassengerNames[[#This Row],[Name]]))</f>
        <v>26</v>
      </c>
      <c r="J274" t="str">
        <f>MID(tblPassengerNames[[#This Row],[Name]], tblPassengerNames[[#This Row],[DotPos]] + 2, tblPassengerNames[[#This Row],[EndOfConvFNPos]] - tblPassengerNames[[#This Row],[DotPos]] - 1)</f>
        <v>John Pillsbury</v>
      </c>
      <c r="K274" t="e">
        <f>MID(tblPassengerNames[[#This Row],[Name]], tblPassengerNames[[#This Row],[OpenParPos]] + 1, tblPassengerNames[[#This Row],[CloseParPos]] - tblPassengerNames[[#This Row],[OpenParPos]] - 1)</f>
        <v>#VALUE!</v>
      </c>
      <c r="L274" t="e">
        <f>IF(AND(LEFT(tblPassengerNames[[#This Row],[InParentheses]], 1) = "'", RIGHT(tblPassengerNames[[#This Row],[InParentheses]], 1) = "'"),
    #VALUE!,
    tblPassengerNames[[#This Row],[InParentheses]]
)</f>
        <v>#VALUE!</v>
      </c>
      <c r="M274" t="e">
        <f>LEN(tblPassengerNames[[#This Row],[InParenthesesCleaned]]) - LEN(SUBSTITUTE(tblPassengerNames[[#This Row],[InParenthesesCleaned]], " ", ""))</f>
        <v>#VALUE!</v>
      </c>
      <c r="N274" t="e">
        <f>FIND("@", SUBSTITUTE(tblPassengerNames[[#This Row],[InParenthesesCleaned]], " ", "@", tblPassengerNames[[#This Row],[P_NSpaces]]))</f>
        <v>#VALUE!</v>
      </c>
      <c r="O274" t="e">
        <f>IF(tblPassengerNames[[#This Row],[P_NSpaces]] = 0,
    tblPassengerNames[[#This Row],[InParenthesesCleaned]],
    LEFT(tblPassengerNames[[#This Row],[InParenthesesCleaned]], tblPassengerNames[[#This Row],[P_FinalSpacePos]] - 1)
)</f>
        <v>#VALUE!</v>
      </c>
      <c r="P274" t="str">
        <f>IFERROR(tblPassengerNames[[#This Row],[P_Forenames]], tblPassengerNames[[#This Row],[ConvForenames]])</f>
        <v>John Pillsbury</v>
      </c>
      <c r="Q274" t="str">
        <f>MID(tblPassengerNames[[#This Row],[Name]], tblPassengerNames[[#This Row],[CommaPos]] + 2, tblPassengerNames[[#This Row],[DotPos]] - tblPassengerNames[[#This Row],[CommaPos]] - 1)</f>
        <v>Mr.</v>
      </c>
      <c r="R274" t="str">
        <f>LEFT(tblPassengerNames[[#This Row],[Name]], tblPassengerNames[[#This Row],[CommaPos]] - 1)</f>
        <v>Snyder</v>
      </c>
    </row>
    <row r="275" spans="2:18" x14ac:dyDescent="0.25">
      <c r="B275" s="21">
        <v>273</v>
      </c>
      <c r="C275" s="21" t="s">
        <v>409</v>
      </c>
      <c r="D275" s="21" t="s">
        <v>136</v>
      </c>
      <c r="E275">
        <f>FIND(",", tblPassengerNames[[#This Row],[Name]])</f>
        <v>7</v>
      </c>
      <c r="F275">
        <f>FIND(".", tblPassengerNames[[#This Row],[Name]])</f>
        <v>12</v>
      </c>
      <c r="G275">
        <f>FIND("(", tblPassengerNames[[#This Row],[Name]])</f>
        <v>29</v>
      </c>
      <c r="H275">
        <f>FIND(")", tblPassengerNames[[#This Row],[Name]])</f>
        <v>45</v>
      </c>
      <c r="I275">
        <f>IFERROR(tblPassengerNames[[#This Row],[OpenParPos]] - 2, LEN(tblPassengerNames[[#This Row],[Name]]))</f>
        <v>27</v>
      </c>
      <c r="J275" t="str">
        <f>MID(tblPassengerNames[[#This Row],[Name]], tblPassengerNames[[#This Row],[DotPos]] + 2, tblPassengerNames[[#This Row],[EndOfConvFNPos]] - tblPassengerNames[[#This Row],[DotPos]] - 1)</f>
        <v>John Pillsbury</v>
      </c>
      <c r="K275" t="str">
        <f>MID(tblPassengerNames[[#This Row],[Name]], tblPassengerNames[[#This Row],[OpenParPos]] + 1, tblPassengerNames[[#This Row],[CloseParPos]] - tblPassengerNames[[#This Row],[OpenParPos]] - 1)</f>
        <v>Nelle Stevenson</v>
      </c>
      <c r="L275" t="str">
        <f>IF(AND(LEFT(tblPassengerNames[[#This Row],[InParentheses]], 1) = "'", RIGHT(tblPassengerNames[[#This Row],[InParentheses]], 1) = "'"),
    #VALUE!,
    tblPassengerNames[[#This Row],[InParentheses]]
)</f>
        <v>Nelle Stevenson</v>
      </c>
      <c r="M275">
        <f>LEN(tblPassengerNames[[#This Row],[InParenthesesCleaned]]) - LEN(SUBSTITUTE(tblPassengerNames[[#This Row],[InParenthesesCleaned]], " ", ""))</f>
        <v>1</v>
      </c>
      <c r="N275">
        <f>FIND("@", SUBSTITUTE(tblPassengerNames[[#This Row],[InParenthesesCleaned]], " ", "@", tblPassengerNames[[#This Row],[P_NSpaces]]))</f>
        <v>6</v>
      </c>
      <c r="O275" t="str">
        <f>IF(tblPassengerNames[[#This Row],[P_NSpaces]] = 0,
    tblPassengerNames[[#This Row],[InParenthesesCleaned]],
    LEFT(tblPassengerNames[[#This Row],[InParenthesesCleaned]], tblPassengerNames[[#This Row],[P_FinalSpacePos]] - 1)
)</f>
        <v>Nelle</v>
      </c>
      <c r="P275" t="str">
        <f>IFERROR(tblPassengerNames[[#This Row],[P_Forenames]], tblPassengerNames[[#This Row],[ConvForenames]])</f>
        <v>Nelle</v>
      </c>
      <c r="Q275" t="str">
        <f>MID(tblPassengerNames[[#This Row],[Name]], tblPassengerNames[[#This Row],[CommaPos]] + 2, tblPassengerNames[[#This Row],[DotPos]] - tblPassengerNames[[#This Row],[CommaPos]] - 1)</f>
        <v>Mrs.</v>
      </c>
      <c r="R275" t="str">
        <f>LEFT(tblPassengerNames[[#This Row],[Name]], tblPassengerNames[[#This Row],[CommaPos]] - 1)</f>
        <v>Snyder</v>
      </c>
    </row>
    <row r="276" spans="2:18" x14ac:dyDescent="0.25">
      <c r="B276" s="21">
        <v>274</v>
      </c>
      <c r="C276" s="21" t="s">
        <v>410</v>
      </c>
      <c r="D276" s="21" t="s">
        <v>138</v>
      </c>
      <c r="E276">
        <f>FIND(",", tblPassengerNames[[#This Row],[Name]])</f>
        <v>8</v>
      </c>
      <c r="F276">
        <f>FIND(".", tblPassengerNames[[#This Row],[Name]])</f>
        <v>16</v>
      </c>
      <c r="G276" t="e">
        <f>FIND("(", tblPassengerNames[[#This Row],[Name]])</f>
        <v>#VALUE!</v>
      </c>
      <c r="H276" t="e">
        <f>FIND(")", tblPassengerNames[[#This Row],[Name]])</f>
        <v>#VALUE!</v>
      </c>
      <c r="I276">
        <f>IFERROR(tblPassengerNames[[#This Row],[OpenParPos]] - 2, LEN(tblPassengerNames[[#This Row],[Name]]))</f>
        <v>31</v>
      </c>
      <c r="J276" t="str">
        <f>MID(tblPassengerNames[[#This Row],[Name]], tblPassengerNames[[#This Row],[DotPos]] + 2, tblPassengerNames[[#This Row],[EndOfConvFNPos]] - tblPassengerNames[[#This Row],[DotPos]] - 1)</f>
        <v>Robert Douglas</v>
      </c>
      <c r="K276" t="e">
        <f>MID(tblPassengerNames[[#This Row],[Name]], tblPassengerNames[[#This Row],[OpenParPos]] + 1, tblPassengerNames[[#This Row],[CloseParPos]] - tblPassengerNames[[#This Row],[OpenParPos]] - 1)</f>
        <v>#VALUE!</v>
      </c>
      <c r="L276" t="e">
        <f>IF(AND(LEFT(tblPassengerNames[[#This Row],[InParentheses]], 1) = "'", RIGHT(tblPassengerNames[[#This Row],[InParentheses]], 1) = "'"),
    #VALUE!,
    tblPassengerNames[[#This Row],[InParentheses]]
)</f>
        <v>#VALUE!</v>
      </c>
      <c r="M276" t="e">
        <f>LEN(tblPassengerNames[[#This Row],[InParenthesesCleaned]]) - LEN(SUBSTITUTE(tblPassengerNames[[#This Row],[InParenthesesCleaned]], " ", ""))</f>
        <v>#VALUE!</v>
      </c>
      <c r="N276" t="e">
        <f>FIND("@", SUBSTITUTE(tblPassengerNames[[#This Row],[InParenthesesCleaned]], " ", "@", tblPassengerNames[[#This Row],[P_NSpaces]]))</f>
        <v>#VALUE!</v>
      </c>
      <c r="O276" t="e">
        <f>IF(tblPassengerNames[[#This Row],[P_NSpaces]] = 0,
    tblPassengerNames[[#This Row],[InParenthesesCleaned]],
    LEFT(tblPassengerNames[[#This Row],[InParenthesesCleaned]], tblPassengerNames[[#This Row],[P_FinalSpacePos]] - 1)
)</f>
        <v>#VALUE!</v>
      </c>
      <c r="P276" t="str">
        <f>IFERROR(tblPassengerNames[[#This Row],[P_Forenames]], tblPassengerNames[[#This Row],[ConvForenames]])</f>
        <v>Robert Douglas</v>
      </c>
      <c r="Q276" t="str">
        <f>MID(tblPassengerNames[[#This Row],[Name]], tblPassengerNames[[#This Row],[CommaPos]] + 2, tblPassengerNames[[#This Row],[DotPos]] - tblPassengerNames[[#This Row],[CommaPos]] - 1)</f>
        <v>Master.</v>
      </c>
      <c r="R276" t="str">
        <f>LEFT(tblPassengerNames[[#This Row],[Name]], tblPassengerNames[[#This Row],[CommaPos]] - 1)</f>
        <v>Spedden</v>
      </c>
    </row>
    <row r="277" spans="2:18" x14ac:dyDescent="0.25">
      <c r="B277" s="21">
        <v>275</v>
      </c>
      <c r="C277" s="21" t="s">
        <v>411</v>
      </c>
      <c r="D277" s="21" t="s">
        <v>138</v>
      </c>
      <c r="E277">
        <f>FIND(",", tblPassengerNames[[#This Row],[Name]])</f>
        <v>8</v>
      </c>
      <c r="F277">
        <f>FIND(".", tblPassengerNames[[#This Row],[Name]])</f>
        <v>12</v>
      </c>
      <c r="G277" t="e">
        <f>FIND("(", tblPassengerNames[[#This Row],[Name]])</f>
        <v>#VALUE!</v>
      </c>
      <c r="H277" t="e">
        <f>FIND(")", tblPassengerNames[[#This Row],[Name]])</f>
        <v>#VALUE!</v>
      </c>
      <c r="I277">
        <f>IFERROR(tblPassengerNames[[#This Row],[OpenParPos]] - 2, LEN(tblPassengerNames[[#This Row],[Name]]))</f>
        <v>28</v>
      </c>
      <c r="J277" t="str">
        <f>MID(tblPassengerNames[[#This Row],[Name]], tblPassengerNames[[#This Row],[DotPos]] + 2, tblPassengerNames[[#This Row],[EndOfConvFNPos]] - tblPassengerNames[[#This Row],[DotPos]] - 1)</f>
        <v>Frederic Oakley</v>
      </c>
      <c r="K277" t="e">
        <f>MID(tblPassengerNames[[#This Row],[Name]], tblPassengerNames[[#This Row],[OpenParPos]] + 1, tblPassengerNames[[#This Row],[CloseParPos]] - tblPassengerNames[[#This Row],[OpenParPos]] - 1)</f>
        <v>#VALUE!</v>
      </c>
      <c r="L277" t="e">
        <f>IF(AND(LEFT(tblPassengerNames[[#This Row],[InParentheses]], 1) = "'", RIGHT(tblPassengerNames[[#This Row],[InParentheses]], 1) = "'"),
    #VALUE!,
    tblPassengerNames[[#This Row],[InParentheses]]
)</f>
        <v>#VALUE!</v>
      </c>
      <c r="M277" t="e">
        <f>LEN(tblPassengerNames[[#This Row],[InParenthesesCleaned]]) - LEN(SUBSTITUTE(tblPassengerNames[[#This Row],[InParenthesesCleaned]], " ", ""))</f>
        <v>#VALUE!</v>
      </c>
      <c r="N277" t="e">
        <f>FIND("@", SUBSTITUTE(tblPassengerNames[[#This Row],[InParenthesesCleaned]], " ", "@", tblPassengerNames[[#This Row],[P_NSpaces]]))</f>
        <v>#VALUE!</v>
      </c>
      <c r="O277" t="e">
        <f>IF(tblPassengerNames[[#This Row],[P_NSpaces]] = 0,
    tblPassengerNames[[#This Row],[InParenthesesCleaned]],
    LEFT(tblPassengerNames[[#This Row],[InParenthesesCleaned]], tblPassengerNames[[#This Row],[P_FinalSpacePos]] - 1)
)</f>
        <v>#VALUE!</v>
      </c>
      <c r="P277" t="str">
        <f>IFERROR(tblPassengerNames[[#This Row],[P_Forenames]], tblPassengerNames[[#This Row],[ConvForenames]])</f>
        <v>Frederic Oakley</v>
      </c>
      <c r="Q277" t="str">
        <f>MID(tblPassengerNames[[#This Row],[Name]], tblPassengerNames[[#This Row],[CommaPos]] + 2, tblPassengerNames[[#This Row],[DotPos]] - tblPassengerNames[[#This Row],[CommaPos]] - 1)</f>
        <v>Mr.</v>
      </c>
      <c r="R277" t="str">
        <f>LEFT(tblPassengerNames[[#This Row],[Name]], tblPassengerNames[[#This Row],[CommaPos]] - 1)</f>
        <v>Spedden</v>
      </c>
    </row>
    <row r="278" spans="2:18" x14ac:dyDescent="0.25">
      <c r="B278" s="21">
        <v>276</v>
      </c>
      <c r="C278" s="21" t="s">
        <v>412</v>
      </c>
      <c r="D278" s="21" t="s">
        <v>136</v>
      </c>
      <c r="E278">
        <f>FIND(",", tblPassengerNames[[#This Row],[Name]])</f>
        <v>8</v>
      </c>
      <c r="F278">
        <f>FIND(".", tblPassengerNames[[#This Row],[Name]])</f>
        <v>13</v>
      </c>
      <c r="G278">
        <f>FIND("(", tblPassengerNames[[#This Row],[Name]])</f>
        <v>31</v>
      </c>
      <c r="H278">
        <f>FIND(")", tblPassengerNames[[#This Row],[Name]])</f>
        <v>56</v>
      </c>
      <c r="I278">
        <f>IFERROR(tblPassengerNames[[#This Row],[OpenParPos]] - 2, LEN(tblPassengerNames[[#This Row],[Name]]))</f>
        <v>29</v>
      </c>
      <c r="J278" t="str">
        <f>MID(tblPassengerNames[[#This Row],[Name]], tblPassengerNames[[#This Row],[DotPos]] + 2, tblPassengerNames[[#This Row],[EndOfConvFNPos]] - tblPassengerNames[[#This Row],[DotPos]] - 1)</f>
        <v>Frederic Oakley</v>
      </c>
      <c r="K278" t="str">
        <f>MID(tblPassengerNames[[#This Row],[Name]], tblPassengerNames[[#This Row],[OpenParPos]] + 1, tblPassengerNames[[#This Row],[CloseParPos]] - tblPassengerNames[[#This Row],[OpenParPos]] - 1)</f>
        <v>Margaretta Corning Stone</v>
      </c>
      <c r="L278" t="str">
        <f>IF(AND(LEFT(tblPassengerNames[[#This Row],[InParentheses]], 1) = "'", RIGHT(tblPassengerNames[[#This Row],[InParentheses]], 1) = "'"),
    #VALUE!,
    tblPassengerNames[[#This Row],[InParentheses]]
)</f>
        <v>Margaretta Corning Stone</v>
      </c>
      <c r="M278">
        <f>LEN(tblPassengerNames[[#This Row],[InParenthesesCleaned]]) - LEN(SUBSTITUTE(tblPassengerNames[[#This Row],[InParenthesesCleaned]], " ", ""))</f>
        <v>2</v>
      </c>
      <c r="N278">
        <f>FIND("@", SUBSTITUTE(tblPassengerNames[[#This Row],[InParenthesesCleaned]], " ", "@", tblPassengerNames[[#This Row],[P_NSpaces]]))</f>
        <v>19</v>
      </c>
      <c r="O278" t="str">
        <f>IF(tblPassengerNames[[#This Row],[P_NSpaces]] = 0,
    tblPassengerNames[[#This Row],[InParenthesesCleaned]],
    LEFT(tblPassengerNames[[#This Row],[InParenthesesCleaned]], tblPassengerNames[[#This Row],[P_FinalSpacePos]] - 1)
)</f>
        <v>Margaretta Corning</v>
      </c>
      <c r="P278" t="str">
        <f>IFERROR(tblPassengerNames[[#This Row],[P_Forenames]], tblPassengerNames[[#This Row],[ConvForenames]])</f>
        <v>Margaretta Corning</v>
      </c>
      <c r="Q278" t="str">
        <f>MID(tblPassengerNames[[#This Row],[Name]], tblPassengerNames[[#This Row],[CommaPos]] + 2, tblPassengerNames[[#This Row],[DotPos]] - tblPassengerNames[[#This Row],[CommaPos]] - 1)</f>
        <v>Mrs.</v>
      </c>
      <c r="R278" t="str">
        <f>LEFT(tblPassengerNames[[#This Row],[Name]], tblPassengerNames[[#This Row],[CommaPos]] - 1)</f>
        <v>Spedden</v>
      </c>
    </row>
    <row r="279" spans="2:18" x14ac:dyDescent="0.25">
      <c r="B279" s="21">
        <v>277</v>
      </c>
      <c r="C279" s="21" t="s">
        <v>413</v>
      </c>
      <c r="D279" s="21" t="s">
        <v>138</v>
      </c>
      <c r="E279">
        <f>FIND(",", tblPassengerNames[[#This Row],[Name]])</f>
        <v>8</v>
      </c>
      <c r="F279">
        <f>FIND(".", tblPassengerNames[[#This Row],[Name]])</f>
        <v>12</v>
      </c>
      <c r="G279" t="e">
        <f>FIND("(", tblPassengerNames[[#This Row],[Name]])</f>
        <v>#VALUE!</v>
      </c>
      <c r="H279" t="e">
        <f>FIND(")", tblPassengerNames[[#This Row],[Name]])</f>
        <v>#VALUE!</v>
      </c>
      <c r="I279">
        <f>IFERROR(tblPassengerNames[[#This Row],[OpenParPos]] - 2, LEN(tblPassengerNames[[#This Row],[Name]]))</f>
        <v>29</v>
      </c>
      <c r="J279" t="str">
        <f>MID(tblPassengerNames[[#This Row],[Name]], tblPassengerNames[[#This Row],[DotPos]] + 2, tblPassengerNames[[#This Row],[EndOfConvFNPos]] - tblPassengerNames[[#This Row],[DotPos]] - 1)</f>
        <v>William Augustus</v>
      </c>
      <c r="K279" t="e">
        <f>MID(tblPassengerNames[[#This Row],[Name]], tblPassengerNames[[#This Row],[OpenParPos]] + 1, tblPassengerNames[[#This Row],[CloseParPos]] - tblPassengerNames[[#This Row],[OpenParPos]] - 1)</f>
        <v>#VALUE!</v>
      </c>
      <c r="L279" t="e">
        <f>IF(AND(LEFT(tblPassengerNames[[#This Row],[InParentheses]], 1) = "'", RIGHT(tblPassengerNames[[#This Row],[InParentheses]], 1) = "'"),
    #VALUE!,
    tblPassengerNames[[#This Row],[InParentheses]]
)</f>
        <v>#VALUE!</v>
      </c>
      <c r="M279" t="e">
        <f>LEN(tblPassengerNames[[#This Row],[InParenthesesCleaned]]) - LEN(SUBSTITUTE(tblPassengerNames[[#This Row],[InParenthesesCleaned]], " ", ""))</f>
        <v>#VALUE!</v>
      </c>
      <c r="N279" t="e">
        <f>FIND("@", SUBSTITUTE(tblPassengerNames[[#This Row],[InParenthesesCleaned]], " ", "@", tblPassengerNames[[#This Row],[P_NSpaces]]))</f>
        <v>#VALUE!</v>
      </c>
      <c r="O279" t="e">
        <f>IF(tblPassengerNames[[#This Row],[P_NSpaces]] = 0,
    tblPassengerNames[[#This Row],[InParenthesesCleaned]],
    LEFT(tblPassengerNames[[#This Row],[InParenthesesCleaned]], tblPassengerNames[[#This Row],[P_FinalSpacePos]] - 1)
)</f>
        <v>#VALUE!</v>
      </c>
      <c r="P279" t="str">
        <f>IFERROR(tblPassengerNames[[#This Row],[P_Forenames]], tblPassengerNames[[#This Row],[ConvForenames]])</f>
        <v>William Augustus</v>
      </c>
      <c r="Q279" t="str">
        <f>MID(tblPassengerNames[[#This Row],[Name]], tblPassengerNames[[#This Row],[CommaPos]] + 2, tblPassengerNames[[#This Row],[DotPos]] - tblPassengerNames[[#This Row],[CommaPos]] - 1)</f>
        <v>Mr.</v>
      </c>
      <c r="R279" t="str">
        <f>LEFT(tblPassengerNames[[#This Row],[Name]], tblPassengerNames[[#This Row],[CommaPos]] - 1)</f>
        <v>Spencer</v>
      </c>
    </row>
    <row r="280" spans="2:18" x14ac:dyDescent="0.25">
      <c r="B280" s="21">
        <v>278</v>
      </c>
      <c r="C280" s="21" t="s">
        <v>414</v>
      </c>
      <c r="D280" s="21" t="s">
        <v>136</v>
      </c>
      <c r="E280">
        <f>FIND(",", tblPassengerNames[[#This Row],[Name]])</f>
        <v>8</v>
      </c>
      <c r="F280">
        <f>FIND(".", tblPassengerNames[[#This Row],[Name]])</f>
        <v>13</v>
      </c>
      <c r="G280">
        <f>FIND("(", tblPassengerNames[[#This Row],[Name]])</f>
        <v>32</v>
      </c>
      <c r="H280">
        <f>FIND(")", tblPassengerNames[[#This Row],[Name]])</f>
        <v>46</v>
      </c>
      <c r="I280">
        <f>IFERROR(tblPassengerNames[[#This Row],[OpenParPos]] - 2, LEN(tblPassengerNames[[#This Row],[Name]]))</f>
        <v>30</v>
      </c>
      <c r="J280" t="str">
        <f>MID(tblPassengerNames[[#This Row],[Name]], tblPassengerNames[[#This Row],[DotPos]] + 2, tblPassengerNames[[#This Row],[EndOfConvFNPos]] - tblPassengerNames[[#This Row],[DotPos]] - 1)</f>
        <v>William Augustus</v>
      </c>
      <c r="K280" t="str">
        <f>MID(tblPassengerNames[[#This Row],[Name]], tblPassengerNames[[#This Row],[OpenParPos]] + 1, tblPassengerNames[[#This Row],[CloseParPos]] - tblPassengerNames[[#This Row],[OpenParPos]] - 1)</f>
        <v>Marie Eugenie</v>
      </c>
      <c r="L280" t="str">
        <f>IF(AND(LEFT(tblPassengerNames[[#This Row],[InParentheses]], 1) = "'", RIGHT(tblPassengerNames[[#This Row],[InParentheses]], 1) = "'"),
    #VALUE!,
    tblPassengerNames[[#This Row],[InParentheses]]
)</f>
        <v>Marie Eugenie</v>
      </c>
      <c r="M280">
        <f>LEN(tblPassengerNames[[#This Row],[InParenthesesCleaned]]) - LEN(SUBSTITUTE(tblPassengerNames[[#This Row],[InParenthesesCleaned]], " ", ""))</f>
        <v>1</v>
      </c>
      <c r="N280">
        <f>FIND("@", SUBSTITUTE(tblPassengerNames[[#This Row],[InParenthesesCleaned]], " ", "@", tblPassengerNames[[#This Row],[P_NSpaces]]))</f>
        <v>6</v>
      </c>
      <c r="O280" t="str">
        <f>IF(tblPassengerNames[[#This Row],[P_NSpaces]] = 0,
    tblPassengerNames[[#This Row],[InParenthesesCleaned]],
    LEFT(tblPassengerNames[[#This Row],[InParenthesesCleaned]], tblPassengerNames[[#This Row],[P_FinalSpacePos]] - 1)
)</f>
        <v>Marie</v>
      </c>
      <c r="P280" t="str">
        <f>IFERROR(tblPassengerNames[[#This Row],[P_Forenames]], tblPassengerNames[[#This Row],[ConvForenames]])</f>
        <v>Marie</v>
      </c>
      <c r="Q280" t="str">
        <f>MID(tblPassengerNames[[#This Row],[Name]], tblPassengerNames[[#This Row],[CommaPos]] + 2, tblPassengerNames[[#This Row],[DotPos]] - tblPassengerNames[[#This Row],[CommaPos]] - 1)</f>
        <v>Mrs.</v>
      </c>
      <c r="R280" t="str">
        <f>LEFT(tblPassengerNames[[#This Row],[Name]], tblPassengerNames[[#This Row],[CommaPos]] - 1)</f>
        <v>Spencer</v>
      </c>
    </row>
    <row r="281" spans="2:18" x14ac:dyDescent="0.25">
      <c r="B281" s="21">
        <v>279</v>
      </c>
      <c r="C281" s="21" t="s">
        <v>415</v>
      </c>
      <c r="D281" s="21" t="s">
        <v>138</v>
      </c>
      <c r="E281">
        <f>FIND(",", tblPassengerNames[[#This Row],[Name]])</f>
        <v>17</v>
      </c>
      <c r="F281">
        <f>FIND(".", tblPassengerNames[[#This Row],[Name]])</f>
        <v>21</v>
      </c>
      <c r="G281" t="e">
        <f>FIND("(", tblPassengerNames[[#This Row],[Name]])</f>
        <v>#VALUE!</v>
      </c>
      <c r="H281" t="e">
        <f>FIND(")", tblPassengerNames[[#This Row],[Name]])</f>
        <v>#VALUE!</v>
      </c>
      <c r="I281">
        <f>IFERROR(tblPassengerNames[[#This Row],[OpenParPos]] - 2, LEN(tblPassengerNames[[#This Row],[Name]]))</f>
        <v>25</v>
      </c>
      <c r="J281" t="str">
        <f>MID(tblPassengerNames[[#This Row],[Name]], tblPassengerNames[[#This Row],[DotPos]] + 2, tblPassengerNames[[#This Row],[EndOfConvFNPos]] - tblPassengerNames[[#This Row],[DotPos]] - 1)</f>
        <v>Max</v>
      </c>
      <c r="K281" t="e">
        <f>MID(tblPassengerNames[[#This Row],[Name]], tblPassengerNames[[#This Row],[OpenParPos]] + 1, tblPassengerNames[[#This Row],[CloseParPos]] - tblPassengerNames[[#This Row],[OpenParPos]] - 1)</f>
        <v>#VALUE!</v>
      </c>
      <c r="L281" t="e">
        <f>IF(AND(LEFT(tblPassengerNames[[#This Row],[InParentheses]], 1) = "'", RIGHT(tblPassengerNames[[#This Row],[InParentheses]], 1) = "'"),
    #VALUE!,
    tblPassengerNames[[#This Row],[InParentheses]]
)</f>
        <v>#VALUE!</v>
      </c>
      <c r="M281" t="e">
        <f>LEN(tblPassengerNames[[#This Row],[InParenthesesCleaned]]) - LEN(SUBSTITUTE(tblPassengerNames[[#This Row],[InParenthesesCleaned]], " ", ""))</f>
        <v>#VALUE!</v>
      </c>
      <c r="N281" t="e">
        <f>FIND("@", SUBSTITUTE(tblPassengerNames[[#This Row],[InParenthesesCleaned]], " ", "@", tblPassengerNames[[#This Row],[P_NSpaces]]))</f>
        <v>#VALUE!</v>
      </c>
      <c r="O281" t="e">
        <f>IF(tblPassengerNames[[#This Row],[P_NSpaces]] = 0,
    tblPassengerNames[[#This Row],[InParenthesesCleaned]],
    LEFT(tblPassengerNames[[#This Row],[InParenthesesCleaned]], tblPassengerNames[[#This Row],[P_FinalSpacePos]] - 1)
)</f>
        <v>#VALUE!</v>
      </c>
      <c r="P281" t="str">
        <f>IFERROR(tblPassengerNames[[#This Row],[P_Forenames]], tblPassengerNames[[#This Row],[ConvForenames]])</f>
        <v>Max</v>
      </c>
      <c r="Q281" t="str">
        <f>MID(tblPassengerNames[[#This Row],[Name]], tblPassengerNames[[#This Row],[CommaPos]] + 2, tblPassengerNames[[#This Row],[DotPos]] - tblPassengerNames[[#This Row],[CommaPos]] - 1)</f>
        <v>Dr.</v>
      </c>
      <c r="R281" t="str">
        <f>LEFT(tblPassengerNames[[#This Row],[Name]], tblPassengerNames[[#This Row],[CommaPos]] - 1)</f>
        <v>Stahelin-Maeglin</v>
      </c>
    </row>
    <row r="282" spans="2:18" x14ac:dyDescent="0.25">
      <c r="B282" s="21">
        <v>280</v>
      </c>
      <c r="C282" s="21" t="s">
        <v>416</v>
      </c>
      <c r="D282" s="21" t="s">
        <v>138</v>
      </c>
      <c r="E282">
        <f>FIND(",", tblPassengerNames[[#This Row],[Name]])</f>
        <v>6</v>
      </c>
      <c r="F282">
        <f>FIND(".", tblPassengerNames[[#This Row],[Name]])</f>
        <v>10</v>
      </c>
      <c r="G282" t="e">
        <f>FIND("(", tblPassengerNames[[#This Row],[Name]])</f>
        <v>#VALUE!</v>
      </c>
      <c r="H282" t="e">
        <f>FIND(")", tblPassengerNames[[#This Row],[Name]])</f>
        <v>#VALUE!</v>
      </c>
      <c r="I282">
        <f>IFERROR(tblPassengerNames[[#This Row],[OpenParPos]] - 2, LEN(tblPassengerNames[[#This Row],[Name]]))</f>
        <v>25</v>
      </c>
      <c r="J282" t="str">
        <f>MID(tblPassengerNames[[#This Row],[Name]], tblPassengerNames[[#This Row],[DotPos]] + 2, tblPassengerNames[[#This Row],[EndOfConvFNPos]] - tblPassengerNames[[#This Row],[DotPos]] - 1)</f>
        <v>William Thomas</v>
      </c>
      <c r="K282" t="e">
        <f>MID(tblPassengerNames[[#This Row],[Name]], tblPassengerNames[[#This Row],[OpenParPos]] + 1, tblPassengerNames[[#This Row],[CloseParPos]] - tblPassengerNames[[#This Row],[OpenParPos]] - 1)</f>
        <v>#VALUE!</v>
      </c>
      <c r="L282" t="e">
        <f>IF(AND(LEFT(tblPassengerNames[[#This Row],[InParentheses]], 1) = "'", RIGHT(tblPassengerNames[[#This Row],[InParentheses]], 1) = "'"),
    #VALUE!,
    tblPassengerNames[[#This Row],[InParentheses]]
)</f>
        <v>#VALUE!</v>
      </c>
      <c r="M282" t="e">
        <f>LEN(tblPassengerNames[[#This Row],[InParenthesesCleaned]]) - LEN(SUBSTITUTE(tblPassengerNames[[#This Row],[InParenthesesCleaned]], " ", ""))</f>
        <v>#VALUE!</v>
      </c>
      <c r="N282" t="e">
        <f>FIND("@", SUBSTITUTE(tblPassengerNames[[#This Row],[InParenthesesCleaned]], " ", "@", tblPassengerNames[[#This Row],[P_NSpaces]]))</f>
        <v>#VALUE!</v>
      </c>
      <c r="O282" t="e">
        <f>IF(tblPassengerNames[[#This Row],[P_NSpaces]] = 0,
    tblPassengerNames[[#This Row],[InParenthesesCleaned]],
    LEFT(tblPassengerNames[[#This Row],[InParenthesesCleaned]], tblPassengerNames[[#This Row],[P_FinalSpacePos]] - 1)
)</f>
        <v>#VALUE!</v>
      </c>
      <c r="P282" t="str">
        <f>IFERROR(tblPassengerNames[[#This Row],[P_Forenames]], tblPassengerNames[[#This Row],[ConvForenames]])</f>
        <v>William Thomas</v>
      </c>
      <c r="Q282" t="str">
        <f>MID(tblPassengerNames[[#This Row],[Name]], tblPassengerNames[[#This Row],[CommaPos]] + 2, tblPassengerNames[[#This Row],[DotPos]] - tblPassengerNames[[#This Row],[CommaPos]] - 1)</f>
        <v>Mr.</v>
      </c>
      <c r="R282" t="str">
        <f>LEFT(tblPassengerNames[[#This Row],[Name]], tblPassengerNames[[#This Row],[CommaPos]] - 1)</f>
        <v>Stead</v>
      </c>
    </row>
    <row r="283" spans="2:18" x14ac:dyDescent="0.25">
      <c r="B283" s="21">
        <v>281</v>
      </c>
      <c r="C283" s="21" t="s">
        <v>417</v>
      </c>
      <c r="D283" s="21" t="s">
        <v>138</v>
      </c>
      <c r="E283">
        <f>FIND(",", tblPassengerNames[[#This Row],[Name]])</f>
        <v>8</v>
      </c>
      <c r="F283">
        <f>FIND(".", tblPassengerNames[[#This Row],[Name]])</f>
        <v>12</v>
      </c>
      <c r="G283" t="e">
        <f>FIND("(", tblPassengerNames[[#This Row],[Name]])</f>
        <v>#VALUE!</v>
      </c>
      <c r="H283" t="e">
        <f>FIND(")", tblPassengerNames[[#This Row],[Name]])</f>
        <v>#VALUE!</v>
      </c>
      <c r="I283">
        <f>IFERROR(tblPassengerNames[[#This Row],[OpenParPos]] - 2, LEN(tblPassengerNames[[#This Row],[Name]]))</f>
        <v>31</v>
      </c>
      <c r="J283" t="str">
        <f>MID(tblPassengerNames[[#This Row],[Name]], tblPassengerNames[[#This Row],[DotPos]] + 2, tblPassengerNames[[#This Row],[EndOfConvFNPos]] - tblPassengerNames[[#This Row],[DotPos]] - 1)</f>
        <v>Charles Emil Henry</v>
      </c>
      <c r="K283" t="e">
        <f>MID(tblPassengerNames[[#This Row],[Name]], tblPassengerNames[[#This Row],[OpenParPos]] + 1, tblPassengerNames[[#This Row],[CloseParPos]] - tblPassengerNames[[#This Row],[OpenParPos]] - 1)</f>
        <v>#VALUE!</v>
      </c>
      <c r="L283" t="e">
        <f>IF(AND(LEFT(tblPassengerNames[[#This Row],[InParentheses]], 1) = "'", RIGHT(tblPassengerNames[[#This Row],[InParentheses]], 1) = "'"),
    #VALUE!,
    tblPassengerNames[[#This Row],[InParentheses]]
)</f>
        <v>#VALUE!</v>
      </c>
      <c r="M283" t="e">
        <f>LEN(tblPassengerNames[[#This Row],[InParenthesesCleaned]]) - LEN(SUBSTITUTE(tblPassengerNames[[#This Row],[InParenthesesCleaned]], " ", ""))</f>
        <v>#VALUE!</v>
      </c>
      <c r="N283" t="e">
        <f>FIND("@", SUBSTITUTE(tblPassengerNames[[#This Row],[InParenthesesCleaned]], " ", "@", tblPassengerNames[[#This Row],[P_NSpaces]]))</f>
        <v>#VALUE!</v>
      </c>
      <c r="O283" t="e">
        <f>IF(tblPassengerNames[[#This Row],[P_NSpaces]] = 0,
    tblPassengerNames[[#This Row],[InParenthesesCleaned]],
    LEFT(tblPassengerNames[[#This Row],[InParenthesesCleaned]], tblPassengerNames[[#This Row],[P_FinalSpacePos]] - 1)
)</f>
        <v>#VALUE!</v>
      </c>
      <c r="P283" t="str">
        <f>IFERROR(tblPassengerNames[[#This Row],[P_Forenames]], tblPassengerNames[[#This Row],[ConvForenames]])</f>
        <v>Charles Emil Henry</v>
      </c>
      <c r="Q283" t="str">
        <f>MID(tblPassengerNames[[#This Row],[Name]], tblPassengerNames[[#This Row],[CommaPos]] + 2, tblPassengerNames[[#This Row],[DotPos]] - tblPassengerNames[[#This Row],[CommaPos]] - 1)</f>
        <v>Mr.</v>
      </c>
      <c r="R283" t="str">
        <f>LEFT(tblPassengerNames[[#This Row],[Name]], tblPassengerNames[[#This Row],[CommaPos]] - 1)</f>
        <v>Stengel</v>
      </c>
    </row>
    <row r="284" spans="2:18" x14ac:dyDescent="0.25">
      <c r="B284" s="21">
        <v>282</v>
      </c>
      <c r="C284" s="21" t="s">
        <v>418</v>
      </c>
      <c r="D284" s="21" t="s">
        <v>136</v>
      </c>
      <c r="E284">
        <f>FIND(",", tblPassengerNames[[#This Row],[Name]])</f>
        <v>8</v>
      </c>
      <c r="F284">
        <f>FIND(".", tblPassengerNames[[#This Row],[Name]])</f>
        <v>13</v>
      </c>
      <c r="G284">
        <f>FIND("(", tblPassengerNames[[#This Row],[Name]])</f>
        <v>34</v>
      </c>
      <c r="H284">
        <f>FIND(")", tblPassengerNames[[#This Row],[Name]])</f>
        <v>51</v>
      </c>
      <c r="I284">
        <f>IFERROR(tblPassengerNames[[#This Row],[OpenParPos]] - 2, LEN(tblPassengerNames[[#This Row],[Name]]))</f>
        <v>32</v>
      </c>
      <c r="J284" t="str">
        <f>MID(tblPassengerNames[[#This Row],[Name]], tblPassengerNames[[#This Row],[DotPos]] + 2, tblPassengerNames[[#This Row],[EndOfConvFNPos]] - tblPassengerNames[[#This Row],[DotPos]] - 1)</f>
        <v>Charles Emil Henry</v>
      </c>
      <c r="K284" t="str">
        <f>MID(tblPassengerNames[[#This Row],[Name]], tblPassengerNames[[#This Row],[OpenParPos]] + 1, tblPassengerNames[[#This Row],[CloseParPos]] - tblPassengerNames[[#This Row],[OpenParPos]] - 1)</f>
        <v>Annie May Morris</v>
      </c>
      <c r="L284" t="str">
        <f>IF(AND(LEFT(tblPassengerNames[[#This Row],[InParentheses]], 1) = "'", RIGHT(tblPassengerNames[[#This Row],[InParentheses]], 1) = "'"),
    #VALUE!,
    tblPassengerNames[[#This Row],[InParentheses]]
)</f>
        <v>Annie May Morris</v>
      </c>
      <c r="M284">
        <f>LEN(tblPassengerNames[[#This Row],[InParenthesesCleaned]]) - LEN(SUBSTITUTE(tblPassengerNames[[#This Row],[InParenthesesCleaned]], " ", ""))</f>
        <v>2</v>
      </c>
      <c r="N284">
        <f>FIND("@", SUBSTITUTE(tblPassengerNames[[#This Row],[InParenthesesCleaned]], " ", "@", tblPassengerNames[[#This Row],[P_NSpaces]]))</f>
        <v>10</v>
      </c>
      <c r="O284" t="str">
        <f>IF(tblPassengerNames[[#This Row],[P_NSpaces]] = 0,
    tblPassengerNames[[#This Row],[InParenthesesCleaned]],
    LEFT(tblPassengerNames[[#This Row],[InParenthesesCleaned]], tblPassengerNames[[#This Row],[P_FinalSpacePos]] - 1)
)</f>
        <v>Annie May</v>
      </c>
      <c r="P284" t="str">
        <f>IFERROR(tblPassengerNames[[#This Row],[P_Forenames]], tblPassengerNames[[#This Row],[ConvForenames]])</f>
        <v>Annie May</v>
      </c>
      <c r="Q284" t="str">
        <f>MID(tblPassengerNames[[#This Row],[Name]], tblPassengerNames[[#This Row],[CommaPos]] + 2, tblPassengerNames[[#This Row],[DotPos]] - tblPassengerNames[[#This Row],[CommaPos]] - 1)</f>
        <v>Mrs.</v>
      </c>
      <c r="R284" t="str">
        <f>LEFT(tblPassengerNames[[#This Row],[Name]], tblPassengerNames[[#This Row],[CommaPos]] - 1)</f>
        <v>Stengel</v>
      </c>
    </row>
    <row r="285" spans="2:18" x14ac:dyDescent="0.25">
      <c r="B285" s="21">
        <v>283</v>
      </c>
      <c r="C285" s="21" t="s">
        <v>419</v>
      </c>
      <c r="D285" s="21" t="s">
        <v>136</v>
      </c>
      <c r="E285">
        <f>FIND(",", tblPassengerNames[[#This Row],[Name]])</f>
        <v>11</v>
      </c>
      <c r="F285">
        <f>FIND(".", tblPassengerNames[[#This Row],[Name]])</f>
        <v>16</v>
      </c>
      <c r="G285">
        <f>FIND("(", tblPassengerNames[[#This Row],[Name]])</f>
        <v>33</v>
      </c>
      <c r="H285">
        <f>FIND(")", tblPassengerNames[[#This Row],[Name]])</f>
        <v>47</v>
      </c>
      <c r="I285">
        <f>IFERROR(tblPassengerNames[[#This Row],[OpenParPos]] - 2, LEN(tblPassengerNames[[#This Row],[Name]]))</f>
        <v>31</v>
      </c>
      <c r="J285" t="str">
        <f>MID(tblPassengerNames[[#This Row],[Name]], tblPassengerNames[[#This Row],[DotPos]] + 2, tblPassengerNames[[#This Row],[EndOfConvFNPos]] - tblPassengerNames[[#This Row],[DotPos]] - 1)</f>
        <v>Walter Bertram</v>
      </c>
      <c r="K285" t="str">
        <f>MID(tblPassengerNames[[#This Row],[Name]], tblPassengerNames[[#This Row],[OpenParPos]] + 1, tblPassengerNames[[#This Row],[CloseParPos]] - tblPassengerNames[[#This Row],[OpenParPos]] - 1)</f>
        <v>Martha Eustis</v>
      </c>
      <c r="L285" t="str">
        <f>IF(AND(LEFT(tblPassengerNames[[#This Row],[InParentheses]], 1) = "'", RIGHT(tblPassengerNames[[#This Row],[InParentheses]], 1) = "'"),
    #VALUE!,
    tblPassengerNames[[#This Row],[InParentheses]]
)</f>
        <v>Martha Eustis</v>
      </c>
      <c r="M285">
        <f>LEN(tblPassengerNames[[#This Row],[InParenthesesCleaned]]) - LEN(SUBSTITUTE(tblPassengerNames[[#This Row],[InParenthesesCleaned]], " ", ""))</f>
        <v>1</v>
      </c>
      <c r="N285">
        <f>FIND("@", SUBSTITUTE(tblPassengerNames[[#This Row],[InParenthesesCleaned]], " ", "@", tblPassengerNames[[#This Row],[P_NSpaces]]))</f>
        <v>7</v>
      </c>
      <c r="O285" t="str">
        <f>IF(tblPassengerNames[[#This Row],[P_NSpaces]] = 0,
    tblPassengerNames[[#This Row],[InParenthesesCleaned]],
    LEFT(tblPassengerNames[[#This Row],[InParenthesesCleaned]], tblPassengerNames[[#This Row],[P_FinalSpacePos]] - 1)
)</f>
        <v>Martha</v>
      </c>
      <c r="P285" t="str">
        <f>IFERROR(tblPassengerNames[[#This Row],[P_Forenames]], tblPassengerNames[[#This Row],[ConvForenames]])</f>
        <v>Martha</v>
      </c>
      <c r="Q285" t="str">
        <f>MID(tblPassengerNames[[#This Row],[Name]], tblPassengerNames[[#This Row],[CommaPos]] + 2, tblPassengerNames[[#This Row],[DotPos]] - tblPassengerNames[[#This Row],[CommaPos]] - 1)</f>
        <v>Mrs.</v>
      </c>
      <c r="R285" t="str">
        <f>LEFT(tblPassengerNames[[#This Row],[Name]], tblPassengerNames[[#This Row],[CommaPos]] - 1)</f>
        <v>Stephenson</v>
      </c>
    </row>
    <row r="286" spans="2:18" x14ac:dyDescent="0.25">
      <c r="B286" s="21">
        <v>284</v>
      </c>
      <c r="C286" s="21" t="s">
        <v>420</v>
      </c>
      <c r="D286" s="21" t="s">
        <v>138</v>
      </c>
      <c r="E286">
        <f>FIND(",", tblPassengerNames[[#This Row],[Name]])</f>
        <v>8</v>
      </c>
      <c r="F286">
        <f>FIND(".", tblPassengerNames[[#This Row],[Name]])</f>
        <v>12</v>
      </c>
      <c r="G286" t="e">
        <f>FIND("(", tblPassengerNames[[#This Row],[Name]])</f>
        <v>#VALUE!</v>
      </c>
      <c r="H286" t="e">
        <f>FIND(")", tblPassengerNames[[#This Row],[Name]])</f>
        <v>#VALUE!</v>
      </c>
      <c r="I286">
        <f>IFERROR(tblPassengerNames[[#This Row],[OpenParPos]] - 2, LEN(tblPassengerNames[[#This Row],[Name]]))</f>
        <v>21</v>
      </c>
      <c r="J286" t="str">
        <f>MID(tblPassengerNames[[#This Row],[Name]], tblPassengerNames[[#This Row],[DotPos]] + 2, tblPassengerNames[[#This Row],[EndOfConvFNPos]] - tblPassengerNames[[#This Row],[DotPos]] - 1)</f>
        <v>Albert A</v>
      </c>
      <c r="K286" t="e">
        <f>MID(tblPassengerNames[[#This Row],[Name]], tblPassengerNames[[#This Row],[OpenParPos]] + 1, tblPassengerNames[[#This Row],[CloseParPos]] - tblPassengerNames[[#This Row],[OpenParPos]] - 1)</f>
        <v>#VALUE!</v>
      </c>
      <c r="L286" t="e">
        <f>IF(AND(LEFT(tblPassengerNames[[#This Row],[InParentheses]], 1) = "'", RIGHT(tblPassengerNames[[#This Row],[InParentheses]], 1) = "'"),
    #VALUE!,
    tblPassengerNames[[#This Row],[InParentheses]]
)</f>
        <v>#VALUE!</v>
      </c>
      <c r="M286" t="e">
        <f>LEN(tblPassengerNames[[#This Row],[InParenthesesCleaned]]) - LEN(SUBSTITUTE(tblPassengerNames[[#This Row],[InParenthesesCleaned]], " ", ""))</f>
        <v>#VALUE!</v>
      </c>
      <c r="N286" t="e">
        <f>FIND("@", SUBSTITUTE(tblPassengerNames[[#This Row],[InParenthesesCleaned]], " ", "@", tblPassengerNames[[#This Row],[P_NSpaces]]))</f>
        <v>#VALUE!</v>
      </c>
      <c r="O286" t="e">
        <f>IF(tblPassengerNames[[#This Row],[P_NSpaces]] = 0,
    tblPassengerNames[[#This Row],[InParenthesesCleaned]],
    LEFT(tblPassengerNames[[#This Row],[InParenthesesCleaned]], tblPassengerNames[[#This Row],[P_FinalSpacePos]] - 1)
)</f>
        <v>#VALUE!</v>
      </c>
      <c r="P286" t="str">
        <f>IFERROR(tblPassengerNames[[#This Row],[P_Forenames]], tblPassengerNames[[#This Row],[ConvForenames]])</f>
        <v>Albert A</v>
      </c>
      <c r="Q286" t="str">
        <f>MID(tblPassengerNames[[#This Row],[Name]], tblPassengerNames[[#This Row],[CommaPos]] + 2, tblPassengerNames[[#This Row],[DotPos]] - tblPassengerNames[[#This Row],[CommaPos]] - 1)</f>
        <v>Mr.</v>
      </c>
      <c r="R286" t="str">
        <f>LEFT(tblPassengerNames[[#This Row],[Name]], tblPassengerNames[[#This Row],[CommaPos]] - 1)</f>
        <v>Stewart</v>
      </c>
    </row>
    <row r="287" spans="2:18" x14ac:dyDescent="0.25">
      <c r="B287" s="21">
        <v>285</v>
      </c>
      <c r="C287" s="21" t="s">
        <v>421</v>
      </c>
      <c r="D287" s="21" t="s">
        <v>136</v>
      </c>
      <c r="E287">
        <f>FIND(",", tblPassengerNames[[#This Row],[Name]])</f>
        <v>6</v>
      </c>
      <c r="F287">
        <f>FIND(".", tblPassengerNames[[#This Row],[Name]])</f>
        <v>11</v>
      </c>
      <c r="G287">
        <f>FIND("(", tblPassengerNames[[#This Row],[Name]])</f>
        <v>27</v>
      </c>
      <c r="H287">
        <f>FIND(")", tblPassengerNames[[#This Row],[Name]])</f>
        <v>41</v>
      </c>
      <c r="I287">
        <f>IFERROR(tblPassengerNames[[#This Row],[OpenParPos]] - 2, LEN(tblPassengerNames[[#This Row],[Name]]))</f>
        <v>25</v>
      </c>
      <c r="J287" t="str">
        <f>MID(tblPassengerNames[[#This Row],[Name]], tblPassengerNames[[#This Row],[DotPos]] + 2, tblPassengerNames[[#This Row],[EndOfConvFNPos]] - tblPassengerNames[[#This Row],[DotPos]] - 1)</f>
        <v>George Nelson</v>
      </c>
      <c r="K287" t="str">
        <f>MID(tblPassengerNames[[#This Row],[Name]], tblPassengerNames[[#This Row],[OpenParPos]] + 1, tblPassengerNames[[#This Row],[CloseParPos]] - tblPassengerNames[[#This Row],[OpenParPos]] - 1)</f>
        <v>Martha Evelyn</v>
      </c>
      <c r="L287" t="str">
        <f>IF(AND(LEFT(tblPassengerNames[[#This Row],[InParentheses]], 1) = "'", RIGHT(tblPassengerNames[[#This Row],[InParentheses]], 1) = "'"),
    #VALUE!,
    tblPassengerNames[[#This Row],[InParentheses]]
)</f>
        <v>Martha Evelyn</v>
      </c>
      <c r="M287">
        <f>LEN(tblPassengerNames[[#This Row],[InParenthesesCleaned]]) - LEN(SUBSTITUTE(tblPassengerNames[[#This Row],[InParenthesesCleaned]], " ", ""))</f>
        <v>1</v>
      </c>
      <c r="N287">
        <f>FIND("@", SUBSTITUTE(tblPassengerNames[[#This Row],[InParenthesesCleaned]], " ", "@", tblPassengerNames[[#This Row],[P_NSpaces]]))</f>
        <v>7</v>
      </c>
      <c r="O287" t="str">
        <f>IF(tblPassengerNames[[#This Row],[P_NSpaces]] = 0,
    tblPassengerNames[[#This Row],[InParenthesesCleaned]],
    LEFT(tblPassengerNames[[#This Row],[InParenthesesCleaned]], tblPassengerNames[[#This Row],[P_FinalSpacePos]] - 1)
)</f>
        <v>Martha</v>
      </c>
      <c r="P287" t="str">
        <f>IFERROR(tblPassengerNames[[#This Row],[P_Forenames]], tblPassengerNames[[#This Row],[ConvForenames]])</f>
        <v>Martha</v>
      </c>
      <c r="Q287" t="str">
        <f>MID(tblPassengerNames[[#This Row],[Name]], tblPassengerNames[[#This Row],[CommaPos]] + 2, tblPassengerNames[[#This Row],[DotPos]] - tblPassengerNames[[#This Row],[CommaPos]] - 1)</f>
        <v>Mrs.</v>
      </c>
      <c r="R287" t="str">
        <f>LEFT(tblPassengerNames[[#This Row],[Name]], tblPassengerNames[[#This Row],[CommaPos]] - 1)</f>
        <v>Stone</v>
      </c>
    </row>
    <row r="288" spans="2:18" x14ac:dyDescent="0.25">
      <c r="B288" s="21">
        <v>286</v>
      </c>
      <c r="C288" s="21" t="s">
        <v>422</v>
      </c>
      <c r="D288" s="21" t="s">
        <v>138</v>
      </c>
      <c r="E288">
        <f>FIND(",", tblPassengerNames[[#This Row],[Name]])</f>
        <v>7</v>
      </c>
      <c r="F288">
        <f>FIND(".", tblPassengerNames[[#This Row],[Name]])</f>
        <v>11</v>
      </c>
      <c r="G288" t="e">
        <f>FIND("(", tblPassengerNames[[#This Row],[Name]])</f>
        <v>#VALUE!</v>
      </c>
      <c r="H288" t="e">
        <f>FIND(")", tblPassengerNames[[#This Row],[Name]])</f>
        <v>#VALUE!</v>
      </c>
      <c r="I288">
        <f>IFERROR(tblPassengerNames[[#This Row],[OpenParPos]] - 2, LEN(tblPassengerNames[[#This Row],[Name]]))</f>
        <v>18</v>
      </c>
      <c r="J288" t="str">
        <f>MID(tblPassengerNames[[#This Row],[Name]], tblPassengerNames[[#This Row],[DotPos]] + 2, tblPassengerNames[[#This Row],[EndOfConvFNPos]] - tblPassengerNames[[#This Row],[DotPos]] - 1)</f>
        <v>Isidor</v>
      </c>
      <c r="K288" t="e">
        <f>MID(tblPassengerNames[[#This Row],[Name]], tblPassengerNames[[#This Row],[OpenParPos]] + 1, tblPassengerNames[[#This Row],[CloseParPos]] - tblPassengerNames[[#This Row],[OpenParPos]] - 1)</f>
        <v>#VALUE!</v>
      </c>
      <c r="L288" t="e">
        <f>IF(AND(LEFT(tblPassengerNames[[#This Row],[InParentheses]], 1) = "'", RIGHT(tblPassengerNames[[#This Row],[InParentheses]], 1) = "'"),
    #VALUE!,
    tblPassengerNames[[#This Row],[InParentheses]]
)</f>
        <v>#VALUE!</v>
      </c>
      <c r="M288" t="e">
        <f>LEN(tblPassengerNames[[#This Row],[InParenthesesCleaned]]) - LEN(SUBSTITUTE(tblPassengerNames[[#This Row],[InParenthesesCleaned]], " ", ""))</f>
        <v>#VALUE!</v>
      </c>
      <c r="N288" t="e">
        <f>FIND("@", SUBSTITUTE(tblPassengerNames[[#This Row],[InParenthesesCleaned]], " ", "@", tblPassengerNames[[#This Row],[P_NSpaces]]))</f>
        <v>#VALUE!</v>
      </c>
      <c r="O288" t="e">
        <f>IF(tblPassengerNames[[#This Row],[P_NSpaces]] = 0,
    tblPassengerNames[[#This Row],[InParenthesesCleaned]],
    LEFT(tblPassengerNames[[#This Row],[InParenthesesCleaned]], tblPassengerNames[[#This Row],[P_FinalSpacePos]] - 1)
)</f>
        <v>#VALUE!</v>
      </c>
      <c r="P288" t="str">
        <f>IFERROR(tblPassengerNames[[#This Row],[P_Forenames]], tblPassengerNames[[#This Row],[ConvForenames]])</f>
        <v>Isidor</v>
      </c>
      <c r="Q288" t="str">
        <f>MID(tblPassengerNames[[#This Row],[Name]], tblPassengerNames[[#This Row],[CommaPos]] + 2, tblPassengerNames[[#This Row],[DotPos]] - tblPassengerNames[[#This Row],[CommaPos]] - 1)</f>
        <v>Mr.</v>
      </c>
      <c r="R288" t="str">
        <f>LEFT(tblPassengerNames[[#This Row],[Name]], tblPassengerNames[[#This Row],[CommaPos]] - 1)</f>
        <v>Straus</v>
      </c>
    </row>
    <row r="289" spans="2:18" x14ac:dyDescent="0.25">
      <c r="B289" s="21">
        <v>287</v>
      </c>
      <c r="C289" s="21" t="s">
        <v>423</v>
      </c>
      <c r="D289" s="21" t="s">
        <v>136</v>
      </c>
      <c r="E289">
        <f>FIND(",", tblPassengerNames[[#This Row],[Name]])</f>
        <v>7</v>
      </c>
      <c r="F289">
        <f>FIND(".", tblPassengerNames[[#This Row],[Name]])</f>
        <v>12</v>
      </c>
      <c r="G289">
        <f>FIND("(", tblPassengerNames[[#This Row],[Name]])</f>
        <v>21</v>
      </c>
      <c r="H289">
        <f>FIND(")", tblPassengerNames[[#This Row],[Name]])</f>
        <v>38</v>
      </c>
      <c r="I289">
        <f>IFERROR(tblPassengerNames[[#This Row],[OpenParPos]] - 2, LEN(tblPassengerNames[[#This Row],[Name]]))</f>
        <v>19</v>
      </c>
      <c r="J289" t="str">
        <f>MID(tblPassengerNames[[#This Row],[Name]], tblPassengerNames[[#This Row],[DotPos]] + 2, tblPassengerNames[[#This Row],[EndOfConvFNPos]] - tblPassengerNames[[#This Row],[DotPos]] - 1)</f>
        <v>Isidor</v>
      </c>
      <c r="K289" t="str">
        <f>MID(tblPassengerNames[[#This Row],[Name]], tblPassengerNames[[#This Row],[OpenParPos]] + 1, tblPassengerNames[[#This Row],[CloseParPos]] - tblPassengerNames[[#This Row],[OpenParPos]] - 1)</f>
        <v>Rosalie Ida Blun</v>
      </c>
      <c r="L289" t="str">
        <f>IF(AND(LEFT(tblPassengerNames[[#This Row],[InParentheses]], 1) = "'", RIGHT(tblPassengerNames[[#This Row],[InParentheses]], 1) = "'"),
    #VALUE!,
    tblPassengerNames[[#This Row],[InParentheses]]
)</f>
        <v>Rosalie Ida Blun</v>
      </c>
      <c r="M289">
        <f>LEN(tblPassengerNames[[#This Row],[InParenthesesCleaned]]) - LEN(SUBSTITUTE(tblPassengerNames[[#This Row],[InParenthesesCleaned]], " ", ""))</f>
        <v>2</v>
      </c>
      <c r="N289">
        <f>FIND("@", SUBSTITUTE(tblPassengerNames[[#This Row],[InParenthesesCleaned]], " ", "@", tblPassengerNames[[#This Row],[P_NSpaces]]))</f>
        <v>12</v>
      </c>
      <c r="O289" t="str">
        <f>IF(tblPassengerNames[[#This Row],[P_NSpaces]] = 0,
    tblPassengerNames[[#This Row],[InParenthesesCleaned]],
    LEFT(tblPassengerNames[[#This Row],[InParenthesesCleaned]], tblPassengerNames[[#This Row],[P_FinalSpacePos]] - 1)
)</f>
        <v>Rosalie Ida</v>
      </c>
      <c r="P289" t="str">
        <f>IFERROR(tblPassengerNames[[#This Row],[P_Forenames]], tblPassengerNames[[#This Row],[ConvForenames]])</f>
        <v>Rosalie Ida</v>
      </c>
      <c r="Q289" t="str">
        <f>MID(tblPassengerNames[[#This Row],[Name]], tblPassengerNames[[#This Row],[CommaPos]] + 2, tblPassengerNames[[#This Row],[DotPos]] - tblPassengerNames[[#This Row],[CommaPos]] - 1)</f>
        <v>Mrs.</v>
      </c>
      <c r="R289" t="str">
        <f>LEFT(tblPassengerNames[[#This Row],[Name]], tblPassengerNames[[#This Row],[CommaPos]] - 1)</f>
        <v>Straus</v>
      </c>
    </row>
    <row r="290" spans="2:18" x14ac:dyDescent="0.25">
      <c r="B290" s="21">
        <v>288</v>
      </c>
      <c r="C290" s="21" t="s">
        <v>424</v>
      </c>
      <c r="D290" s="21" t="s">
        <v>138</v>
      </c>
      <c r="E290">
        <f>FIND(",", tblPassengerNames[[#This Row],[Name]])</f>
        <v>7</v>
      </c>
      <c r="F290">
        <f>FIND(".", tblPassengerNames[[#This Row],[Name]])</f>
        <v>11</v>
      </c>
      <c r="G290" t="e">
        <f>FIND("(", tblPassengerNames[[#This Row],[Name]])</f>
        <v>#VALUE!</v>
      </c>
      <c r="H290" t="e">
        <f>FIND(")", tblPassengerNames[[#This Row],[Name]])</f>
        <v>#VALUE!</v>
      </c>
      <c r="I290">
        <f>IFERROR(tblPassengerNames[[#This Row],[OpenParPos]] - 2, LEN(tblPassengerNames[[#This Row],[Name]]))</f>
        <v>21</v>
      </c>
      <c r="J290" t="str">
        <f>MID(tblPassengerNames[[#This Row],[Name]], tblPassengerNames[[#This Row],[DotPos]] + 2, tblPassengerNames[[#This Row],[EndOfConvFNPos]] - tblPassengerNames[[#This Row],[DotPos]] - 1)</f>
        <v>Frederick</v>
      </c>
      <c r="K290" t="e">
        <f>MID(tblPassengerNames[[#This Row],[Name]], tblPassengerNames[[#This Row],[OpenParPos]] + 1, tblPassengerNames[[#This Row],[CloseParPos]] - tblPassengerNames[[#This Row],[OpenParPos]] - 1)</f>
        <v>#VALUE!</v>
      </c>
      <c r="L290" t="e">
        <f>IF(AND(LEFT(tblPassengerNames[[#This Row],[InParentheses]], 1) = "'", RIGHT(tblPassengerNames[[#This Row],[InParentheses]], 1) = "'"),
    #VALUE!,
    tblPassengerNames[[#This Row],[InParentheses]]
)</f>
        <v>#VALUE!</v>
      </c>
      <c r="M290" t="e">
        <f>LEN(tblPassengerNames[[#This Row],[InParenthesesCleaned]]) - LEN(SUBSTITUTE(tblPassengerNames[[#This Row],[InParenthesesCleaned]], " ", ""))</f>
        <v>#VALUE!</v>
      </c>
      <c r="N290" t="e">
        <f>FIND("@", SUBSTITUTE(tblPassengerNames[[#This Row],[InParenthesesCleaned]], " ", "@", tblPassengerNames[[#This Row],[P_NSpaces]]))</f>
        <v>#VALUE!</v>
      </c>
      <c r="O290" t="e">
        <f>IF(tblPassengerNames[[#This Row],[P_NSpaces]] = 0,
    tblPassengerNames[[#This Row],[InParenthesesCleaned]],
    LEFT(tblPassengerNames[[#This Row],[InParenthesesCleaned]], tblPassengerNames[[#This Row],[P_FinalSpacePos]] - 1)
)</f>
        <v>#VALUE!</v>
      </c>
      <c r="P290" t="str">
        <f>IFERROR(tblPassengerNames[[#This Row],[P_Forenames]], tblPassengerNames[[#This Row],[ConvForenames]])</f>
        <v>Frederick</v>
      </c>
      <c r="Q290" t="str">
        <f>MID(tblPassengerNames[[#This Row],[Name]], tblPassengerNames[[#This Row],[CommaPos]] + 2, tblPassengerNames[[#This Row],[DotPos]] - tblPassengerNames[[#This Row],[CommaPos]] - 1)</f>
        <v>Mr.</v>
      </c>
      <c r="R290" t="str">
        <f>LEFT(tblPassengerNames[[#This Row],[Name]], tblPassengerNames[[#This Row],[CommaPos]] - 1)</f>
        <v>Sutton</v>
      </c>
    </row>
    <row r="291" spans="2:18" x14ac:dyDescent="0.25">
      <c r="B291" s="21">
        <v>289</v>
      </c>
      <c r="C291" s="21" t="s">
        <v>425</v>
      </c>
      <c r="D291" s="21" t="s">
        <v>136</v>
      </c>
      <c r="E291">
        <f>FIND(",", tblPassengerNames[[#This Row],[Name]])</f>
        <v>6</v>
      </c>
      <c r="F291">
        <f>FIND(".", tblPassengerNames[[#This Row],[Name]])</f>
        <v>11</v>
      </c>
      <c r="G291">
        <f>FIND("(", tblPassengerNames[[#This Row],[Name]])</f>
        <v>28</v>
      </c>
      <c r="H291">
        <f>FIND(")", tblPassengerNames[[#This Row],[Name]])</f>
        <v>51</v>
      </c>
      <c r="I291">
        <f>IFERROR(tblPassengerNames[[#This Row],[OpenParPos]] - 2, LEN(tblPassengerNames[[#This Row],[Name]]))</f>
        <v>26</v>
      </c>
      <c r="J291" t="str">
        <f>MID(tblPassengerNames[[#This Row],[Name]], tblPassengerNames[[#This Row],[DotPos]] + 2, tblPassengerNames[[#This Row],[EndOfConvFNPos]] - tblPassengerNames[[#This Row],[DotPos]] - 1)</f>
        <v>Frederick Joel</v>
      </c>
      <c r="K291" t="str">
        <f>MID(tblPassengerNames[[#This Row],[Name]], tblPassengerNames[[#This Row],[OpenParPos]] + 1, tblPassengerNames[[#This Row],[CloseParPos]] - tblPassengerNames[[#This Row],[OpenParPos]] - 1)</f>
        <v>Margaret Welles Barron</v>
      </c>
      <c r="L291" t="str">
        <f>IF(AND(LEFT(tblPassengerNames[[#This Row],[InParentheses]], 1) = "'", RIGHT(tblPassengerNames[[#This Row],[InParentheses]], 1) = "'"),
    #VALUE!,
    tblPassengerNames[[#This Row],[InParentheses]]
)</f>
        <v>Margaret Welles Barron</v>
      </c>
      <c r="M291">
        <f>LEN(tblPassengerNames[[#This Row],[InParenthesesCleaned]]) - LEN(SUBSTITUTE(tblPassengerNames[[#This Row],[InParenthesesCleaned]], " ", ""))</f>
        <v>2</v>
      </c>
      <c r="N291">
        <f>FIND("@", SUBSTITUTE(tblPassengerNames[[#This Row],[InParenthesesCleaned]], " ", "@", tblPassengerNames[[#This Row],[P_NSpaces]]))</f>
        <v>16</v>
      </c>
      <c r="O291" t="str">
        <f>IF(tblPassengerNames[[#This Row],[P_NSpaces]] = 0,
    tblPassengerNames[[#This Row],[InParenthesesCleaned]],
    LEFT(tblPassengerNames[[#This Row],[InParenthesesCleaned]], tblPassengerNames[[#This Row],[P_FinalSpacePos]] - 1)
)</f>
        <v>Margaret Welles</v>
      </c>
      <c r="P291" t="str">
        <f>IFERROR(tblPassengerNames[[#This Row],[P_Forenames]], tblPassengerNames[[#This Row],[ConvForenames]])</f>
        <v>Margaret Welles</v>
      </c>
      <c r="Q291" t="str">
        <f>MID(tblPassengerNames[[#This Row],[Name]], tblPassengerNames[[#This Row],[CommaPos]] + 2, tblPassengerNames[[#This Row],[DotPos]] - tblPassengerNames[[#This Row],[CommaPos]] - 1)</f>
        <v>Mrs.</v>
      </c>
      <c r="R291" t="str">
        <f>LEFT(tblPassengerNames[[#This Row],[Name]], tblPassengerNames[[#This Row],[CommaPos]] - 1)</f>
        <v>Swift</v>
      </c>
    </row>
    <row r="292" spans="2:18" x14ac:dyDescent="0.25">
      <c r="B292" s="21">
        <v>290</v>
      </c>
      <c r="C292" s="21" t="s">
        <v>426</v>
      </c>
      <c r="D292" s="21" t="s">
        <v>136</v>
      </c>
      <c r="E292">
        <f>FIND(",", tblPassengerNames[[#This Row],[Name]])</f>
        <v>8</v>
      </c>
      <c r="F292">
        <f>FIND(".", tblPassengerNames[[#This Row],[Name]])</f>
        <v>14</v>
      </c>
      <c r="G292" t="e">
        <f>FIND("(", tblPassengerNames[[#This Row],[Name]])</f>
        <v>#VALUE!</v>
      </c>
      <c r="H292" t="e">
        <f>FIND(")", tblPassengerNames[[#This Row],[Name]])</f>
        <v>#VALUE!</v>
      </c>
      <c r="I292">
        <f>IFERROR(tblPassengerNames[[#This Row],[OpenParPos]] - 2, LEN(tblPassengerNames[[#This Row],[Name]]))</f>
        <v>19</v>
      </c>
      <c r="J292" t="str">
        <f>MID(tblPassengerNames[[#This Row],[Name]], tblPassengerNames[[#This Row],[DotPos]] + 2, tblPassengerNames[[#This Row],[EndOfConvFNPos]] - tblPassengerNames[[#This Row],[DotPos]] - 1)</f>
        <v>Ruth</v>
      </c>
      <c r="K292" t="e">
        <f>MID(tblPassengerNames[[#This Row],[Name]], tblPassengerNames[[#This Row],[OpenParPos]] + 1, tblPassengerNames[[#This Row],[CloseParPos]] - tblPassengerNames[[#This Row],[OpenParPos]] - 1)</f>
        <v>#VALUE!</v>
      </c>
      <c r="L292" t="e">
        <f>IF(AND(LEFT(tblPassengerNames[[#This Row],[InParentheses]], 1) = "'", RIGHT(tblPassengerNames[[#This Row],[InParentheses]], 1) = "'"),
    #VALUE!,
    tblPassengerNames[[#This Row],[InParentheses]]
)</f>
        <v>#VALUE!</v>
      </c>
      <c r="M292" t="e">
        <f>LEN(tblPassengerNames[[#This Row],[InParenthesesCleaned]]) - LEN(SUBSTITUTE(tblPassengerNames[[#This Row],[InParenthesesCleaned]], " ", ""))</f>
        <v>#VALUE!</v>
      </c>
      <c r="N292" t="e">
        <f>FIND("@", SUBSTITUTE(tblPassengerNames[[#This Row],[InParenthesesCleaned]], " ", "@", tblPassengerNames[[#This Row],[P_NSpaces]]))</f>
        <v>#VALUE!</v>
      </c>
      <c r="O292" t="e">
        <f>IF(tblPassengerNames[[#This Row],[P_NSpaces]] = 0,
    tblPassengerNames[[#This Row],[InParenthesesCleaned]],
    LEFT(tblPassengerNames[[#This Row],[InParenthesesCleaned]], tblPassengerNames[[#This Row],[P_FinalSpacePos]] - 1)
)</f>
        <v>#VALUE!</v>
      </c>
      <c r="P292" t="str">
        <f>IFERROR(tblPassengerNames[[#This Row],[P_Forenames]], tblPassengerNames[[#This Row],[ConvForenames]])</f>
        <v>Ruth</v>
      </c>
      <c r="Q292" t="str">
        <f>MID(tblPassengerNames[[#This Row],[Name]], tblPassengerNames[[#This Row],[CommaPos]] + 2, tblPassengerNames[[#This Row],[DotPos]] - tblPassengerNames[[#This Row],[CommaPos]] - 1)</f>
        <v>Miss.</v>
      </c>
      <c r="R292" t="str">
        <f>LEFT(tblPassengerNames[[#This Row],[Name]], tblPassengerNames[[#This Row],[CommaPos]] - 1)</f>
        <v>Taussig</v>
      </c>
    </row>
    <row r="293" spans="2:18" x14ac:dyDescent="0.25">
      <c r="B293" s="21">
        <v>291</v>
      </c>
      <c r="C293" s="21" t="s">
        <v>427</v>
      </c>
      <c r="D293" s="21" t="s">
        <v>138</v>
      </c>
      <c r="E293">
        <f>FIND(",", tblPassengerNames[[#This Row],[Name]])</f>
        <v>8</v>
      </c>
      <c r="F293">
        <f>FIND(".", tblPassengerNames[[#This Row],[Name]])</f>
        <v>12</v>
      </c>
      <c r="G293" t="e">
        <f>FIND("(", tblPassengerNames[[#This Row],[Name]])</f>
        <v>#VALUE!</v>
      </c>
      <c r="H293" t="e">
        <f>FIND(")", tblPassengerNames[[#This Row],[Name]])</f>
        <v>#VALUE!</v>
      </c>
      <c r="I293">
        <f>IFERROR(tblPassengerNames[[#This Row],[OpenParPos]] - 2, LEN(tblPassengerNames[[#This Row],[Name]]))</f>
        <v>17</v>
      </c>
      <c r="J293" t="str">
        <f>MID(tblPassengerNames[[#This Row],[Name]], tblPassengerNames[[#This Row],[DotPos]] + 2, tblPassengerNames[[#This Row],[EndOfConvFNPos]] - tblPassengerNames[[#This Row],[DotPos]] - 1)</f>
        <v>Emil</v>
      </c>
      <c r="K293" t="e">
        <f>MID(tblPassengerNames[[#This Row],[Name]], tblPassengerNames[[#This Row],[OpenParPos]] + 1, tblPassengerNames[[#This Row],[CloseParPos]] - tblPassengerNames[[#This Row],[OpenParPos]] - 1)</f>
        <v>#VALUE!</v>
      </c>
      <c r="L293" t="e">
        <f>IF(AND(LEFT(tblPassengerNames[[#This Row],[InParentheses]], 1) = "'", RIGHT(tblPassengerNames[[#This Row],[InParentheses]], 1) = "'"),
    #VALUE!,
    tblPassengerNames[[#This Row],[InParentheses]]
)</f>
        <v>#VALUE!</v>
      </c>
      <c r="M293" t="e">
        <f>LEN(tblPassengerNames[[#This Row],[InParenthesesCleaned]]) - LEN(SUBSTITUTE(tblPassengerNames[[#This Row],[InParenthesesCleaned]], " ", ""))</f>
        <v>#VALUE!</v>
      </c>
      <c r="N293" t="e">
        <f>FIND("@", SUBSTITUTE(tblPassengerNames[[#This Row],[InParenthesesCleaned]], " ", "@", tblPassengerNames[[#This Row],[P_NSpaces]]))</f>
        <v>#VALUE!</v>
      </c>
      <c r="O293" t="e">
        <f>IF(tblPassengerNames[[#This Row],[P_NSpaces]] = 0,
    tblPassengerNames[[#This Row],[InParenthesesCleaned]],
    LEFT(tblPassengerNames[[#This Row],[InParenthesesCleaned]], tblPassengerNames[[#This Row],[P_FinalSpacePos]] - 1)
)</f>
        <v>#VALUE!</v>
      </c>
      <c r="P293" t="str">
        <f>IFERROR(tblPassengerNames[[#This Row],[P_Forenames]], tblPassengerNames[[#This Row],[ConvForenames]])</f>
        <v>Emil</v>
      </c>
      <c r="Q293" t="str">
        <f>MID(tblPassengerNames[[#This Row],[Name]], tblPassengerNames[[#This Row],[CommaPos]] + 2, tblPassengerNames[[#This Row],[DotPos]] - tblPassengerNames[[#This Row],[CommaPos]] - 1)</f>
        <v>Mr.</v>
      </c>
      <c r="R293" t="str">
        <f>LEFT(tblPassengerNames[[#This Row],[Name]], tblPassengerNames[[#This Row],[CommaPos]] - 1)</f>
        <v>Taussig</v>
      </c>
    </row>
    <row r="294" spans="2:18" x14ac:dyDescent="0.25">
      <c r="B294" s="21">
        <v>292</v>
      </c>
      <c r="C294" s="21" t="s">
        <v>428</v>
      </c>
      <c r="D294" s="21" t="s">
        <v>136</v>
      </c>
      <c r="E294">
        <f>FIND(",", tblPassengerNames[[#This Row],[Name]])</f>
        <v>8</v>
      </c>
      <c r="F294">
        <f>FIND(".", tblPassengerNames[[#This Row],[Name]])</f>
        <v>13</v>
      </c>
      <c r="G294">
        <f>FIND("(", tblPassengerNames[[#This Row],[Name]])</f>
        <v>20</v>
      </c>
      <c r="H294">
        <f>FIND(")", tblPassengerNames[[#This Row],[Name]])</f>
        <v>38</v>
      </c>
      <c r="I294">
        <f>IFERROR(tblPassengerNames[[#This Row],[OpenParPos]] - 2, LEN(tblPassengerNames[[#This Row],[Name]]))</f>
        <v>18</v>
      </c>
      <c r="J294" t="str">
        <f>MID(tblPassengerNames[[#This Row],[Name]], tblPassengerNames[[#This Row],[DotPos]] + 2, tblPassengerNames[[#This Row],[EndOfConvFNPos]] - tblPassengerNames[[#This Row],[DotPos]] - 1)</f>
        <v>Emil</v>
      </c>
      <c r="K294" t="str">
        <f>MID(tblPassengerNames[[#This Row],[Name]], tblPassengerNames[[#This Row],[OpenParPos]] + 1, tblPassengerNames[[#This Row],[CloseParPos]] - tblPassengerNames[[#This Row],[OpenParPos]] - 1)</f>
        <v>Tillie Mandelbaum</v>
      </c>
      <c r="L294" t="str">
        <f>IF(AND(LEFT(tblPassengerNames[[#This Row],[InParentheses]], 1) = "'", RIGHT(tblPassengerNames[[#This Row],[InParentheses]], 1) = "'"),
    #VALUE!,
    tblPassengerNames[[#This Row],[InParentheses]]
)</f>
        <v>Tillie Mandelbaum</v>
      </c>
      <c r="M294">
        <f>LEN(tblPassengerNames[[#This Row],[InParenthesesCleaned]]) - LEN(SUBSTITUTE(tblPassengerNames[[#This Row],[InParenthesesCleaned]], " ", ""))</f>
        <v>1</v>
      </c>
      <c r="N294">
        <f>FIND("@", SUBSTITUTE(tblPassengerNames[[#This Row],[InParenthesesCleaned]], " ", "@", tblPassengerNames[[#This Row],[P_NSpaces]]))</f>
        <v>7</v>
      </c>
      <c r="O294" t="str">
        <f>IF(tblPassengerNames[[#This Row],[P_NSpaces]] = 0,
    tblPassengerNames[[#This Row],[InParenthesesCleaned]],
    LEFT(tblPassengerNames[[#This Row],[InParenthesesCleaned]], tblPassengerNames[[#This Row],[P_FinalSpacePos]] - 1)
)</f>
        <v>Tillie</v>
      </c>
      <c r="P294" t="str">
        <f>IFERROR(tblPassengerNames[[#This Row],[P_Forenames]], tblPassengerNames[[#This Row],[ConvForenames]])</f>
        <v>Tillie</v>
      </c>
      <c r="Q294" t="str">
        <f>MID(tblPassengerNames[[#This Row],[Name]], tblPassengerNames[[#This Row],[CommaPos]] + 2, tblPassengerNames[[#This Row],[DotPos]] - tblPassengerNames[[#This Row],[CommaPos]] - 1)</f>
        <v>Mrs.</v>
      </c>
      <c r="R294" t="str">
        <f>LEFT(tblPassengerNames[[#This Row],[Name]], tblPassengerNames[[#This Row],[CommaPos]] - 1)</f>
        <v>Taussig</v>
      </c>
    </row>
    <row r="295" spans="2:18" x14ac:dyDescent="0.25">
      <c r="B295" s="21">
        <v>293</v>
      </c>
      <c r="C295" s="21" t="s">
        <v>429</v>
      </c>
      <c r="D295" s="21" t="s">
        <v>138</v>
      </c>
      <c r="E295">
        <f>FIND(",", tblPassengerNames[[#This Row],[Name]])</f>
        <v>7</v>
      </c>
      <c r="F295">
        <f>FIND(".", tblPassengerNames[[#This Row],[Name]])</f>
        <v>11</v>
      </c>
      <c r="G295" t="e">
        <f>FIND("(", tblPassengerNames[[#This Row],[Name]])</f>
        <v>#VALUE!</v>
      </c>
      <c r="H295" t="e">
        <f>FIND(")", tblPassengerNames[[#This Row],[Name]])</f>
        <v>#VALUE!</v>
      </c>
      <c r="I295">
        <f>IFERROR(tblPassengerNames[[#This Row],[OpenParPos]] - 2, LEN(tblPassengerNames[[#This Row],[Name]]))</f>
        <v>24</v>
      </c>
      <c r="J295" t="str">
        <f>MID(tblPassengerNames[[#This Row],[Name]], tblPassengerNames[[#This Row],[DotPos]] + 2, tblPassengerNames[[#This Row],[EndOfConvFNPos]] - tblPassengerNames[[#This Row],[DotPos]] - 1)</f>
        <v>Elmer Zebley</v>
      </c>
      <c r="K295" t="e">
        <f>MID(tblPassengerNames[[#This Row],[Name]], tblPassengerNames[[#This Row],[OpenParPos]] + 1, tblPassengerNames[[#This Row],[CloseParPos]] - tblPassengerNames[[#This Row],[OpenParPos]] - 1)</f>
        <v>#VALUE!</v>
      </c>
      <c r="L295" t="e">
        <f>IF(AND(LEFT(tblPassengerNames[[#This Row],[InParentheses]], 1) = "'", RIGHT(tblPassengerNames[[#This Row],[InParentheses]], 1) = "'"),
    #VALUE!,
    tblPassengerNames[[#This Row],[InParentheses]]
)</f>
        <v>#VALUE!</v>
      </c>
      <c r="M295" t="e">
        <f>LEN(tblPassengerNames[[#This Row],[InParenthesesCleaned]]) - LEN(SUBSTITUTE(tblPassengerNames[[#This Row],[InParenthesesCleaned]], " ", ""))</f>
        <v>#VALUE!</v>
      </c>
      <c r="N295" t="e">
        <f>FIND("@", SUBSTITUTE(tblPassengerNames[[#This Row],[InParenthesesCleaned]], " ", "@", tblPassengerNames[[#This Row],[P_NSpaces]]))</f>
        <v>#VALUE!</v>
      </c>
      <c r="O295" t="e">
        <f>IF(tblPassengerNames[[#This Row],[P_NSpaces]] = 0,
    tblPassengerNames[[#This Row],[InParenthesesCleaned]],
    LEFT(tblPassengerNames[[#This Row],[InParenthesesCleaned]], tblPassengerNames[[#This Row],[P_FinalSpacePos]] - 1)
)</f>
        <v>#VALUE!</v>
      </c>
      <c r="P295" t="str">
        <f>IFERROR(tblPassengerNames[[#This Row],[P_Forenames]], tblPassengerNames[[#This Row],[ConvForenames]])</f>
        <v>Elmer Zebley</v>
      </c>
      <c r="Q295" t="str">
        <f>MID(tblPassengerNames[[#This Row],[Name]], tblPassengerNames[[#This Row],[CommaPos]] + 2, tblPassengerNames[[#This Row],[DotPos]] - tblPassengerNames[[#This Row],[CommaPos]] - 1)</f>
        <v>Mr.</v>
      </c>
      <c r="R295" t="str">
        <f>LEFT(tblPassengerNames[[#This Row],[Name]], tblPassengerNames[[#This Row],[CommaPos]] - 1)</f>
        <v>Taylor</v>
      </c>
    </row>
    <row r="296" spans="2:18" x14ac:dyDescent="0.25">
      <c r="B296" s="21">
        <v>294</v>
      </c>
      <c r="C296" s="21" t="s">
        <v>430</v>
      </c>
      <c r="D296" s="21" t="s">
        <v>136</v>
      </c>
      <c r="E296">
        <f>FIND(",", tblPassengerNames[[#This Row],[Name]])</f>
        <v>7</v>
      </c>
      <c r="F296">
        <f>FIND(".", tblPassengerNames[[#This Row],[Name]])</f>
        <v>12</v>
      </c>
      <c r="G296">
        <f>FIND("(", tblPassengerNames[[#This Row],[Name]])</f>
        <v>27</v>
      </c>
      <c r="H296">
        <f>FIND(")", tblPassengerNames[[#This Row],[Name]])</f>
        <v>49</v>
      </c>
      <c r="I296">
        <f>IFERROR(tblPassengerNames[[#This Row],[OpenParPos]] - 2, LEN(tblPassengerNames[[#This Row],[Name]]))</f>
        <v>25</v>
      </c>
      <c r="J296" t="str">
        <f>MID(tblPassengerNames[[#This Row],[Name]], tblPassengerNames[[#This Row],[DotPos]] + 2, tblPassengerNames[[#This Row],[EndOfConvFNPos]] - tblPassengerNames[[#This Row],[DotPos]] - 1)</f>
        <v>Elmer Zebley</v>
      </c>
      <c r="K296" t="str">
        <f>MID(tblPassengerNames[[#This Row],[Name]], tblPassengerNames[[#This Row],[OpenParPos]] + 1, tblPassengerNames[[#This Row],[CloseParPos]] - tblPassengerNames[[#This Row],[OpenParPos]] - 1)</f>
        <v>Juliet Cummins Wright</v>
      </c>
      <c r="L296" t="str">
        <f>IF(AND(LEFT(tblPassengerNames[[#This Row],[InParentheses]], 1) = "'", RIGHT(tblPassengerNames[[#This Row],[InParentheses]], 1) = "'"),
    #VALUE!,
    tblPassengerNames[[#This Row],[InParentheses]]
)</f>
        <v>Juliet Cummins Wright</v>
      </c>
      <c r="M296">
        <f>LEN(tblPassengerNames[[#This Row],[InParenthesesCleaned]]) - LEN(SUBSTITUTE(tblPassengerNames[[#This Row],[InParenthesesCleaned]], " ", ""))</f>
        <v>2</v>
      </c>
      <c r="N296">
        <f>FIND("@", SUBSTITUTE(tblPassengerNames[[#This Row],[InParenthesesCleaned]], " ", "@", tblPassengerNames[[#This Row],[P_NSpaces]]))</f>
        <v>15</v>
      </c>
      <c r="O296" t="str">
        <f>IF(tblPassengerNames[[#This Row],[P_NSpaces]] = 0,
    tblPassengerNames[[#This Row],[InParenthesesCleaned]],
    LEFT(tblPassengerNames[[#This Row],[InParenthesesCleaned]], tblPassengerNames[[#This Row],[P_FinalSpacePos]] - 1)
)</f>
        <v>Juliet Cummins</v>
      </c>
      <c r="P296" t="str">
        <f>IFERROR(tblPassengerNames[[#This Row],[P_Forenames]], tblPassengerNames[[#This Row],[ConvForenames]])</f>
        <v>Juliet Cummins</v>
      </c>
      <c r="Q296" t="str">
        <f>MID(tblPassengerNames[[#This Row],[Name]], tblPassengerNames[[#This Row],[CommaPos]] + 2, tblPassengerNames[[#This Row],[DotPos]] - tblPassengerNames[[#This Row],[CommaPos]] - 1)</f>
        <v>Mrs.</v>
      </c>
      <c r="R296" t="str">
        <f>LEFT(tblPassengerNames[[#This Row],[Name]], tblPassengerNames[[#This Row],[CommaPos]] - 1)</f>
        <v>Taylor</v>
      </c>
    </row>
    <row r="297" spans="2:18" x14ac:dyDescent="0.25">
      <c r="B297" s="21">
        <v>295</v>
      </c>
      <c r="C297" s="21" t="s">
        <v>431</v>
      </c>
      <c r="D297" s="21" t="s">
        <v>138</v>
      </c>
      <c r="E297">
        <f>FIND(",", tblPassengerNames[[#This Row],[Name]])</f>
        <v>7</v>
      </c>
      <c r="F297">
        <f>FIND(".", tblPassengerNames[[#This Row],[Name]])</f>
        <v>11</v>
      </c>
      <c r="G297" t="e">
        <f>FIND("(", tblPassengerNames[[#This Row],[Name]])</f>
        <v>#VALUE!</v>
      </c>
      <c r="H297" t="e">
        <f>FIND(")", tblPassengerNames[[#This Row],[Name]])</f>
        <v>#VALUE!</v>
      </c>
      <c r="I297">
        <f>IFERROR(tblPassengerNames[[#This Row],[OpenParPos]] - 2, LEN(tblPassengerNames[[#This Row],[Name]]))</f>
        <v>24</v>
      </c>
      <c r="J297" t="str">
        <f>MID(tblPassengerNames[[#This Row],[Name]], tblPassengerNames[[#This Row],[DotPos]] + 2, tblPassengerNames[[#This Row],[EndOfConvFNPos]] - tblPassengerNames[[#This Row],[DotPos]] - 1)</f>
        <v>John Borland</v>
      </c>
      <c r="K297" t="e">
        <f>MID(tblPassengerNames[[#This Row],[Name]], tblPassengerNames[[#This Row],[OpenParPos]] + 1, tblPassengerNames[[#This Row],[CloseParPos]] - tblPassengerNames[[#This Row],[OpenParPos]] - 1)</f>
        <v>#VALUE!</v>
      </c>
      <c r="L297" t="e">
        <f>IF(AND(LEFT(tblPassengerNames[[#This Row],[InParentheses]], 1) = "'", RIGHT(tblPassengerNames[[#This Row],[InParentheses]], 1) = "'"),
    #VALUE!,
    tblPassengerNames[[#This Row],[InParentheses]]
)</f>
        <v>#VALUE!</v>
      </c>
      <c r="M297" t="e">
        <f>LEN(tblPassengerNames[[#This Row],[InParenthesesCleaned]]) - LEN(SUBSTITUTE(tblPassengerNames[[#This Row],[InParenthesesCleaned]], " ", ""))</f>
        <v>#VALUE!</v>
      </c>
      <c r="N297" t="e">
        <f>FIND("@", SUBSTITUTE(tblPassengerNames[[#This Row],[InParenthesesCleaned]], " ", "@", tblPassengerNames[[#This Row],[P_NSpaces]]))</f>
        <v>#VALUE!</v>
      </c>
      <c r="O297" t="e">
        <f>IF(tblPassengerNames[[#This Row],[P_NSpaces]] = 0,
    tblPassengerNames[[#This Row],[InParenthesesCleaned]],
    LEFT(tblPassengerNames[[#This Row],[InParenthesesCleaned]], tblPassengerNames[[#This Row],[P_FinalSpacePos]] - 1)
)</f>
        <v>#VALUE!</v>
      </c>
      <c r="P297" t="str">
        <f>IFERROR(tblPassengerNames[[#This Row],[P_Forenames]], tblPassengerNames[[#This Row],[ConvForenames]])</f>
        <v>John Borland</v>
      </c>
      <c r="Q297" t="str">
        <f>MID(tblPassengerNames[[#This Row],[Name]], tblPassengerNames[[#This Row],[CommaPos]] + 2, tblPassengerNames[[#This Row],[DotPos]] - tblPassengerNames[[#This Row],[CommaPos]] - 1)</f>
        <v>Mr.</v>
      </c>
      <c r="R297" t="str">
        <f>LEFT(tblPassengerNames[[#This Row],[Name]], tblPassengerNames[[#This Row],[CommaPos]] - 1)</f>
        <v>Thayer</v>
      </c>
    </row>
    <row r="298" spans="2:18" x14ac:dyDescent="0.25">
      <c r="B298" s="21">
        <v>296</v>
      </c>
      <c r="C298" s="21" t="s">
        <v>432</v>
      </c>
      <c r="D298" s="21" t="s">
        <v>138</v>
      </c>
      <c r="E298">
        <f>FIND(",", tblPassengerNames[[#This Row],[Name]])</f>
        <v>7</v>
      </c>
      <c r="F298">
        <f>FIND(".", tblPassengerNames[[#This Row],[Name]])</f>
        <v>11</v>
      </c>
      <c r="G298" t="e">
        <f>FIND("(", tblPassengerNames[[#This Row],[Name]])</f>
        <v>#VALUE!</v>
      </c>
      <c r="H298" t="e">
        <f>FIND(")", tblPassengerNames[[#This Row],[Name]])</f>
        <v>#VALUE!</v>
      </c>
      <c r="I298">
        <f>IFERROR(tblPassengerNames[[#This Row],[OpenParPos]] - 2, LEN(tblPassengerNames[[#This Row],[Name]]))</f>
        <v>27</v>
      </c>
      <c r="J298" t="str">
        <f>MID(tblPassengerNames[[#This Row],[Name]], tblPassengerNames[[#This Row],[DotPos]] + 2, tblPassengerNames[[#This Row],[EndOfConvFNPos]] - tblPassengerNames[[#This Row],[DotPos]] - 1)</f>
        <v>John Borland Jr</v>
      </c>
      <c r="K298" t="e">
        <f>MID(tblPassengerNames[[#This Row],[Name]], tblPassengerNames[[#This Row],[OpenParPos]] + 1, tblPassengerNames[[#This Row],[CloseParPos]] - tblPassengerNames[[#This Row],[OpenParPos]] - 1)</f>
        <v>#VALUE!</v>
      </c>
      <c r="L298" t="e">
        <f>IF(AND(LEFT(tblPassengerNames[[#This Row],[InParentheses]], 1) = "'", RIGHT(tblPassengerNames[[#This Row],[InParentheses]], 1) = "'"),
    #VALUE!,
    tblPassengerNames[[#This Row],[InParentheses]]
)</f>
        <v>#VALUE!</v>
      </c>
      <c r="M298" t="e">
        <f>LEN(tblPassengerNames[[#This Row],[InParenthesesCleaned]]) - LEN(SUBSTITUTE(tblPassengerNames[[#This Row],[InParenthesesCleaned]], " ", ""))</f>
        <v>#VALUE!</v>
      </c>
      <c r="N298" t="e">
        <f>FIND("@", SUBSTITUTE(tblPassengerNames[[#This Row],[InParenthesesCleaned]], " ", "@", tblPassengerNames[[#This Row],[P_NSpaces]]))</f>
        <v>#VALUE!</v>
      </c>
      <c r="O298" t="e">
        <f>IF(tblPassengerNames[[#This Row],[P_NSpaces]] = 0,
    tblPassengerNames[[#This Row],[InParenthesesCleaned]],
    LEFT(tblPassengerNames[[#This Row],[InParenthesesCleaned]], tblPassengerNames[[#This Row],[P_FinalSpacePos]] - 1)
)</f>
        <v>#VALUE!</v>
      </c>
      <c r="P298" t="str">
        <f>IFERROR(tblPassengerNames[[#This Row],[P_Forenames]], tblPassengerNames[[#This Row],[ConvForenames]])</f>
        <v>John Borland Jr</v>
      </c>
      <c r="Q298" t="str">
        <f>MID(tblPassengerNames[[#This Row],[Name]], tblPassengerNames[[#This Row],[CommaPos]] + 2, tblPassengerNames[[#This Row],[DotPos]] - tblPassengerNames[[#This Row],[CommaPos]] - 1)</f>
        <v>Mr.</v>
      </c>
      <c r="R298" t="str">
        <f>LEFT(tblPassengerNames[[#This Row],[Name]], tblPassengerNames[[#This Row],[CommaPos]] - 1)</f>
        <v>Thayer</v>
      </c>
    </row>
    <row r="299" spans="2:18" x14ac:dyDescent="0.25">
      <c r="B299" s="21">
        <v>297</v>
      </c>
      <c r="C299" s="21" t="s">
        <v>433</v>
      </c>
      <c r="D299" s="21" t="s">
        <v>136</v>
      </c>
      <c r="E299">
        <f>FIND(",", tblPassengerNames[[#This Row],[Name]])</f>
        <v>7</v>
      </c>
      <c r="F299">
        <f>FIND(".", tblPassengerNames[[#This Row],[Name]])</f>
        <v>12</v>
      </c>
      <c r="G299">
        <f>FIND("(", tblPassengerNames[[#This Row],[Name]])</f>
        <v>27</v>
      </c>
      <c r="H299">
        <f>FIND(")", tblPassengerNames[[#This Row],[Name]])</f>
        <v>52</v>
      </c>
      <c r="I299">
        <f>IFERROR(tblPassengerNames[[#This Row],[OpenParPos]] - 2, LEN(tblPassengerNames[[#This Row],[Name]]))</f>
        <v>25</v>
      </c>
      <c r="J299" t="str">
        <f>MID(tblPassengerNames[[#This Row],[Name]], tblPassengerNames[[#This Row],[DotPos]] + 2, tblPassengerNames[[#This Row],[EndOfConvFNPos]] - tblPassengerNames[[#This Row],[DotPos]] - 1)</f>
        <v>John Borland</v>
      </c>
      <c r="K299" t="str">
        <f>MID(tblPassengerNames[[#This Row],[Name]], tblPassengerNames[[#This Row],[OpenParPos]] + 1, tblPassengerNames[[#This Row],[CloseParPos]] - tblPassengerNames[[#This Row],[OpenParPos]] - 1)</f>
        <v>Marian Longstreth Morris</v>
      </c>
      <c r="L299" t="str">
        <f>IF(AND(LEFT(tblPassengerNames[[#This Row],[InParentheses]], 1) = "'", RIGHT(tblPassengerNames[[#This Row],[InParentheses]], 1) = "'"),
    #VALUE!,
    tblPassengerNames[[#This Row],[InParentheses]]
)</f>
        <v>Marian Longstreth Morris</v>
      </c>
      <c r="M299">
        <f>LEN(tblPassengerNames[[#This Row],[InParenthesesCleaned]]) - LEN(SUBSTITUTE(tblPassengerNames[[#This Row],[InParenthesesCleaned]], " ", ""))</f>
        <v>2</v>
      </c>
      <c r="N299">
        <f>FIND("@", SUBSTITUTE(tblPassengerNames[[#This Row],[InParenthesesCleaned]], " ", "@", tblPassengerNames[[#This Row],[P_NSpaces]]))</f>
        <v>18</v>
      </c>
      <c r="O299" t="str">
        <f>IF(tblPassengerNames[[#This Row],[P_NSpaces]] = 0,
    tblPassengerNames[[#This Row],[InParenthesesCleaned]],
    LEFT(tblPassengerNames[[#This Row],[InParenthesesCleaned]], tblPassengerNames[[#This Row],[P_FinalSpacePos]] - 1)
)</f>
        <v>Marian Longstreth</v>
      </c>
      <c r="P299" t="str">
        <f>IFERROR(tblPassengerNames[[#This Row],[P_Forenames]], tblPassengerNames[[#This Row],[ConvForenames]])</f>
        <v>Marian Longstreth</v>
      </c>
      <c r="Q299" t="str">
        <f>MID(tblPassengerNames[[#This Row],[Name]], tblPassengerNames[[#This Row],[CommaPos]] + 2, tblPassengerNames[[#This Row],[DotPos]] - tblPassengerNames[[#This Row],[CommaPos]] - 1)</f>
        <v>Mrs.</v>
      </c>
      <c r="R299" t="str">
        <f>LEFT(tblPassengerNames[[#This Row],[Name]], tblPassengerNames[[#This Row],[CommaPos]] - 1)</f>
        <v>Thayer</v>
      </c>
    </row>
    <row r="300" spans="2:18" x14ac:dyDescent="0.25">
      <c r="B300" s="21">
        <v>298</v>
      </c>
      <c r="C300" s="21" t="s">
        <v>434</v>
      </c>
      <c r="D300" s="21" t="s">
        <v>136</v>
      </c>
      <c r="E300">
        <f>FIND(",", tblPassengerNames[[#This Row],[Name]])</f>
        <v>7</v>
      </c>
      <c r="F300">
        <f>FIND(".", tblPassengerNames[[#This Row],[Name]])</f>
        <v>12</v>
      </c>
      <c r="G300" t="e">
        <f>FIND("(", tblPassengerNames[[#This Row],[Name]])</f>
        <v>#VALUE!</v>
      </c>
      <c r="H300" t="e">
        <f>FIND(")", tblPassengerNames[[#This Row],[Name]])</f>
        <v>#VALUE!</v>
      </c>
      <c r="I300">
        <f>IFERROR(tblPassengerNames[[#This Row],[OpenParPos]] - 2, LEN(tblPassengerNames[[#This Row],[Name]]))</f>
        <v>30</v>
      </c>
      <c r="J300" t="str">
        <f>MID(tblPassengerNames[[#This Row],[Name]], tblPassengerNames[[#This Row],[DotPos]] + 2, tblPassengerNames[[#This Row],[EndOfConvFNPos]] - tblPassengerNames[[#This Row],[DotPos]] - 1)</f>
        <v>Gertrude Maybelle</v>
      </c>
      <c r="K300" t="e">
        <f>MID(tblPassengerNames[[#This Row],[Name]], tblPassengerNames[[#This Row],[OpenParPos]] + 1, tblPassengerNames[[#This Row],[CloseParPos]] - tblPassengerNames[[#This Row],[OpenParPos]] - 1)</f>
        <v>#VALUE!</v>
      </c>
      <c r="L300" t="e">
        <f>IF(AND(LEFT(tblPassengerNames[[#This Row],[InParentheses]], 1) = "'", RIGHT(tblPassengerNames[[#This Row],[InParentheses]], 1) = "'"),
    #VALUE!,
    tblPassengerNames[[#This Row],[InParentheses]]
)</f>
        <v>#VALUE!</v>
      </c>
      <c r="M300" t="e">
        <f>LEN(tblPassengerNames[[#This Row],[InParenthesesCleaned]]) - LEN(SUBSTITUTE(tblPassengerNames[[#This Row],[InParenthesesCleaned]], " ", ""))</f>
        <v>#VALUE!</v>
      </c>
      <c r="N300" t="e">
        <f>FIND("@", SUBSTITUTE(tblPassengerNames[[#This Row],[InParenthesesCleaned]], " ", "@", tblPassengerNames[[#This Row],[P_NSpaces]]))</f>
        <v>#VALUE!</v>
      </c>
      <c r="O300" t="e">
        <f>IF(tblPassengerNames[[#This Row],[P_NSpaces]] = 0,
    tblPassengerNames[[#This Row],[InParenthesesCleaned]],
    LEFT(tblPassengerNames[[#This Row],[InParenthesesCleaned]], tblPassengerNames[[#This Row],[P_FinalSpacePos]] - 1)
)</f>
        <v>#VALUE!</v>
      </c>
      <c r="P300" t="str">
        <f>IFERROR(tblPassengerNames[[#This Row],[P_Forenames]], tblPassengerNames[[#This Row],[ConvForenames]])</f>
        <v>Gertrude Maybelle</v>
      </c>
      <c r="Q300" t="str">
        <f>MID(tblPassengerNames[[#This Row],[Name]], tblPassengerNames[[#This Row],[CommaPos]] + 2, tblPassengerNames[[#This Row],[DotPos]] - tblPassengerNames[[#This Row],[CommaPos]] - 1)</f>
        <v>Mrs.</v>
      </c>
      <c r="R300" t="str">
        <f>LEFT(tblPassengerNames[[#This Row],[Name]], tblPassengerNames[[#This Row],[CommaPos]] - 1)</f>
        <v>Thorne</v>
      </c>
    </row>
    <row r="301" spans="2:18" x14ac:dyDescent="0.25">
      <c r="B301" s="21">
        <v>299</v>
      </c>
      <c r="C301" s="21" t="s">
        <v>435</v>
      </c>
      <c r="D301" s="21" t="s">
        <v>138</v>
      </c>
      <c r="E301">
        <f>FIND(",", tblPassengerNames[[#This Row],[Name]])</f>
        <v>7</v>
      </c>
      <c r="F301">
        <f>FIND(".", tblPassengerNames[[#This Row],[Name]])</f>
        <v>11</v>
      </c>
      <c r="G301" t="e">
        <f>FIND("(", tblPassengerNames[[#This Row],[Name]])</f>
        <v>#VALUE!</v>
      </c>
      <c r="H301" t="e">
        <f>FIND(")", tblPassengerNames[[#This Row],[Name]])</f>
        <v>#VALUE!</v>
      </c>
      <c r="I301">
        <f>IFERROR(tblPassengerNames[[#This Row],[OpenParPos]] - 2, LEN(tblPassengerNames[[#This Row],[Name]]))</f>
        <v>31</v>
      </c>
      <c r="J301" t="str">
        <f>MID(tblPassengerNames[[#This Row],[Name]], tblPassengerNames[[#This Row],[DotPos]] + 2, tblPassengerNames[[#This Row],[EndOfConvFNPos]] - tblPassengerNames[[#This Row],[DotPos]] - 1)</f>
        <v>Gilbert Milligan Jr</v>
      </c>
      <c r="K301" t="e">
        <f>MID(tblPassengerNames[[#This Row],[Name]], tblPassengerNames[[#This Row],[OpenParPos]] + 1, tblPassengerNames[[#This Row],[CloseParPos]] - tblPassengerNames[[#This Row],[OpenParPos]] - 1)</f>
        <v>#VALUE!</v>
      </c>
      <c r="L301" t="e">
        <f>IF(AND(LEFT(tblPassengerNames[[#This Row],[InParentheses]], 1) = "'", RIGHT(tblPassengerNames[[#This Row],[InParentheses]], 1) = "'"),
    #VALUE!,
    tblPassengerNames[[#This Row],[InParentheses]]
)</f>
        <v>#VALUE!</v>
      </c>
      <c r="M301" t="e">
        <f>LEN(tblPassengerNames[[#This Row],[InParenthesesCleaned]]) - LEN(SUBSTITUTE(tblPassengerNames[[#This Row],[InParenthesesCleaned]], " ", ""))</f>
        <v>#VALUE!</v>
      </c>
      <c r="N301" t="e">
        <f>FIND("@", SUBSTITUTE(tblPassengerNames[[#This Row],[InParenthesesCleaned]], " ", "@", tblPassengerNames[[#This Row],[P_NSpaces]]))</f>
        <v>#VALUE!</v>
      </c>
      <c r="O301" t="e">
        <f>IF(tblPassengerNames[[#This Row],[P_NSpaces]] = 0,
    tblPassengerNames[[#This Row],[InParenthesesCleaned]],
    LEFT(tblPassengerNames[[#This Row],[InParenthesesCleaned]], tblPassengerNames[[#This Row],[P_FinalSpacePos]] - 1)
)</f>
        <v>#VALUE!</v>
      </c>
      <c r="P301" t="str">
        <f>IFERROR(tblPassengerNames[[#This Row],[P_Forenames]], tblPassengerNames[[#This Row],[ConvForenames]])</f>
        <v>Gilbert Milligan Jr</v>
      </c>
      <c r="Q301" t="str">
        <f>MID(tblPassengerNames[[#This Row],[Name]], tblPassengerNames[[#This Row],[CommaPos]] + 2, tblPassengerNames[[#This Row],[DotPos]] - tblPassengerNames[[#This Row],[CommaPos]] - 1)</f>
        <v>Mr.</v>
      </c>
      <c r="R301" t="str">
        <f>LEFT(tblPassengerNames[[#This Row],[Name]], tblPassengerNames[[#This Row],[CommaPos]] - 1)</f>
        <v>Tucker</v>
      </c>
    </row>
    <row r="302" spans="2:18" x14ac:dyDescent="0.25">
      <c r="B302" s="21">
        <v>300</v>
      </c>
      <c r="C302" s="21" t="s">
        <v>436</v>
      </c>
      <c r="D302" s="21" t="s">
        <v>138</v>
      </c>
      <c r="E302">
        <f>FIND(",", tblPassengerNames[[#This Row],[Name]])</f>
        <v>10</v>
      </c>
      <c r="F302">
        <f>FIND(".", tblPassengerNames[[#This Row],[Name]])</f>
        <v>15</v>
      </c>
      <c r="G302" t="e">
        <f>FIND("(", tblPassengerNames[[#This Row],[Name]])</f>
        <v>#VALUE!</v>
      </c>
      <c r="H302" t="e">
        <f>FIND(")", tblPassengerNames[[#This Row],[Name]])</f>
        <v>#VALUE!</v>
      </c>
      <c r="I302">
        <f>IFERROR(tblPassengerNames[[#This Row],[OpenParPos]] - 2, LEN(tblPassengerNames[[#This Row],[Name]]))</f>
        <v>24</v>
      </c>
      <c r="J302" t="str">
        <f>MID(tblPassengerNames[[#This Row],[Name]], tblPassengerNames[[#This Row],[DotPos]] + 2, tblPassengerNames[[#This Row],[EndOfConvFNPos]] - tblPassengerNames[[#This Row],[DotPos]] - 1)</f>
        <v>Manuel E</v>
      </c>
      <c r="K302" t="e">
        <f>MID(tblPassengerNames[[#This Row],[Name]], tblPassengerNames[[#This Row],[OpenParPos]] + 1, tblPassengerNames[[#This Row],[CloseParPos]] - tblPassengerNames[[#This Row],[OpenParPos]] - 1)</f>
        <v>#VALUE!</v>
      </c>
      <c r="L302" t="e">
        <f>IF(AND(LEFT(tblPassengerNames[[#This Row],[InParentheses]], 1) = "'", RIGHT(tblPassengerNames[[#This Row],[InParentheses]], 1) = "'"),
    #VALUE!,
    tblPassengerNames[[#This Row],[InParentheses]]
)</f>
        <v>#VALUE!</v>
      </c>
      <c r="M302" t="e">
        <f>LEN(tblPassengerNames[[#This Row],[InParenthesesCleaned]]) - LEN(SUBSTITUTE(tblPassengerNames[[#This Row],[InParenthesesCleaned]], " ", ""))</f>
        <v>#VALUE!</v>
      </c>
      <c r="N302" t="e">
        <f>FIND("@", SUBSTITUTE(tblPassengerNames[[#This Row],[InParenthesesCleaned]], " ", "@", tblPassengerNames[[#This Row],[P_NSpaces]]))</f>
        <v>#VALUE!</v>
      </c>
      <c r="O302" t="e">
        <f>IF(tblPassengerNames[[#This Row],[P_NSpaces]] = 0,
    tblPassengerNames[[#This Row],[InParenthesesCleaned]],
    LEFT(tblPassengerNames[[#This Row],[InParenthesesCleaned]], tblPassengerNames[[#This Row],[P_FinalSpacePos]] - 1)
)</f>
        <v>#VALUE!</v>
      </c>
      <c r="P302" t="str">
        <f>IFERROR(tblPassengerNames[[#This Row],[P_Forenames]], tblPassengerNames[[#This Row],[ConvForenames]])</f>
        <v>Manuel E</v>
      </c>
      <c r="Q302" t="str">
        <f>MID(tblPassengerNames[[#This Row],[Name]], tblPassengerNames[[#This Row],[CommaPos]] + 2, tblPassengerNames[[#This Row],[DotPos]] - tblPassengerNames[[#This Row],[CommaPos]] - 1)</f>
        <v>Don.</v>
      </c>
      <c r="R302" t="str">
        <f>LEFT(tblPassengerNames[[#This Row],[Name]], tblPassengerNames[[#This Row],[CommaPos]] - 1)</f>
        <v>Uruchurtu</v>
      </c>
    </row>
    <row r="303" spans="2:18" x14ac:dyDescent="0.25">
      <c r="B303" s="21">
        <v>301</v>
      </c>
      <c r="C303" s="21" t="s">
        <v>437</v>
      </c>
      <c r="D303" s="21" t="s">
        <v>138</v>
      </c>
      <c r="E303">
        <f>FIND(",", tblPassengerNames[[#This Row],[Name]])</f>
        <v>13</v>
      </c>
      <c r="F303">
        <f>FIND(".", tblPassengerNames[[#This Row],[Name]])</f>
        <v>17</v>
      </c>
      <c r="G303" t="e">
        <f>FIND("(", tblPassengerNames[[#This Row],[Name]])</f>
        <v>#VALUE!</v>
      </c>
      <c r="H303" t="e">
        <f>FIND(")", tblPassengerNames[[#This Row],[Name]])</f>
        <v>#VALUE!</v>
      </c>
      <c r="I303">
        <f>IFERROR(tblPassengerNames[[#This Row],[OpenParPos]] - 2, LEN(tblPassengerNames[[#This Row],[Name]]))</f>
        <v>25</v>
      </c>
      <c r="J303" t="str">
        <f>MID(tblPassengerNames[[#This Row],[Name]], tblPassengerNames[[#This Row],[DotPos]] + 2, tblPassengerNames[[#This Row],[EndOfConvFNPos]] - tblPassengerNames[[#This Row],[DotPos]] - 1)</f>
        <v>Wyckoff</v>
      </c>
      <c r="K303" t="e">
        <f>MID(tblPassengerNames[[#This Row],[Name]], tblPassengerNames[[#This Row],[OpenParPos]] + 1, tblPassengerNames[[#This Row],[CloseParPos]] - tblPassengerNames[[#This Row],[OpenParPos]] - 1)</f>
        <v>#VALUE!</v>
      </c>
      <c r="L303" t="e">
        <f>IF(AND(LEFT(tblPassengerNames[[#This Row],[InParentheses]], 1) = "'", RIGHT(tblPassengerNames[[#This Row],[InParentheses]], 1) = "'"),
    #VALUE!,
    tblPassengerNames[[#This Row],[InParentheses]]
)</f>
        <v>#VALUE!</v>
      </c>
      <c r="M303" t="e">
        <f>LEN(tblPassengerNames[[#This Row],[InParenthesesCleaned]]) - LEN(SUBSTITUTE(tblPassengerNames[[#This Row],[InParenthesesCleaned]], " ", ""))</f>
        <v>#VALUE!</v>
      </c>
      <c r="N303" t="e">
        <f>FIND("@", SUBSTITUTE(tblPassengerNames[[#This Row],[InParenthesesCleaned]], " ", "@", tblPassengerNames[[#This Row],[P_NSpaces]]))</f>
        <v>#VALUE!</v>
      </c>
      <c r="O303" t="e">
        <f>IF(tblPassengerNames[[#This Row],[P_NSpaces]] = 0,
    tblPassengerNames[[#This Row],[InParenthesesCleaned]],
    LEFT(tblPassengerNames[[#This Row],[InParenthesesCleaned]], tblPassengerNames[[#This Row],[P_FinalSpacePos]] - 1)
)</f>
        <v>#VALUE!</v>
      </c>
      <c r="P303" t="str">
        <f>IFERROR(tblPassengerNames[[#This Row],[P_Forenames]], tblPassengerNames[[#This Row],[ConvForenames]])</f>
        <v>Wyckoff</v>
      </c>
      <c r="Q303" t="str">
        <f>MID(tblPassengerNames[[#This Row],[Name]], tblPassengerNames[[#This Row],[CommaPos]] + 2, tblPassengerNames[[#This Row],[DotPos]] - tblPassengerNames[[#This Row],[CommaPos]] - 1)</f>
        <v>Mr.</v>
      </c>
      <c r="R303" t="str">
        <f>LEFT(tblPassengerNames[[#This Row],[Name]], tblPassengerNames[[#This Row],[CommaPos]] - 1)</f>
        <v>Van der hoef</v>
      </c>
    </row>
    <row r="304" spans="2:18" x14ac:dyDescent="0.25">
      <c r="B304" s="21">
        <v>302</v>
      </c>
      <c r="C304" s="21" t="s">
        <v>438</v>
      </c>
      <c r="D304" s="21" t="s">
        <v>138</v>
      </c>
      <c r="E304">
        <f>FIND(",", tblPassengerNames[[#This Row],[Name]])</f>
        <v>7</v>
      </c>
      <c r="F304">
        <f>FIND(".", tblPassengerNames[[#This Row],[Name]])</f>
        <v>11</v>
      </c>
      <c r="G304" t="e">
        <f>FIND("(", tblPassengerNames[[#This Row],[Name]])</f>
        <v>#VALUE!</v>
      </c>
      <c r="H304" t="e">
        <f>FIND(")", tblPassengerNames[[#This Row],[Name]])</f>
        <v>#VALUE!</v>
      </c>
      <c r="I304">
        <f>IFERROR(tblPassengerNames[[#This Row],[OpenParPos]] - 2, LEN(tblPassengerNames[[#This Row],[Name]]))</f>
        <v>28</v>
      </c>
      <c r="J304" t="str">
        <f>MID(tblPassengerNames[[#This Row],[Name]], tblPassengerNames[[#This Row],[DotPos]] + 2, tblPassengerNames[[#This Row],[EndOfConvFNPos]] - tblPassengerNames[[#This Row],[DotPos]] - 1)</f>
        <v>William Anderson</v>
      </c>
      <c r="K304" t="e">
        <f>MID(tblPassengerNames[[#This Row],[Name]], tblPassengerNames[[#This Row],[OpenParPos]] + 1, tblPassengerNames[[#This Row],[CloseParPos]] - tblPassengerNames[[#This Row],[OpenParPos]] - 1)</f>
        <v>#VALUE!</v>
      </c>
      <c r="L304" t="e">
        <f>IF(AND(LEFT(tblPassengerNames[[#This Row],[InParentheses]], 1) = "'", RIGHT(tblPassengerNames[[#This Row],[InParentheses]], 1) = "'"),
    #VALUE!,
    tblPassengerNames[[#This Row],[InParentheses]]
)</f>
        <v>#VALUE!</v>
      </c>
      <c r="M304" t="e">
        <f>LEN(tblPassengerNames[[#This Row],[InParenthesesCleaned]]) - LEN(SUBSTITUTE(tblPassengerNames[[#This Row],[InParenthesesCleaned]], " ", ""))</f>
        <v>#VALUE!</v>
      </c>
      <c r="N304" t="e">
        <f>FIND("@", SUBSTITUTE(tblPassengerNames[[#This Row],[InParenthesesCleaned]], " ", "@", tblPassengerNames[[#This Row],[P_NSpaces]]))</f>
        <v>#VALUE!</v>
      </c>
      <c r="O304" t="e">
        <f>IF(tblPassengerNames[[#This Row],[P_NSpaces]] = 0,
    tblPassengerNames[[#This Row],[InParenthesesCleaned]],
    LEFT(tblPassengerNames[[#This Row],[InParenthesesCleaned]], tblPassengerNames[[#This Row],[P_FinalSpacePos]] - 1)
)</f>
        <v>#VALUE!</v>
      </c>
      <c r="P304" t="str">
        <f>IFERROR(tblPassengerNames[[#This Row],[P_Forenames]], tblPassengerNames[[#This Row],[ConvForenames]])</f>
        <v>William Anderson</v>
      </c>
      <c r="Q304" t="str">
        <f>MID(tblPassengerNames[[#This Row],[Name]], tblPassengerNames[[#This Row],[CommaPos]] + 2, tblPassengerNames[[#This Row],[DotPos]] - tblPassengerNames[[#This Row],[CommaPos]] - 1)</f>
        <v>Mr.</v>
      </c>
      <c r="R304" t="str">
        <f>LEFT(tblPassengerNames[[#This Row],[Name]], tblPassengerNames[[#This Row],[CommaPos]] - 1)</f>
        <v>Walker</v>
      </c>
    </row>
    <row r="305" spans="2:18" x14ac:dyDescent="0.25">
      <c r="B305" s="21">
        <v>303</v>
      </c>
      <c r="C305" s="21" t="s">
        <v>439</v>
      </c>
      <c r="D305" s="21" t="s">
        <v>136</v>
      </c>
      <c r="E305">
        <f>FIND(",", tblPassengerNames[[#This Row],[Name]])</f>
        <v>5</v>
      </c>
      <c r="F305">
        <f>FIND(".", tblPassengerNames[[#This Row],[Name]])</f>
        <v>11</v>
      </c>
      <c r="G305" t="e">
        <f>FIND("(", tblPassengerNames[[#This Row],[Name]])</f>
        <v>#VALUE!</v>
      </c>
      <c r="H305" t="e">
        <f>FIND(")", tblPassengerNames[[#This Row],[Name]])</f>
        <v>#VALUE!</v>
      </c>
      <c r="I305">
        <f>IFERROR(tblPassengerNames[[#This Row],[OpenParPos]] - 2, LEN(tblPassengerNames[[#This Row],[Name]]))</f>
        <v>16</v>
      </c>
      <c r="J305" t="str">
        <f>MID(tblPassengerNames[[#This Row],[Name]], tblPassengerNames[[#This Row],[DotPos]] + 2, tblPassengerNames[[#This Row],[EndOfConvFNPos]] - tblPassengerNames[[#This Row],[DotPos]] - 1)</f>
        <v>Anna</v>
      </c>
      <c r="K305" t="e">
        <f>MID(tblPassengerNames[[#This Row],[Name]], tblPassengerNames[[#This Row],[OpenParPos]] + 1, tblPassengerNames[[#This Row],[CloseParPos]] - tblPassengerNames[[#This Row],[OpenParPos]] - 1)</f>
        <v>#VALUE!</v>
      </c>
      <c r="L305" t="e">
        <f>IF(AND(LEFT(tblPassengerNames[[#This Row],[InParentheses]], 1) = "'", RIGHT(tblPassengerNames[[#This Row],[InParentheses]], 1) = "'"),
    #VALUE!,
    tblPassengerNames[[#This Row],[InParentheses]]
)</f>
        <v>#VALUE!</v>
      </c>
      <c r="M305" t="e">
        <f>LEN(tblPassengerNames[[#This Row],[InParenthesesCleaned]]) - LEN(SUBSTITUTE(tblPassengerNames[[#This Row],[InParenthesesCleaned]], " ", ""))</f>
        <v>#VALUE!</v>
      </c>
      <c r="N305" t="e">
        <f>FIND("@", SUBSTITUTE(tblPassengerNames[[#This Row],[InParenthesesCleaned]], " ", "@", tblPassengerNames[[#This Row],[P_NSpaces]]))</f>
        <v>#VALUE!</v>
      </c>
      <c r="O305" t="e">
        <f>IF(tblPassengerNames[[#This Row],[P_NSpaces]] = 0,
    tblPassengerNames[[#This Row],[InParenthesesCleaned]],
    LEFT(tblPassengerNames[[#This Row],[InParenthesesCleaned]], tblPassengerNames[[#This Row],[P_FinalSpacePos]] - 1)
)</f>
        <v>#VALUE!</v>
      </c>
      <c r="P305" t="str">
        <f>IFERROR(tblPassengerNames[[#This Row],[P_Forenames]], tblPassengerNames[[#This Row],[ConvForenames]])</f>
        <v>Anna</v>
      </c>
      <c r="Q305" t="str">
        <f>MID(tblPassengerNames[[#This Row],[Name]], tblPassengerNames[[#This Row],[CommaPos]] + 2, tblPassengerNames[[#This Row],[DotPos]] - tblPassengerNames[[#This Row],[CommaPos]] - 1)</f>
        <v>Miss.</v>
      </c>
      <c r="R305" t="str">
        <f>LEFT(tblPassengerNames[[#This Row],[Name]], tblPassengerNames[[#This Row],[CommaPos]] - 1)</f>
        <v>Ward</v>
      </c>
    </row>
    <row r="306" spans="2:18" x14ac:dyDescent="0.25">
      <c r="B306" s="21">
        <v>304</v>
      </c>
      <c r="C306" s="21" t="s">
        <v>440</v>
      </c>
      <c r="D306" s="21" t="s">
        <v>138</v>
      </c>
      <c r="E306">
        <f>FIND(",", tblPassengerNames[[#This Row],[Name]])</f>
        <v>7</v>
      </c>
      <c r="F306">
        <f>FIND(".", tblPassengerNames[[#This Row],[Name]])</f>
        <v>11</v>
      </c>
      <c r="G306" t="e">
        <f>FIND("(", tblPassengerNames[[#This Row],[Name]])</f>
        <v>#VALUE!</v>
      </c>
      <c r="H306" t="e">
        <f>FIND(")", tblPassengerNames[[#This Row],[Name]])</f>
        <v>#VALUE!</v>
      </c>
      <c r="I306">
        <f>IFERROR(tblPassengerNames[[#This Row],[OpenParPos]] - 2, LEN(tblPassengerNames[[#This Row],[Name]]))</f>
        <v>24</v>
      </c>
      <c r="J306" t="str">
        <f>MID(tblPassengerNames[[#This Row],[Name]], tblPassengerNames[[#This Row],[DotPos]] + 2, tblPassengerNames[[#This Row],[EndOfConvFNPos]] - tblPassengerNames[[#This Row],[DotPos]] - 1)</f>
        <v>Frank Manley</v>
      </c>
      <c r="K306" t="e">
        <f>MID(tblPassengerNames[[#This Row],[Name]], tblPassengerNames[[#This Row],[OpenParPos]] + 1, tblPassengerNames[[#This Row],[CloseParPos]] - tblPassengerNames[[#This Row],[OpenParPos]] - 1)</f>
        <v>#VALUE!</v>
      </c>
      <c r="L306" t="e">
        <f>IF(AND(LEFT(tblPassengerNames[[#This Row],[InParentheses]], 1) = "'", RIGHT(tblPassengerNames[[#This Row],[InParentheses]], 1) = "'"),
    #VALUE!,
    tblPassengerNames[[#This Row],[InParentheses]]
)</f>
        <v>#VALUE!</v>
      </c>
      <c r="M306" t="e">
        <f>LEN(tblPassengerNames[[#This Row],[InParenthesesCleaned]]) - LEN(SUBSTITUTE(tblPassengerNames[[#This Row],[InParenthesesCleaned]], " ", ""))</f>
        <v>#VALUE!</v>
      </c>
      <c r="N306" t="e">
        <f>FIND("@", SUBSTITUTE(tblPassengerNames[[#This Row],[InParenthesesCleaned]], " ", "@", tblPassengerNames[[#This Row],[P_NSpaces]]))</f>
        <v>#VALUE!</v>
      </c>
      <c r="O306" t="e">
        <f>IF(tblPassengerNames[[#This Row],[P_NSpaces]] = 0,
    tblPassengerNames[[#This Row],[InParenthesesCleaned]],
    LEFT(tblPassengerNames[[#This Row],[InParenthesesCleaned]], tblPassengerNames[[#This Row],[P_FinalSpacePos]] - 1)
)</f>
        <v>#VALUE!</v>
      </c>
      <c r="P306" t="str">
        <f>IFERROR(tblPassengerNames[[#This Row],[P_Forenames]], tblPassengerNames[[#This Row],[ConvForenames]])</f>
        <v>Frank Manley</v>
      </c>
      <c r="Q306" t="str">
        <f>MID(tblPassengerNames[[#This Row],[Name]], tblPassengerNames[[#This Row],[CommaPos]] + 2, tblPassengerNames[[#This Row],[DotPos]] - tblPassengerNames[[#This Row],[CommaPos]] - 1)</f>
        <v>Mr.</v>
      </c>
      <c r="R306" t="str">
        <f>LEFT(tblPassengerNames[[#This Row],[Name]], tblPassengerNames[[#This Row],[CommaPos]] - 1)</f>
        <v>Warren</v>
      </c>
    </row>
    <row r="307" spans="2:18" x14ac:dyDescent="0.25">
      <c r="B307" s="21">
        <v>305</v>
      </c>
      <c r="C307" s="21" t="s">
        <v>441</v>
      </c>
      <c r="D307" s="21" t="s">
        <v>136</v>
      </c>
      <c r="E307">
        <f>FIND(",", tblPassengerNames[[#This Row],[Name]])</f>
        <v>7</v>
      </c>
      <c r="F307">
        <f>FIND(".", tblPassengerNames[[#This Row],[Name]])</f>
        <v>12</v>
      </c>
      <c r="G307">
        <f>FIND("(", tblPassengerNames[[#This Row],[Name]])</f>
        <v>27</v>
      </c>
      <c r="H307">
        <f>FIND(")", tblPassengerNames[[#This Row],[Name]])</f>
        <v>48</v>
      </c>
      <c r="I307">
        <f>IFERROR(tblPassengerNames[[#This Row],[OpenParPos]] - 2, LEN(tblPassengerNames[[#This Row],[Name]]))</f>
        <v>25</v>
      </c>
      <c r="J307" t="str">
        <f>MID(tblPassengerNames[[#This Row],[Name]], tblPassengerNames[[#This Row],[DotPos]] + 2, tblPassengerNames[[#This Row],[EndOfConvFNPos]] - tblPassengerNames[[#This Row],[DotPos]] - 1)</f>
        <v>Frank Manley</v>
      </c>
      <c r="K307" t="str">
        <f>MID(tblPassengerNames[[#This Row],[Name]], tblPassengerNames[[#This Row],[OpenParPos]] + 1, tblPassengerNames[[#This Row],[CloseParPos]] - tblPassengerNames[[#This Row],[OpenParPos]] - 1)</f>
        <v>Anna Sophia Atkinson</v>
      </c>
      <c r="L307" t="str">
        <f>IF(AND(LEFT(tblPassengerNames[[#This Row],[InParentheses]], 1) = "'", RIGHT(tblPassengerNames[[#This Row],[InParentheses]], 1) = "'"),
    #VALUE!,
    tblPassengerNames[[#This Row],[InParentheses]]
)</f>
        <v>Anna Sophia Atkinson</v>
      </c>
      <c r="M307">
        <f>LEN(tblPassengerNames[[#This Row],[InParenthesesCleaned]]) - LEN(SUBSTITUTE(tblPassengerNames[[#This Row],[InParenthesesCleaned]], " ", ""))</f>
        <v>2</v>
      </c>
      <c r="N307">
        <f>FIND("@", SUBSTITUTE(tblPassengerNames[[#This Row],[InParenthesesCleaned]], " ", "@", tblPassengerNames[[#This Row],[P_NSpaces]]))</f>
        <v>12</v>
      </c>
      <c r="O307" t="str">
        <f>IF(tblPassengerNames[[#This Row],[P_NSpaces]] = 0,
    tblPassengerNames[[#This Row],[InParenthesesCleaned]],
    LEFT(tblPassengerNames[[#This Row],[InParenthesesCleaned]], tblPassengerNames[[#This Row],[P_FinalSpacePos]] - 1)
)</f>
        <v>Anna Sophia</v>
      </c>
      <c r="P307" t="str">
        <f>IFERROR(tblPassengerNames[[#This Row],[P_Forenames]], tblPassengerNames[[#This Row],[ConvForenames]])</f>
        <v>Anna Sophia</v>
      </c>
      <c r="Q307" t="str">
        <f>MID(tblPassengerNames[[#This Row],[Name]], tblPassengerNames[[#This Row],[CommaPos]] + 2, tblPassengerNames[[#This Row],[DotPos]] - tblPassengerNames[[#This Row],[CommaPos]] - 1)</f>
        <v>Mrs.</v>
      </c>
      <c r="R307" t="str">
        <f>LEFT(tblPassengerNames[[#This Row],[Name]], tblPassengerNames[[#This Row],[CommaPos]] - 1)</f>
        <v>Warren</v>
      </c>
    </row>
    <row r="308" spans="2:18" x14ac:dyDescent="0.25">
      <c r="B308" s="21">
        <v>306</v>
      </c>
      <c r="C308" s="21" t="s">
        <v>442</v>
      </c>
      <c r="D308" s="21" t="s">
        <v>138</v>
      </c>
      <c r="E308">
        <f>FIND(",", tblPassengerNames[[#This Row],[Name]])</f>
        <v>5</v>
      </c>
      <c r="F308">
        <f>FIND(".", tblPassengerNames[[#This Row],[Name]])</f>
        <v>10</v>
      </c>
      <c r="G308" t="e">
        <f>FIND("(", tblPassengerNames[[#This Row],[Name]])</f>
        <v>#VALUE!</v>
      </c>
      <c r="H308" t="e">
        <f>FIND(")", tblPassengerNames[[#This Row],[Name]])</f>
        <v>#VALUE!</v>
      </c>
      <c r="I308">
        <f>IFERROR(tblPassengerNames[[#This Row],[OpenParPos]] - 2, LEN(tblPassengerNames[[#This Row],[Name]]))</f>
        <v>15</v>
      </c>
      <c r="J308" t="str">
        <f>MID(tblPassengerNames[[#This Row],[Name]], tblPassengerNames[[#This Row],[DotPos]] + 2, tblPassengerNames[[#This Row],[EndOfConvFNPos]] - tblPassengerNames[[#This Row],[DotPos]] - 1)</f>
        <v>John</v>
      </c>
      <c r="K308" t="e">
        <f>MID(tblPassengerNames[[#This Row],[Name]], tblPassengerNames[[#This Row],[OpenParPos]] + 1, tblPassengerNames[[#This Row],[CloseParPos]] - tblPassengerNames[[#This Row],[OpenParPos]] - 1)</f>
        <v>#VALUE!</v>
      </c>
      <c r="L308" t="e">
        <f>IF(AND(LEFT(tblPassengerNames[[#This Row],[InParentheses]], 1) = "'", RIGHT(tblPassengerNames[[#This Row],[InParentheses]], 1) = "'"),
    #VALUE!,
    tblPassengerNames[[#This Row],[InParentheses]]
)</f>
        <v>#VALUE!</v>
      </c>
      <c r="M308" t="e">
        <f>LEN(tblPassengerNames[[#This Row],[InParenthesesCleaned]]) - LEN(SUBSTITUTE(tblPassengerNames[[#This Row],[InParenthesesCleaned]], " ", ""))</f>
        <v>#VALUE!</v>
      </c>
      <c r="N308" t="e">
        <f>FIND("@", SUBSTITUTE(tblPassengerNames[[#This Row],[InParenthesesCleaned]], " ", "@", tblPassengerNames[[#This Row],[P_NSpaces]]))</f>
        <v>#VALUE!</v>
      </c>
      <c r="O308" t="e">
        <f>IF(tblPassengerNames[[#This Row],[P_NSpaces]] = 0,
    tblPassengerNames[[#This Row],[InParenthesesCleaned]],
    LEFT(tblPassengerNames[[#This Row],[InParenthesesCleaned]], tblPassengerNames[[#This Row],[P_FinalSpacePos]] - 1)
)</f>
        <v>#VALUE!</v>
      </c>
      <c r="P308" t="str">
        <f>IFERROR(tblPassengerNames[[#This Row],[P_Forenames]], tblPassengerNames[[#This Row],[ConvForenames]])</f>
        <v>John</v>
      </c>
      <c r="Q308" t="str">
        <f>MID(tblPassengerNames[[#This Row],[Name]], tblPassengerNames[[#This Row],[CommaPos]] + 2, tblPassengerNames[[#This Row],[DotPos]] - tblPassengerNames[[#This Row],[CommaPos]] - 1)</f>
        <v>Col.</v>
      </c>
      <c r="R308" t="str">
        <f>LEFT(tblPassengerNames[[#This Row],[Name]], tblPassengerNames[[#This Row],[CommaPos]] - 1)</f>
        <v>Weir</v>
      </c>
    </row>
    <row r="309" spans="2:18" x14ac:dyDescent="0.25">
      <c r="B309" s="21">
        <v>307</v>
      </c>
      <c r="C309" s="21" t="s">
        <v>443</v>
      </c>
      <c r="D309" s="21" t="s">
        <v>138</v>
      </c>
      <c r="E309">
        <f>FIND(",", tblPassengerNames[[#This Row],[Name]])</f>
        <v>6</v>
      </c>
      <c r="F309">
        <f>FIND(".", tblPassengerNames[[#This Row],[Name]])</f>
        <v>10</v>
      </c>
      <c r="G309" t="e">
        <f>FIND("(", tblPassengerNames[[#This Row],[Name]])</f>
        <v>#VALUE!</v>
      </c>
      <c r="H309" t="e">
        <f>FIND(")", tblPassengerNames[[#This Row],[Name]])</f>
        <v>#VALUE!</v>
      </c>
      <c r="I309">
        <f>IFERROR(tblPassengerNames[[#This Row],[OpenParPos]] - 2, LEN(tblPassengerNames[[#This Row],[Name]]))</f>
        <v>27</v>
      </c>
      <c r="J309" t="str">
        <f>MID(tblPassengerNames[[#This Row],[Name]], tblPassengerNames[[#This Row],[DotPos]] + 2, tblPassengerNames[[#This Row],[EndOfConvFNPos]] - tblPassengerNames[[#This Row],[DotPos]] - 1)</f>
        <v>Percival Wayland</v>
      </c>
      <c r="K309" t="e">
        <f>MID(tblPassengerNames[[#This Row],[Name]], tblPassengerNames[[#This Row],[OpenParPos]] + 1, tblPassengerNames[[#This Row],[CloseParPos]] - tblPassengerNames[[#This Row],[OpenParPos]] - 1)</f>
        <v>#VALUE!</v>
      </c>
      <c r="L309" t="e">
        <f>IF(AND(LEFT(tblPassengerNames[[#This Row],[InParentheses]], 1) = "'", RIGHT(tblPassengerNames[[#This Row],[InParentheses]], 1) = "'"),
    #VALUE!,
    tblPassengerNames[[#This Row],[InParentheses]]
)</f>
        <v>#VALUE!</v>
      </c>
      <c r="M309" t="e">
        <f>LEN(tblPassengerNames[[#This Row],[InParenthesesCleaned]]) - LEN(SUBSTITUTE(tblPassengerNames[[#This Row],[InParenthesesCleaned]], " ", ""))</f>
        <v>#VALUE!</v>
      </c>
      <c r="N309" t="e">
        <f>FIND("@", SUBSTITUTE(tblPassengerNames[[#This Row],[InParenthesesCleaned]], " ", "@", tblPassengerNames[[#This Row],[P_NSpaces]]))</f>
        <v>#VALUE!</v>
      </c>
      <c r="O309" t="e">
        <f>IF(tblPassengerNames[[#This Row],[P_NSpaces]] = 0,
    tblPassengerNames[[#This Row],[InParenthesesCleaned]],
    LEFT(tblPassengerNames[[#This Row],[InParenthesesCleaned]], tblPassengerNames[[#This Row],[P_FinalSpacePos]] - 1)
)</f>
        <v>#VALUE!</v>
      </c>
      <c r="P309" t="str">
        <f>IFERROR(tblPassengerNames[[#This Row],[P_Forenames]], tblPassengerNames[[#This Row],[ConvForenames]])</f>
        <v>Percival Wayland</v>
      </c>
      <c r="Q309" t="str">
        <f>MID(tblPassengerNames[[#This Row],[Name]], tblPassengerNames[[#This Row],[CommaPos]] + 2, tblPassengerNames[[#This Row],[DotPos]] - tblPassengerNames[[#This Row],[CommaPos]] - 1)</f>
        <v>Mr.</v>
      </c>
      <c r="R309" t="str">
        <f>LEFT(tblPassengerNames[[#This Row],[Name]], tblPassengerNames[[#This Row],[CommaPos]] - 1)</f>
        <v>White</v>
      </c>
    </row>
    <row r="310" spans="2:18" x14ac:dyDescent="0.25">
      <c r="B310" s="21">
        <v>308</v>
      </c>
      <c r="C310" s="21" t="s">
        <v>444</v>
      </c>
      <c r="D310" s="21" t="s">
        <v>138</v>
      </c>
      <c r="E310">
        <f>FIND(",", tblPassengerNames[[#This Row],[Name]])</f>
        <v>6</v>
      </c>
      <c r="F310">
        <f>FIND(".", tblPassengerNames[[#This Row],[Name]])</f>
        <v>10</v>
      </c>
      <c r="G310" t="e">
        <f>FIND("(", tblPassengerNames[[#This Row],[Name]])</f>
        <v>#VALUE!</v>
      </c>
      <c r="H310" t="e">
        <f>FIND(")", tblPassengerNames[[#This Row],[Name]])</f>
        <v>#VALUE!</v>
      </c>
      <c r="I310">
        <f>IFERROR(tblPassengerNames[[#This Row],[OpenParPos]] - 2, LEN(tblPassengerNames[[#This Row],[Name]]))</f>
        <v>25</v>
      </c>
      <c r="J310" t="str">
        <f>MID(tblPassengerNames[[#This Row],[Name]], tblPassengerNames[[#This Row],[DotPos]] + 2, tblPassengerNames[[#This Row],[EndOfConvFNPos]] - tblPassengerNames[[#This Row],[DotPos]] - 1)</f>
        <v>Richard Frasar</v>
      </c>
      <c r="K310" t="e">
        <f>MID(tblPassengerNames[[#This Row],[Name]], tblPassengerNames[[#This Row],[OpenParPos]] + 1, tblPassengerNames[[#This Row],[CloseParPos]] - tblPassengerNames[[#This Row],[OpenParPos]] - 1)</f>
        <v>#VALUE!</v>
      </c>
      <c r="L310" t="e">
        <f>IF(AND(LEFT(tblPassengerNames[[#This Row],[InParentheses]], 1) = "'", RIGHT(tblPassengerNames[[#This Row],[InParentheses]], 1) = "'"),
    #VALUE!,
    tblPassengerNames[[#This Row],[InParentheses]]
)</f>
        <v>#VALUE!</v>
      </c>
      <c r="M310" t="e">
        <f>LEN(tblPassengerNames[[#This Row],[InParenthesesCleaned]]) - LEN(SUBSTITUTE(tblPassengerNames[[#This Row],[InParenthesesCleaned]], " ", ""))</f>
        <v>#VALUE!</v>
      </c>
      <c r="N310" t="e">
        <f>FIND("@", SUBSTITUTE(tblPassengerNames[[#This Row],[InParenthesesCleaned]], " ", "@", tblPassengerNames[[#This Row],[P_NSpaces]]))</f>
        <v>#VALUE!</v>
      </c>
      <c r="O310" t="e">
        <f>IF(tblPassengerNames[[#This Row],[P_NSpaces]] = 0,
    tblPassengerNames[[#This Row],[InParenthesesCleaned]],
    LEFT(tblPassengerNames[[#This Row],[InParenthesesCleaned]], tblPassengerNames[[#This Row],[P_FinalSpacePos]] - 1)
)</f>
        <v>#VALUE!</v>
      </c>
      <c r="P310" t="str">
        <f>IFERROR(tblPassengerNames[[#This Row],[P_Forenames]], tblPassengerNames[[#This Row],[ConvForenames]])</f>
        <v>Richard Frasar</v>
      </c>
      <c r="Q310" t="str">
        <f>MID(tblPassengerNames[[#This Row],[Name]], tblPassengerNames[[#This Row],[CommaPos]] + 2, tblPassengerNames[[#This Row],[DotPos]] - tblPassengerNames[[#This Row],[CommaPos]] - 1)</f>
        <v>Mr.</v>
      </c>
      <c r="R310" t="str">
        <f>LEFT(tblPassengerNames[[#This Row],[Name]], tblPassengerNames[[#This Row],[CommaPos]] - 1)</f>
        <v>White</v>
      </c>
    </row>
    <row r="311" spans="2:18" x14ac:dyDescent="0.25">
      <c r="B311" s="21">
        <v>309</v>
      </c>
      <c r="C311" s="21" t="s">
        <v>445</v>
      </c>
      <c r="D311" s="21" t="s">
        <v>136</v>
      </c>
      <c r="E311">
        <f>FIND(",", tblPassengerNames[[#This Row],[Name]])</f>
        <v>6</v>
      </c>
      <c r="F311">
        <f>FIND(".", tblPassengerNames[[#This Row],[Name]])</f>
        <v>11</v>
      </c>
      <c r="G311">
        <f>FIND("(", tblPassengerNames[[#This Row],[Name]])</f>
        <v>25</v>
      </c>
      <c r="H311">
        <f>FIND(")", tblPassengerNames[[#This Row],[Name]])</f>
        <v>37</v>
      </c>
      <c r="I311">
        <f>IFERROR(tblPassengerNames[[#This Row],[OpenParPos]] - 2, LEN(tblPassengerNames[[#This Row],[Name]]))</f>
        <v>23</v>
      </c>
      <c r="J311" t="str">
        <f>MID(tblPassengerNames[[#This Row],[Name]], tblPassengerNames[[#This Row],[DotPos]] + 2, tblPassengerNames[[#This Row],[EndOfConvFNPos]] - tblPassengerNames[[#This Row],[DotPos]] - 1)</f>
        <v>John Stuart</v>
      </c>
      <c r="K311" t="str">
        <f>MID(tblPassengerNames[[#This Row],[Name]], tblPassengerNames[[#This Row],[OpenParPos]] + 1, tblPassengerNames[[#This Row],[CloseParPos]] - tblPassengerNames[[#This Row],[OpenParPos]] - 1)</f>
        <v>Ella Holmes</v>
      </c>
      <c r="L311" t="str">
        <f>IF(AND(LEFT(tblPassengerNames[[#This Row],[InParentheses]], 1) = "'", RIGHT(tblPassengerNames[[#This Row],[InParentheses]], 1) = "'"),
    #VALUE!,
    tblPassengerNames[[#This Row],[InParentheses]]
)</f>
        <v>Ella Holmes</v>
      </c>
      <c r="M311">
        <f>LEN(tblPassengerNames[[#This Row],[InParenthesesCleaned]]) - LEN(SUBSTITUTE(tblPassengerNames[[#This Row],[InParenthesesCleaned]], " ", ""))</f>
        <v>1</v>
      </c>
      <c r="N311">
        <f>FIND("@", SUBSTITUTE(tblPassengerNames[[#This Row],[InParenthesesCleaned]], " ", "@", tblPassengerNames[[#This Row],[P_NSpaces]]))</f>
        <v>5</v>
      </c>
      <c r="O311" t="str">
        <f>IF(tblPassengerNames[[#This Row],[P_NSpaces]] = 0,
    tblPassengerNames[[#This Row],[InParenthesesCleaned]],
    LEFT(tblPassengerNames[[#This Row],[InParenthesesCleaned]], tblPassengerNames[[#This Row],[P_FinalSpacePos]] - 1)
)</f>
        <v>Ella</v>
      </c>
      <c r="P311" t="str">
        <f>IFERROR(tblPassengerNames[[#This Row],[P_Forenames]], tblPassengerNames[[#This Row],[ConvForenames]])</f>
        <v>Ella</v>
      </c>
      <c r="Q311" t="str">
        <f>MID(tblPassengerNames[[#This Row],[Name]], tblPassengerNames[[#This Row],[CommaPos]] + 2, tblPassengerNames[[#This Row],[DotPos]] - tblPassengerNames[[#This Row],[CommaPos]] - 1)</f>
        <v>Mrs.</v>
      </c>
      <c r="R311" t="str">
        <f>LEFT(tblPassengerNames[[#This Row],[Name]], tblPassengerNames[[#This Row],[CommaPos]] - 1)</f>
        <v>White</v>
      </c>
    </row>
    <row r="312" spans="2:18" x14ac:dyDescent="0.25">
      <c r="B312" s="21">
        <v>310</v>
      </c>
      <c r="C312" s="21" t="s">
        <v>446</v>
      </c>
      <c r="D312" s="21" t="s">
        <v>136</v>
      </c>
      <c r="E312">
        <f>FIND(",", tblPassengerNames[[#This Row],[Name]])</f>
        <v>5</v>
      </c>
      <c r="F312">
        <f>FIND(".", tblPassengerNames[[#This Row],[Name]])</f>
        <v>11</v>
      </c>
      <c r="G312" t="e">
        <f>FIND("(", tblPassengerNames[[#This Row],[Name]])</f>
        <v>#VALUE!</v>
      </c>
      <c r="H312" t="e">
        <f>FIND(")", tblPassengerNames[[#This Row],[Name]])</f>
        <v>#VALUE!</v>
      </c>
      <c r="I312">
        <f>IFERROR(tblPassengerNames[[#This Row],[OpenParPos]] - 2, LEN(tblPassengerNames[[#This Row],[Name]]))</f>
        <v>24</v>
      </c>
      <c r="J312" t="str">
        <f>MID(tblPassengerNames[[#This Row],[Name]], tblPassengerNames[[#This Row],[DotPos]] + 2, tblPassengerNames[[#This Row],[EndOfConvFNPos]] - tblPassengerNames[[#This Row],[DotPos]] - 1)</f>
        <v>Mary Natalie</v>
      </c>
      <c r="K312" t="e">
        <f>MID(tblPassengerNames[[#This Row],[Name]], tblPassengerNames[[#This Row],[OpenParPos]] + 1, tblPassengerNames[[#This Row],[CloseParPos]] - tblPassengerNames[[#This Row],[OpenParPos]] - 1)</f>
        <v>#VALUE!</v>
      </c>
      <c r="L312" t="e">
        <f>IF(AND(LEFT(tblPassengerNames[[#This Row],[InParentheses]], 1) = "'", RIGHT(tblPassengerNames[[#This Row],[InParentheses]], 1) = "'"),
    #VALUE!,
    tblPassengerNames[[#This Row],[InParentheses]]
)</f>
        <v>#VALUE!</v>
      </c>
      <c r="M312" t="e">
        <f>LEN(tblPassengerNames[[#This Row],[InParenthesesCleaned]]) - LEN(SUBSTITUTE(tblPassengerNames[[#This Row],[InParenthesesCleaned]], " ", ""))</f>
        <v>#VALUE!</v>
      </c>
      <c r="N312" t="e">
        <f>FIND("@", SUBSTITUTE(tblPassengerNames[[#This Row],[InParenthesesCleaned]], " ", "@", tblPassengerNames[[#This Row],[P_NSpaces]]))</f>
        <v>#VALUE!</v>
      </c>
      <c r="O312" t="e">
        <f>IF(tblPassengerNames[[#This Row],[P_NSpaces]] = 0,
    tblPassengerNames[[#This Row],[InParenthesesCleaned]],
    LEFT(tblPassengerNames[[#This Row],[InParenthesesCleaned]], tblPassengerNames[[#This Row],[P_FinalSpacePos]] - 1)
)</f>
        <v>#VALUE!</v>
      </c>
      <c r="P312" t="str">
        <f>IFERROR(tblPassengerNames[[#This Row],[P_Forenames]], tblPassengerNames[[#This Row],[ConvForenames]])</f>
        <v>Mary Natalie</v>
      </c>
      <c r="Q312" t="str">
        <f>MID(tblPassengerNames[[#This Row],[Name]], tblPassengerNames[[#This Row],[CommaPos]] + 2, tblPassengerNames[[#This Row],[DotPos]] - tblPassengerNames[[#This Row],[CommaPos]] - 1)</f>
        <v>Miss.</v>
      </c>
      <c r="R312" t="str">
        <f>LEFT(tblPassengerNames[[#This Row],[Name]], tblPassengerNames[[#This Row],[CommaPos]] - 1)</f>
        <v>Wick</v>
      </c>
    </row>
    <row r="313" spans="2:18" x14ac:dyDescent="0.25">
      <c r="B313" s="21">
        <v>311</v>
      </c>
      <c r="C313" s="21" t="s">
        <v>447</v>
      </c>
      <c r="D313" s="21" t="s">
        <v>138</v>
      </c>
      <c r="E313">
        <f>FIND(",", tblPassengerNames[[#This Row],[Name]])</f>
        <v>5</v>
      </c>
      <c r="F313">
        <f>FIND(".", tblPassengerNames[[#This Row],[Name]])</f>
        <v>9</v>
      </c>
      <c r="G313" t="e">
        <f>FIND("(", tblPassengerNames[[#This Row],[Name]])</f>
        <v>#VALUE!</v>
      </c>
      <c r="H313" t="e">
        <f>FIND(")", tblPassengerNames[[#This Row],[Name]])</f>
        <v>#VALUE!</v>
      </c>
      <c r="I313">
        <f>IFERROR(tblPassengerNames[[#This Row],[OpenParPos]] - 2, LEN(tblPassengerNames[[#This Row],[Name]]))</f>
        <v>24</v>
      </c>
      <c r="J313" t="str">
        <f>MID(tblPassengerNames[[#This Row],[Name]], tblPassengerNames[[#This Row],[DotPos]] + 2, tblPassengerNames[[#This Row],[EndOfConvFNPos]] - tblPassengerNames[[#This Row],[DotPos]] - 1)</f>
        <v>George Dennick</v>
      </c>
      <c r="K313" t="e">
        <f>MID(tblPassengerNames[[#This Row],[Name]], tblPassengerNames[[#This Row],[OpenParPos]] + 1, tblPassengerNames[[#This Row],[CloseParPos]] - tblPassengerNames[[#This Row],[OpenParPos]] - 1)</f>
        <v>#VALUE!</v>
      </c>
      <c r="L313" t="e">
        <f>IF(AND(LEFT(tblPassengerNames[[#This Row],[InParentheses]], 1) = "'", RIGHT(tblPassengerNames[[#This Row],[InParentheses]], 1) = "'"),
    #VALUE!,
    tblPassengerNames[[#This Row],[InParentheses]]
)</f>
        <v>#VALUE!</v>
      </c>
      <c r="M313" t="e">
        <f>LEN(tblPassengerNames[[#This Row],[InParenthesesCleaned]]) - LEN(SUBSTITUTE(tblPassengerNames[[#This Row],[InParenthesesCleaned]], " ", ""))</f>
        <v>#VALUE!</v>
      </c>
      <c r="N313" t="e">
        <f>FIND("@", SUBSTITUTE(tblPassengerNames[[#This Row],[InParenthesesCleaned]], " ", "@", tblPassengerNames[[#This Row],[P_NSpaces]]))</f>
        <v>#VALUE!</v>
      </c>
      <c r="O313" t="e">
        <f>IF(tblPassengerNames[[#This Row],[P_NSpaces]] = 0,
    tblPassengerNames[[#This Row],[InParenthesesCleaned]],
    LEFT(tblPassengerNames[[#This Row],[InParenthesesCleaned]], tblPassengerNames[[#This Row],[P_FinalSpacePos]] - 1)
)</f>
        <v>#VALUE!</v>
      </c>
      <c r="P313" t="str">
        <f>IFERROR(tblPassengerNames[[#This Row],[P_Forenames]], tblPassengerNames[[#This Row],[ConvForenames]])</f>
        <v>George Dennick</v>
      </c>
      <c r="Q313" t="str">
        <f>MID(tblPassengerNames[[#This Row],[Name]], tblPassengerNames[[#This Row],[CommaPos]] + 2, tblPassengerNames[[#This Row],[DotPos]] - tblPassengerNames[[#This Row],[CommaPos]] - 1)</f>
        <v>Mr.</v>
      </c>
      <c r="R313" t="str">
        <f>LEFT(tblPassengerNames[[#This Row],[Name]], tblPassengerNames[[#This Row],[CommaPos]] - 1)</f>
        <v>Wick</v>
      </c>
    </row>
    <row r="314" spans="2:18" x14ac:dyDescent="0.25">
      <c r="B314" s="21">
        <v>312</v>
      </c>
      <c r="C314" s="21" t="s">
        <v>448</v>
      </c>
      <c r="D314" s="21" t="s">
        <v>136</v>
      </c>
      <c r="E314">
        <f>FIND(",", tblPassengerNames[[#This Row],[Name]])</f>
        <v>5</v>
      </c>
      <c r="F314">
        <f>FIND(".", tblPassengerNames[[#This Row],[Name]])</f>
        <v>10</v>
      </c>
      <c r="G314">
        <f>FIND("(", tblPassengerNames[[#This Row],[Name]])</f>
        <v>27</v>
      </c>
      <c r="H314">
        <f>FIND(")", tblPassengerNames[[#This Row],[Name]])</f>
        <v>42</v>
      </c>
      <c r="I314">
        <f>IFERROR(tblPassengerNames[[#This Row],[OpenParPos]] - 2, LEN(tblPassengerNames[[#This Row],[Name]]))</f>
        <v>25</v>
      </c>
      <c r="J314" t="str">
        <f>MID(tblPassengerNames[[#This Row],[Name]], tblPassengerNames[[#This Row],[DotPos]] + 2, tblPassengerNames[[#This Row],[EndOfConvFNPos]] - tblPassengerNames[[#This Row],[DotPos]] - 1)</f>
        <v>George Dennick</v>
      </c>
      <c r="K314" t="str">
        <f>MID(tblPassengerNames[[#This Row],[Name]], tblPassengerNames[[#This Row],[OpenParPos]] + 1, tblPassengerNames[[#This Row],[CloseParPos]] - tblPassengerNames[[#This Row],[OpenParPos]] - 1)</f>
        <v>Mary Hitchcock</v>
      </c>
      <c r="L314" t="str">
        <f>IF(AND(LEFT(tblPassengerNames[[#This Row],[InParentheses]], 1) = "'", RIGHT(tblPassengerNames[[#This Row],[InParentheses]], 1) = "'"),
    #VALUE!,
    tblPassengerNames[[#This Row],[InParentheses]]
)</f>
        <v>Mary Hitchcock</v>
      </c>
      <c r="M314">
        <f>LEN(tblPassengerNames[[#This Row],[InParenthesesCleaned]]) - LEN(SUBSTITUTE(tblPassengerNames[[#This Row],[InParenthesesCleaned]], " ", ""))</f>
        <v>1</v>
      </c>
      <c r="N314">
        <f>FIND("@", SUBSTITUTE(tblPassengerNames[[#This Row],[InParenthesesCleaned]], " ", "@", tblPassengerNames[[#This Row],[P_NSpaces]]))</f>
        <v>5</v>
      </c>
      <c r="O314" t="str">
        <f>IF(tblPassengerNames[[#This Row],[P_NSpaces]] = 0,
    tblPassengerNames[[#This Row],[InParenthesesCleaned]],
    LEFT(tblPassengerNames[[#This Row],[InParenthesesCleaned]], tblPassengerNames[[#This Row],[P_FinalSpacePos]] - 1)
)</f>
        <v>Mary</v>
      </c>
      <c r="P314" t="str">
        <f>IFERROR(tblPassengerNames[[#This Row],[P_Forenames]], tblPassengerNames[[#This Row],[ConvForenames]])</f>
        <v>Mary</v>
      </c>
      <c r="Q314" t="str">
        <f>MID(tblPassengerNames[[#This Row],[Name]], tblPassengerNames[[#This Row],[CommaPos]] + 2, tblPassengerNames[[#This Row],[DotPos]] - tblPassengerNames[[#This Row],[CommaPos]] - 1)</f>
        <v>Mrs.</v>
      </c>
      <c r="R314" t="str">
        <f>LEFT(tblPassengerNames[[#This Row],[Name]], tblPassengerNames[[#This Row],[CommaPos]] - 1)</f>
        <v>Wick</v>
      </c>
    </row>
    <row r="315" spans="2:18" x14ac:dyDescent="0.25">
      <c r="B315" s="21">
        <v>313</v>
      </c>
      <c r="C315" s="21" t="s">
        <v>449</v>
      </c>
      <c r="D315" s="21" t="s">
        <v>138</v>
      </c>
      <c r="E315">
        <f>FIND(",", tblPassengerNames[[#This Row],[Name]])</f>
        <v>8</v>
      </c>
      <c r="F315">
        <f>FIND(".", tblPassengerNames[[#This Row],[Name]])</f>
        <v>12</v>
      </c>
      <c r="G315" t="e">
        <f>FIND("(", tblPassengerNames[[#This Row],[Name]])</f>
        <v>#VALUE!</v>
      </c>
      <c r="H315" t="e">
        <f>FIND(")", tblPassengerNames[[#This Row],[Name]])</f>
        <v>#VALUE!</v>
      </c>
      <c r="I315">
        <f>IFERROR(tblPassengerNames[[#This Row],[OpenParPos]] - 2, LEN(tblPassengerNames[[#This Row],[Name]]))</f>
        <v>26</v>
      </c>
      <c r="J315" t="str">
        <f>MID(tblPassengerNames[[#This Row],[Name]], tblPassengerNames[[#This Row],[DotPos]] + 2, tblPassengerNames[[#This Row],[EndOfConvFNPos]] - tblPassengerNames[[#This Row],[DotPos]] - 1)</f>
        <v>George Dunton</v>
      </c>
      <c r="K315" t="e">
        <f>MID(tblPassengerNames[[#This Row],[Name]], tblPassengerNames[[#This Row],[OpenParPos]] + 1, tblPassengerNames[[#This Row],[CloseParPos]] - tblPassengerNames[[#This Row],[OpenParPos]] - 1)</f>
        <v>#VALUE!</v>
      </c>
      <c r="L315" t="e">
        <f>IF(AND(LEFT(tblPassengerNames[[#This Row],[InParentheses]], 1) = "'", RIGHT(tblPassengerNames[[#This Row],[InParentheses]], 1) = "'"),
    #VALUE!,
    tblPassengerNames[[#This Row],[InParentheses]]
)</f>
        <v>#VALUE!</v>
      </c>
      <c r="M315" t="e">
        <f>LEN(tblPassengerNames[[#This Row],[InParenthesesCleaned]]) - LEN(SUBSTITUTE(tblPassengerNames[[#This Row],[InParenthesesCleaned]], " ", ""))</f>
        <v>#VALUE!</v>
      </c>
      <c r="N315" t="e">
        <f>FIND("@", SUBSTITUTE(tblPassengerNames[[#This Row],[InParenthesesCleaned]], " ", "@", tblPassengerNames[[#This Row],[P_NSpaces]]))</f>
        <v>#VALUE!</v>
      </c>
      <c r="O315" t="e">
        <f>IF(tblPassengerNames[[#This Row],[P_NSpaces]] = 0,
    tblPassengerNames[[#This Row],[InParenthesesCleaned]],
    LEFT(tblPassengerNames[[#This Row],[InParenthesesCleaned]], tblPassengerNames[[#This Row],[P_FinalSpacePos]] - 1)
)</f>
        <v>#VALUE!</v>
      </c>
      <c r="P315" t="str">
        <f>IFERROR(tblPassengerNames[[#This Row],[P_Forenames]], tblPassengerNames[[#This Row],[ConvForenames]])</f>
        <v>George Dunton</v>
      </c>
      <c r="Q315" t="str">
        <f>MID(tblPassengerNames[[#This Row],[Name]], tblPassengerNames[[#This Row],[CommaPos]] + 2, tblPassengerNames[[#This Row],[DotPos]] - tblPassengerNames[[#This Row],[CommaPos]] - 1)</f>
        <v>Mr.</v>
      </c>
      <c r="R315" t="str">
        <f>LEFT(tblPassengerNames[[#This Row],[Name]], tblPassengerNames[[#This Row],[CommaPos]] - 1)</f>
        <v>Widener</v>
      </c>
    </row>
    <row r="316" spans="2:18" x14ac:dyDescent="0.25">
      <c r="B316" s="21">
        <v>314</v>
      </c>
      <c r="C316" s="21" t="s">
        <v>450</v>
      </c>
      <c r="D316" s="21" t="s">
        <v>138</v>
      </c>
      <c r="E316">
        <f>FIND(",", tblPassengerNames[[#This Row],[Name]])</f>
        <v>8</v>
      </c>
      <c r="F316">
        <f>FIND(".", tblPassengerNames[[#This Row],[Name]])</f>
        <v>12</v>
      </c>
      <c r="G316" t="e">
        <f>FIND("(", tblPassengerNames[[#This Row],[Name]])</f>
        <v>#VALUE!</v>
      </c>
      <c r="H316" t="e">
        <f>FIND(")", tblPassengerNames[[#This Row],[Name]])</f>
        <v>#VALUE!</v>
      </c>
      <c r="I316">
        <f>IFERROR(tblPassengerNames[[#This Row],[OpenParPos]] - 2, LEN(tblPassengerNames[[#This Row],[Name]]))</f>
        <v>25</v>
      </c>
      <c r="J316" t="str">
        <f>MID(tblPassengerNames[[#This Row],[Name]], tblPassengerNames[[#This Row],[DotPos]] + 2, tblPassengerNames[[#This Row],[EndOfConvFNPos]] - tblPassengerNames[[#This Row],[DotPos]] - 1)</f>
        <v>Harry Elkins</v>
      </c>
      <c r="K316" t="e">
        <f>MID(tblPassengerNames[[#This Row],[Name]], tblPassengerNames[[#This Row],[OpenParPos]] + 1, tblPassengerNames[[#This Row],[CloseParPos]] - tblPassengerNames[[#This Row],[OpenParPos]] - 1)</f>
        <v>#VALUE!</v>
      </c>
      <c r="L316" t="e">
        <f>IF(AND(LEFT(tblPassengerNames[[#This Row],[InParentheses]], 1) = "'", RIGHT(tblPassengerNames[[#This Row],[InParentheses]], 1) = "'"),
    #VALUE!,
    tblPassengerNames[[#This Row],[InParentheses]]
)</f>
        <v>#VALUE!</v>
      </c>
      <c r="M316" t="e">
        <f>LEN(tblPassengerNames[[#This Row],[InParenthesesCleaned]]) - LEN(SUBSTITUTE(tblPassengerNames[[#This Row],[InParenthesesCleaned]], " ", ""))</f>
        <v>#VALUE!</v>
      </c>
      <c r="N316" t="e">
        <f>FIND("@", SUBSTITUTE(tblPassengerNames[[#This Row],[InParenthesesCleaned]], " ", "@", tblPassengerNames[[#This Row],[P_NSpaces]]))</f>
        <v>#VALUE!</v>
      </c>
      <c r="O316" t="e">
        <f>IF(tblPassengerNames[[#This Row],[P_NSpaces]] = 0,
    tblPassengerNames[[#This Row],[InParenthesesCleaned]],
    LEFT(tblPassengerNames[[#This Row],[InParenthesesCleaned]], tblPassengerNames[[#This Row],[P_FinalSpacePos]] - 1)
)</f>
        <v>#VALUE!</v>
      </c>
      <c r="P316" t="str">
        <f>IFERROR(tblPassengerNames[[#This Row],[P_Forenames]], tblPassengerNames[[#This Row],[ConvForenames]])</f>
        <v>Harry Elkins</v>
      </c>
      <c r="Q316" t="str">
        <f>MID(tblPassengerNames[[#This Row],[Name]], tblPassengerNames[[#This Row],[CommaPos]] + 2, tblPassengerNames[[#This Row],[DotPos]] - tblPassengerNames[[#This Row],[CommaPos]] - 1)</f>
        <v>Mr.</v>
      </c>
      <c r="R316" t="str">
        <f>LEFT(tblPassengerNames[[#This Row],[Name]], tblPassengerNames[[#This Row],[CommaPos]] - 1)</f>
        <v>Widener</v>
      </c>
    </row>
    <row r="317" spans="2:18" x14ac:dyDescent="0.25">
      <c r="B317" s="21">
        <v>315</v>
      </c>
      <c r="C317" s="21" t="s">
        <v>451</v>
      </c>
      <c r="D317" s="21" t="s">
        <v>136</v>
      </c>
      <c r="E317">
        <f>FIND(",", tblPassengerNames[[#This Row],[Name]])</f>
        <v>8</v>
      </c>
      <c r="F317">
        <f>FIND(".", tblPassengerNames[[#This Row],[Name]])</f>
        <v>13</v>
      </c>
      <c r="G317">
        <f>FIND("(", tblPassengerNames[[#This Row],[Name]])</f>
        <v>29</v>
      </c>
      <c r="H317">
        <f>FIND(")", tblPassengerNames[[#This Row],[Name]])</f>
        <v>44</v>
      </c>
      <c r="I317">
        <f>IFERROR(tblPassengerNames[[#This Row],[OpenParPos]] - 2, LEN(tblPassengerNames[[#This Row],[Name]]))</f>
        <v>27</v>
      </c>
      <c r="J317" t="str">
        <f>MID(tblPassengerNames[[#This Row],[Name]], tblPassengerNames[[#This Row],[DotPos]] + 2, tblPassengerNames[[#This Row],[EndOfConvFNPos]] - tblPassengerNames[[#This Row],[DotPos]] - 1)</f>
        <v>George Dunton</v>
      </c>
      <c r="K317" t="str">
        <f>MID(tblPassengerNames[[#This Row],[Name]], tblPassengerNames[[#This Row],[OpenParPos]] + 1, tblPassengerNames[[#This Row],[CloseParPos]] - tblPassengerNames[[#This Row],[OpenParPos]] - 1)</f>
        <v>Eleanor Elkins</v>
      </c>
      <c r="L317" t="str">
        <f>IF(AND(LEFT(tblPassengerNames[[#This Row],[InParentheses]], 1) = "'", RIGHT(tblPassengerNames[[#This Row],[InParentheses]], 1) = "'"),
    #VALUE!,
    tblPassengerNames[[#This Row],[InParentheses]]
)</f>
        <v>Eleanor Elkins</v>
      </c>
      <c r="M317">
        <f>LEN(tblPassengerNames[[#This Row],[InParenthesesCleaned]]) - LEN(SUBSTITUTE(tblPassengerNames[[#This Row],[InParenthesesCleaned]], " ", ""))</f>
        <v>1</v>
      </c>
      <c r="N317">
        <f>FIND("@", SUBSTITUTE(tblPassengerNames[[#This Row],[InParenthesesCleaned]], " ", "@", tblPassengerNames[[#This Row],[P_NSpaces]]))</f>
        <v>8</v>
      </c>
      <c r="O317" t="str">
        <f>IF(tblPassengerNames[[#This Row],[P_NSpaces]] = 0,
    tblPassengerNames[[#This Row],[InParenthesesCleaned]],
    LEFT(tblPassengerNames[[#This Row],[InParenthesesCleaned]], tblPassengerNames[[#This Row],[P_FinalSpacePos]] - 1)
)</f>
        <v>Eleanor</v>
      </c>
      <c r="P317" t="str">
        <f>IFERROR(tblPassengerNames[[#This Row],[P_Forenames]], tblPassengerNames[[#This Row],[ConvForenames]])</f>
        <v>Eleanor</v>
      </c>
      <c r="Q317" t="str">
        <f>MID(tblPassengerNames[[#This Row],[Name]], tblPassengerNames[[#This Row],[CommaPos]] + 2, tblPassengerNames[[#This Row],[DotPos]] - tblPassengerNames[[#This Row],[CommaPos]] - 1)</f>
        <v>Mrs.</v>
      </c>
      <c r="R317" t="str">
        <f>LEFT(tblPassengerNames[[#This Row],[Name]], tblPassengerNames[[#This Row],[CommaPos]] - 1)</f>
        <v>Widener</v>
      </c>
    </row>
    <row r="318" spans="2:18" x14ac:dyDescent="0.25">
      <c r="B318" s="21">
        <v>316</v>
      </c>
      <c r="C318" s="21" t="s">
        <v>452</v>
      </c>
      <c r="D318" s="21" t="s">
        <v>136</v>
      </c>
      <c r="E318">
        <f>FIND(",", tblPassengerNames[[#This Row],[Name]])</f>
        <v>8</v>
      </c>
      <c r="F318">
        <f>FIND(".", tblPassengerNames[[#This Row],[Name]])</f>
        <v>14</v>
      </c>
      <c r="G318" t="e">
        <f>FIND("(", tblPassengerNames[[#This Row],[Name]])</f>
        <v>#VALUE!</v>
      </c>
      <c r="H318" t="e">
        <f>FIND(")", tblPassengerNames[[#This Row],[Name]])</f>
        <v>#VALUE!</v>
      </c>
      <c r="I318">
        <f>IFERROR(tblPassengerNames[[#This Row],[OpenParPos]] - 2, LEN(tblPassengerNames[[#This Row],[Name]]))</f>
        <v>24</v>
      </c>
      <c r="J318" t="str">
        <f>MID(tblPassengerNames[[#This Row],[Name]], tblPassengerNames[[#This Row],[DotPos]] + 2, tblPassengerNames[[#This Row],[EndOfConvFNPos]] - tblPassengerNames[[#This Row],[DotPos]] - 1)</f>
        <v>Constance</v>
      </c>
      <c r="K318" t="e">
        <f>MID(tblPassengerNames[[#This Row],[Name]], tblPassengerNames[[#This Row],[OpenParPos]] + 1, tblPassengerNames[[#This Row],[CloseParPos]] - tblPassengerNames[[#This Row],[OpenParPos]] - 1)</f>
        <v>#VALUE!</v>
      </c>
      <c r="L318" t="e">
        <f>IF(AND(LEFT(tblPassengerNames[[#This Row],[InParentheses]], 1) = "'", RIGHT(tblPassengerNames[[#This Row],[InParentheses]], 1) = "'"),
    #VALUE!,
    tblPassengerNames[[#This Row],[InParentheses]]
)</f>
        <v>#VALUE!</v>
      </c>
      <c r="M318" t="e">
        <f>LEN(tblPassengerNames[[#This Row],[InParenthesesCleaned]]) - LEN(SUBSTITUTE(tblPassengerNames[[#This Row],[InParenthesesCleaned]], " ", ""))</f>
        <v>#VALUE!</v>
      </c>
      <c r="N318" t="e">
        <f>FIND("@", SUBSTITUTE(tblPassengerNames[[#This Row],[InParenthesesCleaned]], " ", "@", tblPassengerNames[[#This Row],[P_NSpaces]]))</f>
        <v>#VALUE!</v>
      </c>
      <c r="O318" t="e">
        <f>IF(tblPassengerNames[[#This Row],[P_NSpaces]] = 0,
    tblPassengerNames[[#This Row],[InParenthesesCleaned]],
    LEFT(tblPassengerNames[[#This Row],[InParenthesesCleaned]], tblPassengerNames[[#This Row],[P_FinalSpacePos]] - 1)
)</f>
        <v>#VALUE!</v>
      </c>
      <c r="P318" t="str">
        <f>IFERROR(tblPassengerNames[[#This Row],[P_Forenames]], tblPassengerNames[[#This Row],[ConvForenames]])</f>
        <v>Constance</v>
      </c>
      <c r="Q318" t="str">
        <f>MID(tblPassengerNames[[#This Row],[Name]], tblPassengerNames[[#This Row],[CommaPos]] + 2, tblPassengerNames[[#This Row],[DotPos]] - tblPassengerNames[[#This Row],[CommaPos]] - 1)</f>
        <v>Miss.</v>
      </c>
      <c r="R318" t="str">
        <f>LEFT(tblPassengerNames[[#This Row],[Name]], tblPassengerNames[[#This Row],[CommaPos]] - 1)</f>
        <v>Willard</v>
      </c>
    </row>
    <row r="319" spans="2:18" x14ac:dyDescent="0.25">
      <c r="B319" s="21">
        <v>317</v>
      </c>
      <c r="C319" s="21" t="s">
        <v>453</v>
      </c>
      <c r="D319" s="21" t="s">
        <v>138</v>
      </c>
      <c r="E319">
        <f>FIND(",", tblPassengerNames[[#This Row],[Name]])</f>
        <v>9</v>
      </c>
      <c r="F319">
        <f>FIND(".", tblPassengerNames[[#This Row],[Name]])</f>
        <v>13</v>
      </c>
      <c r="G319" t="e">
        <f>FIND("(", tblPassengerNames[[#This Row],[Name]])</f>
        <v>#VALUE!</v>
      </c>
      <c r="H319" t="e">
        <f>FIND(")", tblPassengerNames[[#This Row],[Name]])</f>
        <v>#VALUE!</v>
      </c>
      <c r="I319">
        <f>IFERROR(tblPassengerNames[[#This Row],[OpenParPos]] - 2, LEN(tblPassengerNames[[#This Row],[Name]]))</f>
        <v>27</v>
      </c>
      <c r="J319" t="str">
        <f>MID(tblPassengerNames[[#This Row],[Name]], tblPassengerNames[[#This Row],[DotPos]] + 2, tblPassengerNames[[#This Row],[EndOfConvFNPos]] - tblPassengerNames[[#This Row],[DotPos]] - 1)</f>
        <v>Charles Duane</v>
      </c>
      <c r="K319" t="e">
        <f>MID(tblPassengerNames[[#This Row],[Name]], tblPassengerNames[[#This Row],[OpenParPos]] + 1, tblPassengerNames[[#This Row],[CloseParPos]] - tblPassengerNames[[#This Row],[OpenParPos]] - 1)</f>
        <v>#VALUE!</v>
      </c>
      <c r="L319" t="e">
        <f>IF(AND(LEFT(tblPassengerNames[[#This Row],[InParentheses]], 1) = "'", RIGHT(tblPassengerNames[[#This Row],[InParentheses]], 1) = "'"),
    #VALUE!,
    tblPassengerNames[[#This Row],[InParentheses]]
)</f>
        <v>#VALUE!</v>
      </c>
      <c r="M319" t="e">
        <f>LEN(tblPassengerNames[[#This Row],[InParenthesesCleaned]]) - LEN(SUBSTITUTE(tblPassengerNames[[#This Row],[InParenthesesCleaned]], " ", ""))</f>
        <v>#VALUE!</v>
      </c>
      <c r="N319" t="e">
        <f>FIND("@", SUBSTITUTE(tblPassengerNames[[#This Row],[InParenthesesCleaned]], " ", "@", tblPassengerNames[[#This Row],[P_NSpaces]]))</f>
        <v>#VALUE!</v>
      </c>
      <c r="O319" t="e">
        <f>IF(tblPassengerNames[[#This Row],[P_NSpaces]] = 0,
    tblPassengerNames[[#This Row],[InParenthesesCleaned]],
    LEFT(tblPassengerNames[[#This Row],[InParenthesesCleaned]], tblPassengerNames[[#This Row],[P_FinalSpacePos]] - 1)
)</f>
        <v>#VALUE!</v>
      </c>
      <c r="P319" t="str">
        <f>IFERROR(tblPassengerNames[[#This Row],[P_Forenames]], tblPassengerNames[[#This Row],[ConvForenames]])</f>
        <v>Charles Duane</v>
      </c>
      <c r="Q319" t="str">
        <f>MID(tblPassengerNames[[#This Row],[Name]], tblPassengerNames[[#This Row],[CommaPos]] + 2, tblPassengerNames[[#This Row],[DotPos]] - tblPassengerNames[[#This Row],[CommaPos]] - 1)</f>
        <v>Mr.</v>
      </c>
      <c r="R319" t="str">
        <f>LEFT(tblPassengerNames[[#This Row],[Name]], tblPassengerNames[[#This Row],[CommaPos]] - 1)</f>
        <v>Williams</v>
      </c>
    </row>
    <row r="320" spans="2:18" x14ac:dyDescent="0.25">
      <c r="B320" s="21">
        <v>318</v>
      </c>
      <c r="C320" s="21" t="s">
        <v>454</v>
      </c>
      <c r="D320" s="21" t="s">
        <v>138</v>
      </c>
      <c r="E320">
        <f>FIND(",", tblPassengerNames[[#This Row],[Name]])</f>
        <v>9</v>
      </c>
      <c r="F320">
        <f>FIND(".", tblPassengerNames[[#This Row],[Name]])</f>
        <v>13</v>
      </c>
      <c r="G320" t="e">
        <f>FIND("(", tblPassengerNames[[#This Row],[Name]])</f>
        <v>#VALUE!</v>
      </c>
      <c r="H320" t="e">
        <f>FIND(")", tblPassengerNames[[#This Row],[Name]])</f>
        <v>#VALUE!</v>
      </c>
      <c r="I320">
        <f>IFERROR(tblPassengerNames[[#This Row],[OpenParPos]] - 2, LEN(tblPassengerNames[[#This Row],[Name]]))</f>
        <v>31</v>
      </c>
      <c r="J320" t="str">
        <f>MID(tblPassengerNames[[#This Row],[Name]], tblPassengerNames[[#This Row],[DotPos]] + 2, tblPassengerNames[[#This Row],[EndOfConvFNPos]] - tblPassengerNames[[#This Row],[DotPos]] - 1)</f>
        <v>Richard Norris II</v>
      </c>
      <c r="K320" t="e">
        <f>MID(tblPassengerNames[[#This Row],[Name]], tblPassengerNames[[#This Row],[OpenParPos]] + 1, tblPassengerNames[[#This Row],[CloseParPos]] - tblPassengerNames[[#This Row],[OpenParPos]] - 1)</f>
        <v>#VALUE!</v>
      </c>
      <c r="L320" t="e">
        <f>IF(AND(LEFT(tblPassengerNames[[#This Row],[InParentheses]], 1) = "'", RIGHT(tblPassengerNames[[#This Row],[InParentheses]], 1) = "'"),
    #VALUE!,
    tblPassengerNames[[#This Row],[InParentheses]]
)</f>
        <v>#VALUE!</v>
      </c>
      <c r="M320" t="e">
        <f>LEN(tblPassengerNames[[#This Row],[InParenthesesCleaned]]) - LEN(SUBSTITUTE(tblPassengerNames[[#This Row],[InParenthesesCleaned]], " ", ""))</f>
        <v>#VALUE!</v>
      </c>
      <c r="N320" t="e">
        <f>FIND("@", SUBSTITUTE(tblPassengerNames[[#This Row],[InParenthesesCleaned]], " ", "@", tblPassengerNames[[#This Row],[P_NSpaces]]))</f>
        <v>#VALUE!</v>
      </c>
      <c r="O320" t="e">
        <f>IF(tblPassengerNames[[#This Row],[P_NSpaces]] = 0,
    tblPassengerNames[[#This Row],[InParenthesesCleaned]],
    LEFT(tblPassengerNames[[#This Row],[InParenthesesCleaned]], tblPassengerNames[[#This Row],[P_FinalSpacePos]] - 1)
)</f>
        <v>#VALUE!</v>
      </c>
      <c r="P320" t="str">
        <f>IFERROR(tblPassengerNames[[#This Row],[P_Forenames]], tblPassengerNames[[#This Row],[ConvForenames]])</f>
        <v>Richard Norris II</v>
      </c>
      <c r="Q320" t="str">
        <f>MID(tblPassengerNames[[#This Row],[Name]], tblPassengerNames[[#This Row],[CommaPos]] + 2, tblPassengerNames[[#This Row],[DotPos]] - tblPassengerNames[[#This Row],[CommaPos]] - 1)</f>
        <v>Mr.</v>
      </c>
      <c r="R320" t="str">
        <f>LEFT(tblPassengerNames[[#This Row],[Name]], tblPassengerNames[[#This Row],[CommaPos]] - 1)</f>
        <v>Williams</v>
      </c>
    </row>
    <row r="321" spans="2:18" x14ac:dyDescent="0.25">
      <c r="B321" s="21">
        <v>319</v>
      </c>
      <c r="C321" s="21" t="s">
        <v>455</v>
      </c>
      <c r="D321" s="21" t="s">
        <v>138</v>
      </c>
      <c r="E321">
        <f>FIND(",", tblPassengerNames[[#This Row],[Name]])</f>
        <v>17</v>
      </c>
      <c r="F321">
        <f>FIND(".", tblPassengerNames[[#This Row],[Name]])</f>
        <v>21</v>
      </c>
      <c r="G321" t="e">
        <f>FIND("(", tblPassengerNames[[#This Row],[Name]])</f>
        <v>#VALUE!</v>
      </c>
      <c r="H321" t="e">
        <f>FIND(")", tblPassengerNames[[#This Row],[Name]])</f>
        <v>#VALUE!</v>
      </c>
      <c r="I321">
        <f>IFERROR(tblPassengerNames[[#This Row],[OpenParPos]] - 2, LEN(tblPassengerNames[[#This Row],[Name]]))</f>
        <v>38</v>
      </c>
      <c r="J321" t="str">
        <f>MID(tblPassengerNames[[#This Row],[Name]], tblPassengerNames[[#This Row],[DotPos]] + 2, tblPassengerNames[[#This Row],[EndOfConvFNPos]] - tblPassengerNames[[#This Row],[DotPos]] - 1)</f>
        <v>Fletcher Fellows</v>
      </c>
      <c r="K321" t="e">
        <f>MID(tblPassengerNames[[#This Row],[Name]], tblPassengerNames[[#This Row],[OpenParPos]] + 1, tblPassengerNames[[#This Row],[CloseParPos]] - tblPassengerNames[[#This Row],[OpenParPos]] - 1)</f>
        <v>#VALUE!</v>
      </c>
      <c r="L321" t="e">
        <f>IF(AND(LEFT(tblPassengerNames[[#This Row],[InParentheses]], 1) = "'", RIGHT(tblPassengerNames[[#This Row],[InParentheses]], 1) = "'"),
    #VALUE!,
    tblPassengerNames[[#This Row],[InParentheses]]
)</f>
        <v>#VALUE!</v>
      </c>
      <c r="M321" t="e">
        <f>LEN(tblPassengerNames[[#This Row],[InParenthesesCleaned]]) - LEN(SUBSTITUTE(tblPassengerNames[[#This Row],[InParenthesesCleaned]], " ", ""))</f>
        <v>#VALUE!</v>
      </c>
      <c r="N321" t="e">
        <f>FIND("@", SUBSTITUTE(tblPassengerNames[[#This Row],[InParenthesesCleaned]], " ", "@", tblPassengerNames[[#This Row],[P_NSpaces]]))</f>
        <v>#VALUE!</v>
      </c>
      <c r="O321" t="e">
        <f>IF(tblPassengerNames[[#This Row],[P_NSpaces]] = 0,
    tblPassengerNames[[#This Row],[InParenthesesCleaned]],
    LEFT(tblPassengerNames[[#This Row],[InParenthesesCleaned]], tblPassengerNames[[#This Row],[P_FinalSpacePos]] - 1)
)</f>
        <v>#VALUE!</v>
      </c>
      <c r="P321" t="str">
        <f>IFERROR(tblPassengerNames[[#This Row],[P_Forenames]], tblPassengerNames[[#This Row],[ConvForenames]])</f>
        <v>Fletcher Fellows</v>
      </c>
      <c r="Q321" t="str">
        <f>MID(tblPassengerNames[[#This Row],[Name]], tblPassengerNames[[#This Row],[CommaPos]] + 2, tblPassengerNames[[#This Row],[DotPos]] - tblPassengerNames[[#This Row],[CommaPos]] - 1)</f>
        <v>Mr.</v>
      </c>
      <c r="R321" t="str">
        <f>LEFT(tblPassengerNames[[#This Row],[Name]], tblPassengerNames[[#This Row],[CommaPos]] - 1)</f>
        <v>Williams-Lambert</v>
      </c>
    </row>
    <row r="322" spans="2:18" x14ac:dyDescent="0.25">
      <c r="B322" s="21">
        <v>320</v>
      </c>
      <c r="C322" s="21" t="s">
        <v>456</v>
      </c>
      <c r="D322" s="21" t="s">
        <v>136</v>
      </c>
      <c r="E322">
        <f>FIND(",", tblPassengerNames[[#This Row],[Name]])</f>
        <v>7</v>
      </c>
      <c r="F322">
        <f>FIND(".", tblPassengerNames[[#This Row],[Name]])</f>
        <v>13</v>
      </c>
      <c r="G322" t="e">
        <f>FIND("(", tblPassengerNames[[#This Row],[Name]])</f>
        <v>#VALUE!</v>
      </c>
      <c r="H322" t="e">
        <f>FIND(")", tblPassengerNames[[#This Row],[Name]])</f>
        <v>#VALUE!</v>
      </c>
      <c r="I322">
        <f>IFERROR(tblPassengerNames[[#This Row],[OpenParPos]] - 2, LEN(tblPassengerNames[[#This Row],[Name]]))</f>
        <v>25</v>
      </c>
      <c r="J322" t="str">
        <f>MID(tblPassengerNames[[#This Row],[Name]], tblPassengerNames[[#This Row],[DotPos]] + 2, tblPassengerNames[[#This Row],[EndOfConvFNPos]] - tblPassengerNames[[#This Row],[DotPos]] - 1)</f>
        <v>Helen Alice</v>
      </c>
      <c r="K322" t="e">
        <f>MID(tblPassengerNames[[#This Row],[Name]], tblPassengerNames[[#This Row],[OpenParPos]] + 1, tblPassengerNames[[#This Row],[CloseParPos]] - tblPassengerNames[[#This Row],[OpenParPos]] - 1)</f>
        <v>#VALUE!</v>
      </c>
      <c r="L322" t="e">
        <f>IF(AND(LEFT(tblPassengerNames[[#This Row],[InParentheses]], 1) = "'", RIGHT(tblPassengerNames[[#This Row],[InParentheses]], 1) = "'"),
    #VALUE!,
    tblPassengerNames[[#This Row],[InParentheses]]
)</f>
        <v>#VALUE!</v>
      </c>
      <c r="M322" t="e">
        <f>LEN(tblPassengerNames[[#This Row],[InParenthesesCleaned]]) - LEN(SUBSTITUTE(tblPassengerNames[[#This Row],[InParenthesesCleaned]], " ", ""))</f>
        <v>#VALUE!</v>
      </c>
      <c r="N322" t="e">
        <f>FIND("@", SUBSTITUTE(tblPassengerNames[[#This Row],[InParenthesesCleaned]], " ", "@", tblPassengerNames[[#This Row],[P_NSpaces]]))</f>
        <v>#VALUE!</v>
      </c>
      <c r="O322" t="e">
        <f>IF(tblPassengerNames[[#This Row],[P_NSpaces]] = 0,
    tblPassengerNames[[#This Row],[InParenthesesCleaned]],
    LEFT(tblPassengerNames[[#This Row],[InParenthesesCleaned]], tblPassengerNames[[#This Row],[P_FinalSpacePos]] - 1)
)</f>
        <v>#VALUE!</v>
      </c>
      <c r="P322" t="str">
        <f>IFERROR(tblPassengerNames[[#This Row],[P_Forenames]], tblPassengerNames[[#This Row],[ConvForenames]])</f>
        <v>Helen Alice</v>
      </c>
      <c r="Q322" t="str">
        <f>MID(tblPassengerNames[[#This Row],[Name]], tblPassengerNames[[#This Row],[CommaPos]] + 2, tblPassengerNames[[#This Row],[DotPos]] - tblPassengerNames[[#This Row],[CommaPos]] - 1)</f>
        <v>Miss.</v>
      </c>
      <c r="R322" t="str">
        <f>LEFT(tblPassengerNames[[#This Row],[Name]], tblPassengerNames[[#This Row],[CommaPos]] - 1)</f>
        <v>Wilson</v>
      </c>
    </row>
    <row r="323" spans="2:18" x14ac:dyDescent="0.25">
      <c r="B323" s="21">
        <v>321</v>
      </c>
      <c r="C323" s="21" t="s">
        <v>457</v>
      </c>
      <c r="D323" s="21" t="s">
        <v>138</v>
      </c>
      <c r="E323">
        <f>FIND(",", tblPassengerNames[[#This Row],[Name]])</f>
        <v>8</v>
      </c>
      <c r="F323">
        <f>FIND(".", tblPassengerNames[[#This Row],[Name]])</f>
        <v>12</v>
      </c>
      <c r="G323" t="e">
        <f>FIND("(", tblPassengerNames[[#This Row],[Name]])</f>
        <v>#VALUE!</v>
      </c>
      <c r="H323" t="e">
        <f>FIND(")", tblPassengerNames[[#This Row],[Name]])</f>
        <v>#VALUE!</v>
      </c>
      <c r="I323">
        <f>IFERROR(tblPassengerNames[[#This Row],[OpenParPos]] - 2, LEN(tblPassengerNames[[#This Row],[Name]]))</f>
        <v>17</v>
      </c>
      <c r="J323" t="str">
        <f>MID(tblPassengerNames[[#This Row],[Name]], tblPassengerNames[[#This Row],[DotPos]] + 2, tblPassengerNames[[#This Row],[EndOfConvFNPos]] - tblPassengerNames[[#This Row],[DotPos]] - 1)</f>
        <v>Hugh</v>
      </c>
      <c r="K323" t="e">
        <f>MID(tblPassengerNames[[#This Row],[Name]], tblPassengerNames[[#This Row],[OpenParPos]] + 1, tblPassengerNames[[#This Row],[CloseParPos]] - tblPassengerNames[[#This Row],[OpenParPos]] - 1)</f>
        <v>#VALUE!</v>
      </c>
      <c r="L323" t="e">
        <f>IF(AND(LEFT(tblPassengerNames[[#This Row],[InParentheses]], 1) = "'", RIGHT(tblPassengerNames[[#This Row],[InParentheses]], 1) = "'"),
    #VALUE!,
    tblPassengerNames[[#This Row],[InParentheses]]
)</f>
        <v>#VALUE!</v>
      </c>
      <c r="M323" t="e">
        <f>LEN(tblPassengerNames[[#This Row],[InParenthesesCleaned]]) - LEN(SUBSTITUTE(tblPassengerNames[[#This Row],[InParenthesesCleaned]], " ", ""))</f>
        <v>#VALUE!</v>
      </c>
      <c r="N323" t="e">
        <f>FIND("@", SUBSTITUTE(tblPassengerNames[[#This Row],[InParenthesesCleaned]], " ", "@", tblPassengerNames[[#This Row],[P_NSpaces]]))</f>
        <v>#VALUE!</v>
      </c>
      <c r="O323" t="e">
        <f>IF(tblPassengerNames[[#This Row],[P_NSpaces]] = 0,
    tblPassengerNames[[#This Row],[InParenthesesCleaned]],
    LEFT(tblPassengerNames[[#This Row],[InParenthesesCleaned]], tblPassengerNames[[#This Row],[P_FinalSpacePos]] - 1)
)</f>
        <v>#VALUE!</v>
      </c>
      <c r="P323" t="str">
        <f>IFERROR(tblPassengerNames[[#This Row],[P_Forenames]], tblPassengerNames[[#This Row],[ConvForenames]])</f>
        <v>Hugh</v>
      </c>
      <c r="Q323" t="str">
        <f>MID(tblPassengerNames[[#This Row],[Name]], tblPassengerNames[[#This Row],[CommaPos]] + 2, tblPassengerNames[[#This Row],[DotPos]] - tblPassengerNames[[#This Row],[CommaPos]] - 1)</f>
        <v>Mr.</v>
      </c>
      <c r="R323" t="str">
        <f>LEFT(tblPassengerNames[[#This Row],[Name]], tblPassengerNames[[#This Row],[CommaPos]] - 1)</f>
        <v>Woolner</v>
      </c>
    </row>
    <row r="324" spans="2:18" x14ac:dyDescent="0.25">
      <c r="B324" s="21">
        <v>322</v>
      </c>
      <c r="C324" s="21" t="s">
        <v>458</v>
      </c>
      <c r="D324" s="21" t="s">
        <v>138</v>
      </c>
      <c r="E324">
        <f>FIND(",", tblPassengerNames[[#This Row],[Name]])</f>
        <v>7</v>
      </c>
      <c r="F324">
        <f>FIND(".", tblPassengerNames[[#This Row],[Name]])</f>
        <v>11</v>
      </c>
      <c r="G324" t="e">
        <f>FIND("(", tblPassengerNames[[#This Row],[Name]])</f>
        <v>#VALUE!</v>
      </c>
      <c r="H324" t="e">
        <f>FIND(")", tblPassengerNames[[#This Row],[Name]])</f>
        <v>#VALUE!</v>
      </c>
      <c r="I324">
        <f>IFERROR(tblPassengerNames[[#This Row],[OpenParPos]] - 2, LEN(tblPassengerNames[[#This Row],[Name]]))</f>
        <v>18</v>
      </c>
      <c r="J324" t="str">
        <f>MID(tblPassengerNames[[#This Row],[Name]], tblPassengerNames[[#This Row],[DotPos]] + 2, tblPassengerNames[[#This Row],[EndOfConvFNPos]] - tblPassengerNames[[#This Row],[DotPos]] - 1)</f>
        <v>George</v>
      </c>
      <c r="K324" t="e">
        <f>MID(tblPassengerNames[[#This Row],[Name]], tblPassengerNames[[#This Row],[OpenParPos]] + 1, tblPassengerNames[[#This Row],[CloseParPos]] - tblPassengerNames[[#This Row],[OpenParPos]] - 1)</f>
        <v>#VALUE!</v>
      </c>
      <c r="L324" t="e">
        <f>IF(AND(LEFT(tblPassengerNames[[#This Row],[InParentheses]], 1) = "'", RIGHT(tblPassengerNames[[#This Row],[InParentheses]], 1) = "'"),
    #VALUE!,
    tblPassengerNames[[#This Row],[InParentheses]]
)</f>
        <v>#VALUE!</v>
      </c>
      <c r="M324" t="e">
        <f>LEN(tblPassengerNames[[#This Row],[InParenthesesCleaned]]) - LEN(SUBSTITUTE(tblPassengerNames[[#This Row],[InParenthesesCleaned]], " ", ""))</f>
        <v>#VALUE!</v>
      </c>
      <c r="N324" t="e">
        <f>FIND("@", SUBSTITUTE(tblPassengerNames[[#This Row],[InParenthesesCleaned]], " ", "@", tblPassengerNames[[#This Row],[P_NSpaces]]))</f>
        <v>#VALUE!</v>
      </c>
      <c r="O324" t="e">
        <f>IF(tblPassengerNames[[#This Row],[P_NSpaces]] = 0,
    tblPassengerNames[[#This Row],[InParenthesesCleaned]],
    LEFT(tblPassengerNames[[#This Row],[InParenthesesCleaned]], tblPassengerNames[[#This Row],[P_FinalSpacePos]] - 1)
)</f>
        <v>#VALUE!</v>
      </c>
      <c r="P324" t="str">
        <f>IFERROR(tblPassengerNames[[#This Row],[P_Forenames]], tblPassengerNames[[#This Row],[ConvForenames]])</f>
        <v>George</v>
      </c>
      <c r="Q324" t="str">
        <f>MID(tblPassengerNames[[#This Row],[Name]], tblPassengerNames[[#This Row],[CommaPos]] + 2, tblPassengerNames[[#This Row],[DotPos]] - tblPassengerNames[[#This Row],[CommaPos]] - 1)</f>
        <v>Mr.</v>
      </c>
      <c r="R324" t="str">
        <f>LEFT(tblPassengerNames[[#This Row],[Name]], tblPassengerNames[[#This Row],[CommaPos]] - 1)</f>
        <v>Wright</v>
      </c>
    </row>
    <row r="325" spans="2:18" x14ac:dyDescent="0.25">
      <c r="B325" s="21">
        <v>323</v>
      </c>
      <c r="C325" s="21" t="s">
        <v>459</v>
      </c>
      <c r="D325" s="21" t="s">
        <v>136</v>
      </c>
      <c r="E325">
        <f>FIND(",", tblPassengerNames[[#This Row],[Name]])</f>
        <v>6</v>
      </c>
      <c r="F325">
        <f>FIND(".", tblPassengerNames[[#This Row],[Name]])</f>
        <v>12</v>
      </c>
      <c r="G325" t="e">
        <f>FIND("(", tblPassengerNames[[#This Row],[Name]])</f>
        <v>#VALUE!</v>
      </c>
      <c r="H325" t="e">
        <f>FIND(")", tblPassengerNames[[#This Row],[Name]])</f>
        <v>#VALUE!</v>
      </c>
      <c r="I325">
        <f>IFERROR(tblPassengerNames[[#This Row],[OpenParPos]] - 2, LEN(tblPassengerNames[[#This Row],[Name]]))</f>
        <v>24</v>
      </c>
      <c r="J325" t="str">
        <f>MID(tblPassengerNames[[#This Row],[Name]], tblPassengerNames[[#This Row],[DotPos]] + 2, tblPassengerNames[[#This Row],[EndOfConvFNPos]] - tblPassengerNames[[#This Row],[DotPos]] - 1)</f>
        <v>Marie Grice</v>
      </c>
      <c r="K325" t="e">
        <f>MID(tblPassengerNames[[#This Row],[Name]], tblPassengerNames[[#This Row],[OpenParPos]] + 1, tblPassengerNames[[#This Row],[CloseParPos]] - tblPassengerNames[[#This Row],[OpenParPos]] - 1)</f>
        <v>#VALUE!</v>
      </c>
      <c r="L325" t="e">
        <f>IF(AND(LEFT(tblPassengerNames[[#This Row],[InParentheses]], 1) = "'", RIGHT(tblPassengerNames[[#This Row],[InParentheses]], 1) = "'"),
    #VALUE!,
    tblPassengerNames[[#This Row],[InParentheses]]
)</f>
        <v>#VALUE!</v>
      </c>
      <c r="M325" t="e">
        <f>LEN(tblPassengerNames[[#This Row],[InParenthesesCleaned]]) - LEN(SUBSTITUTE(tblPassengerNames[[#This Row],[InParenthesesCleaned]], " ", ""))</f>
        <v>#VALUE!</v>
      </c>
      <c r="N325" t="e">
        <f>FIND("@", SUBSTITUTE(tblPassengerNames[[#This Row],[InParenthesesCleaned]], " ", "@", tblPassengerNames[[#This Row],[P_NSpaces]]))</f>
        <v>#VALUE!</v>
      </c>
      <c r="O325" t="e">
        <f>IF(tblPassengerNames[[#This Row],[P_NSpaces]] = 0,
    tblPassengerNames[[#This Row],[InParenthesesCleaned]],
    LEFT(tblPassengerNames[[#This Row],[InParenthesesCleaned]], tblPassengerNames[[#This Row],[P_FinalSpacePos]] - 1)
)</f>
        <v>#VALUE!</v>
      </c>
      <c r="P325" t="str">
        <f>IFERROR(tblPassengerNames[[#This Row],[P_Forenames]], tblPassengerNames[[#This Row],[ConvForenames]])</f>
        <v>Marie Grice</v>
      </c>
      <c r="Q325" t="str">
        <f>MID(tblPassengerNames[[#This Row],[Name]], tblPassengerNames[[#This Row],[CommaPos]] + 2, tblPassengerNames[[#This Row],[DotPos]] - tblPassengerNames[[#This Row],[CommaPos]] - 1)</f>
        <v>Miss.</v>
      </c>
      <c r="R325" t="str">
        <f>LEFT(tblPassengerNames[[#This Row],[Name]], tblPassengerNames[[#This Row],[CommaPos]] - 1)</f>
        <v>Young</v>
      </c>
    </row>
    <row r="326" spans="2:18" x14ac:dyDescent="0.25">
      <c r="B326" s="21">
        <v>324</v>
      </c>
      <c r="C326" s="21" t="s">
        <v>460</v>
      </c>
      <c r="D326" s="21" t="s">
        <v>138</v>
      </c>
      <c r="E326">
        <f>FIND(",", tblPassengerNames[[#This Row],[Name]])</f>
        <v>8</v>
      </c>
      <c r="F326">
        <f>FIND(".", tblPassengerNames[[#This Row],[Name]])</f>
        <v>12</v>
      </c>
      <c r="G326" t="e">
        <f>FIND("(", tblPassengerNames[[#This Row],[Name]])</f>
        <v>#VALUE!</v>
      </c>
      <c r="H326" t="e">
        <f>FIND(")", tblPassengerNames[[#This Row],[Name]])</f>
        <v>#VALUE!</v>
      </c>
      <c r="I326">
        <f>IFERROR(tblPassengerNames[[#This Row],[OpenParPos]] - 2, LEN(tblPassengerNames[[#This Row],[Name]]))</f>
        <v>19</v>
      </c>
      <c r="J326" t="str">
        <f>MID(tblPassengerNames[[#This Row],[Name]], tblPassengerNames[[#This Row],[DotPos]] + 2, tblPassengerNames[[#This Row],[EndOfConvFNPos]] - tblPassengerNames[[#This Row],[DotPos]] - 1)</f>
        <v>Samuel</v>
      </c>
      <c r="K326" t="e">
        <f>MID(tblPassengerNames[[#This Row],[Name]], tblPassengerNames[[#This Row],[OpenParPos]] + 1, tblPassengerNames[[#This Row],[CloseParPos]] - tblPassengerNames[[#This Row],[OpenParPos]] - 1)</f>
        <v>#VALUE!</v>
      </c>
      <c r="L326" t="e">
        <f>IF(AND(LEFT(tblPassengerNames[[#This Row],[InParentheses]], 1) = "'", RIGHT(tblPassengerNames[[#This Row],[InParentheses]], 1) = "'"),
    #VALUE!,
    tblPassengerNames[[#This Row],[InParentheses]]
)</f>
        <v>#VALUE!</v>
      </c>
      <c r="M326" t="e">
        <f>LEN(tblPassengerNames[[#This Row],[InParenthesesCleaned]]) - LEN(SUBSTITUTE(tblPassengerNames[[#This Row],[InParenthesesCleaned]], " ", ""))</f>
        <v>#VALUE!</v>
      </c>
      <c r="N326" t="e">
        <f>FIND("@", SUBSTITUTE(tblPassengerNames[[#This Row],[InParenthesesCleaned]], " ", "@", tblPassengerNames[[#This Row],[P_NSpaces]]))</f>
        <v>#VALUE!</v>
      </c>
      <c r="O326" t="e">
        <f>IF(tblPassengerNames[[#This Row],[P_NSpaces]] = 0,
    tblPassengerNames[[#This Row],[InParenthesesCleaned]],
    LEFT(tblPassengerNames[[#This Row],[InParenthesesCleaned]], tblPassengerNames[[#This Row],[P_FinalSpacePos]] - 1)
)</f>
        <v>#VALUE!</v>
      </c>
      <c r="P326" t="str">
        <f>IFERROR(tblPassengerNames[[#This Row],[P_Forenames]], tblPassengerNames[[#This Row],[ConvForenames]])</f>
        <v>Samuel</v>
      </c>
      <c r="Q326" t="str">
        <f>MID(tblPassengerNames[[#This Row],[Name]], tblPassengerNames[[#This Row],[CommaPos]] + 2, tblPassengerNames[[#This Row],[DotPos]] - tblPassengerNames[[#This Row],[CommaPos]] - 1)</f>
        <v>Mr.</v>
      </c>
      <c r="R326" t="str">
        <f>LEFT(tblPassengerNames[[#This Row],[Name]], tblPassengerNames[[#This Row],[CommaPos]] - 1)</f>
        <v>Abelson</v>
      </c>
    </row>
    <row r="327" spans="2:18" x14ac:dyDescent="0.25">
      <c r="B327" s="21">
        <v>325</v>
      </c>
      <c r="C327" s="21" t="s">
        <v>461</v>
      </c>
      <c r="D327" s="21" t="s">
        <v>136</v>
      </c>
      <c r="E327">
        <f>FIND(",", tblPassengerNames[[#This Row],[Name]])</f>
        <v>8</v>
      </c>
      <c r="F327">
        <f>FIND(".", tblPassengerNames[[#This Row],[Name]])</f>
        <v>13</v>
      </c>
      <c r="G327">
        <f>FIND("(", tblPassengerNames[[#This Row],[Name]])</f>
        <v>22</v>
      </c>
      <c r="H327">
        <f>FIND(")", tblPassengerNames[[#This Row],[Name]])</f>
        <v>37</v>
      </c>
      <c r="I327">
        <f>IFERROR(tblPassengerNames[[#This Row],[OpenParPos]] - 2, LEN(tblPassengerNames[[#This Row],[Name]]))</f>
        <v>20</v>
      </c>
      <c r="J327" t="str">
        <f>MID(tblPassengerNames[[#This Row],[Name]], tblPassengerNames[[#This Row],[DotPos]] + 2, tblPassengerNames[[#This Row],[EndOfConvFNPos]] - tblPassengerNames[[#This Row],[DotPos]] - 1)</f>
        <v>Samuel</v>
      </c>
      <c r="K327" t="str">
        <f>MID(tblPassengerNames[[#This Row],[Name]], tblPassengerNames[[#This Row],[OpenParPos]] + 1, tblPassengerNames[[#This Row],[CloseParPos]] - tblPassengerNames[[#This Row],[OpenParPos]] - 1)</f>
        <v>Hannah Wizosky</v>
      </c>
      <c r="L327" t="str">
        <f>IF(AND(LEFT(tblPassengerNames[[#This Row],[InParentheses]], 1) = "'", RIGHT(tblPassengerNames[[#This Row],[InParentheses]], 1) = "'"),
    #VALUE!,
    tblPassengerNames[[#This Row],[InParentheses]]
)</f>
        <v>Hannah Wizosky</v>
      </c>
      <c r="M327">
        <f>LEN(tblPassengerNames[[#This Row],[InParenthesesCleaned]]) - LEN(SUBSTITUTE(tblPassengerNames[[#This Row],[InParenthesesCleaned]], " ", ""))</f>
        <v>1</v>
      </c>
      <c r="N327">
        <f>FIND("@", SUBSTITUTE(tblPassengerNames[[#This Row],[InParenthesesCleaned]], " ", "@", tblPassengerNames[[#This Row],[P_NSpaces]]))</f>
        <v>7</v>
      </c>
      <c r="O327" t="str">
        <f>IF(tblPassengerNames[[#This Row],[P_NSpaces]] = 0,
    tblPassengerNames[[#This Row],[InParenthesesCleaned]],
    LEFT(tblPassengerNames[[#This Row],[InParenthesesCleaned]], tblPassengerNames[[#This Row],[P_FinalSpacePos]] - 1)
)</f>
        <v>Hannah</v>
      </c>
      <c r="P327" t="str">
        <f>IFERROR(tblPassengerNames[[#This Row],[P_Forenames]], tblPassengerNames[[#This Row],[ConvForenames]])</f>
        <v>Hannah</v>
      </c>
      <c r="Q327" t="str">
        <f>MID(tblPassengerNames[[#This Row],[Name]], tblPassengerNames[[#This Row],[CommaPos]] + 2, tblPassengerNames[[#This Row],[DotPos]] - tblPassengerNames[[#This Row],[CommaPos]] - 1)</f>
        <v>Mrs.</v>
      </c>
      <c r="R327" t="str">
        <f>LEFT(tblPassengerNames[[#This Row],[Name]], tblPassengerNames[[#This Row],[CommaPos]] - 1)</f>
        <v>Abelson</v>
      </c>
    </row>
    <row r="328" spans="2:18" x14ac:dyDescent="0.25">
      <c r="B328" s="21">
        <v>326</v>
      </c>
      <c r="C328" s="21" t="s">
        <v>462</v>
      </c>
      <c r="D328" s="21" t="s">
        <v>138</v>
      </c>
      <c r="E328">
        <f>FIND(",", tblPassengerNames[[#This Row],[Name]])</f>
        <v>9</v>
      </c>
      <c r="F328">
        <f>FIND(".", tblPassengerNames[[#This Row],[Name]])</f>
        <v>13</v>
      </c>
      <c r="G328" t="e">
        <f>FIND("(", tblPassengerNames[[#This Row],[Name]])</f>
        <v>#VALUE!</v>
      </c>
      <c r="H328" t="e">
        <f>FIND(")", tblPassengerNames[[#This Row],[Name]])</f>
        <v>#VALUE!</v>
      </c>
      <c r="I328">
        <f>IFERROR(tblPassengerNames[[#This Row],[OpenParPos]] - 2, LEN(tblPassengerNames[[#This Row],[Name]]))</f>
        <v>30</v>
      </c>
      <c r="J328" t="str">
        <f>MID(tblPassengerNames[[#This Row],[Name]], tblPassengerNames[[#This Row],[DotPos]] + 2, tblPassengerNames[[#This Row],[EndOfConvFNPos]] - tblPassengerNames[[#This Row],[DotPos]] - 1)</f>
        <v>Charles Augustus</v>
      </c>
      <c r="K328" t="e">
        <f>MID(tblPassengerNames[[#This Row],[Name]], tblPassengerNames[[#This Row],[OpenParPos]] + 1, tblPassengerNames[[#This Row],[CloseParPos]] - tblPassengerNames[[#This Row],[OpenParPos]] - 1)</f>
        <v>#VALUE!</v>
      </c>
      <c r="L328" t="e">
        <f>IF(AND(LEFT(tblPassengerNames[[#This Row],[InParentheses]], 1) = "'", RIGHT(tblPassengerNames[[#This Row],[InParentheses]], 1) = "'"),
    #VALUE!,
    tblPassengerNames[[#This Row],[InParentheses]]
)</f>
        <v>#VALUE!</v>
      </c>
      <c r="M328" t="e">
        <f>LEN(tblPassengerNames[[#This Row],[InParenthesesCleaned]]) - LEN(SUBSTITUTE(tblPassengerNames[[#This Row],[InParenthesesCleaned]], " ", ""))</f>
        <v>#VALUE!</v>
      </c>
      <c r="N328" t="e">
        <f>FIND("@", SUBSTITUTE(tblPassengerNames[[#This Row],[InParenthesesCleaned]], " ", "@", tblPassengerNames[[#This Row],[P_NSpaces]]))</f>
        <v>#VALUE!</v>
      </c>
      <c r="O328" t="e">
        <f>IF(tblPassengerNames[[#This Row],[P_NSpaces]] = 0,
    tblPassengerNames[[#This Row],[InParenthesesCleaned]],
    LEFT(tblPassengerNames[[#This Row],[InParenthesesCleaned]], tblPassengerNames[[#This Row],[P_FinalSpacePos]] - 1)
)</f>
        <v>#VALUE!</v>
      </c>
      <c r="P328" t="str">
        <f>IFERROR(tblPassengerNames[[#This Row],[P_Forenames]], tblPassengerNames[[#This Row],[ConvForenames]])</f>
        <v>Charles Augustus</v>
      </c>
      <c r="Q328" t="str">
        <f>MID(tblPassengerNames[[#This Row],[Name]], tblPassengerNames[[#This Row],[CommaPos]] + 2, tblPassengerNames[[#This Row],[DotPos]] - tblPassengerNames[[#This Row],[CommaPos]] - 1)</f>
        <v>Mr.</v>
      </c>
      <c r="R328" t="str">
        <f>LEFT(tblPassengerNames[[#This Row],[Name]], tblPassengerNames[[#This Row],[CommaPos]] - 1)</f>
        <v>Aldworth</v>
      </c>
    </row>
    <row r="329" spans="2:18" x14ac:dyDescent="0.25">
      <c r="B329" s="21">
        <v>327</v>
      </c>
      <c r="C329" s="21" t="s">
        <v>463</v>
      </c>
      <c r="D329" s="21" t="s">
        <v>138</v>
      </c>
      <c r="E329">
        <f>FIND(",", tblPassengerNames[[#This Row],[Name]])</f>
        <v>7</v>
      </c>
      <c r="F329">
        <f>FIND(".", tblPassengerNames[[#This Row],[Name]])</f>
        <v>11</v>
      </c>
      <c r="G329" t="e">
        <f>FIND("(", tblPassengerNames[[#This Row],[Name]])</f>
        <v>#VALUE!</v>
      </c>
      <c r="H329" t="e">
        <f>FIND(")", tblPassengerNames[[#This Row],[Name]])</f>
        <v>#VALUE!</v>
      </c>
      <c r="I329">
        <f>IFERROR(tblPassengerNames[[#This Row],[OpenParPos]] - 2, LEN(tblPassengerNames[[#This Row],[Name]]))</f>
        <v>26</v>
      </c>
      <c r="J329" t="str">
        <f>MID(tblPassengerNames[[#This Row],[Name]], tblPassengerNames[[#This Row],[DotPos]] + 2, tblPassengerNames[[#This Row],[EndOfConvFNPos]] - tblPassengerNames[[#This Row],[DotPos]] - 1)</f>
        <v>Edgardo Samuel</v>
      </c>
      <c r="K329" t="e">
        <f>MID(tblPassengerNames[[#This Row],[Name]], tblPassengerNames[[#This Row],[OpenParPos]] + 1, tblPassengerNames[[#This Row],[CloseParPos]] - tblPassengerNames[[#This Row],[OpenParPos]] - 1)</f>
        <v>#VALUE!</v>
      </c>
      <c r="L329" t="e">
        <f>IF(AND(LEFT(tblPassengerNames[[#This Row],[InParentheses]], 1) = "'", RIGHT(tblPassengerNames[[#This Row],[InParentheses]], 1) = "'"),
    #VALUE!,
    tblPassengerNames[[#This Row],[InParentheses]]
)</f>
        <v>#VALUE!</v>
      </c>
      <c r="M329" t="e">
        <f>LEN(tblPassengerNames[[#This Row],[InParenthesesCleaned]]) - LEN(SUBSTITUTE(tblPassengerNames[[#This Row],[InParenthesesCleaned]], " ", ""))</f>
        <v>#VALUE!</v>
      </c>
      <c r="N329" t="e">
        <f>FIND("@", SUBSTITUTE(tblPassengerNames[[#This Row],[InParenthesesCleaned]], " ", "@", tblPassengerNames[[#This Row],[P_NSpaces]]))</f>
        <v>#VALUE!</v>
      </c>
      <c r="O329" t="e">
        <f>IF(tblPassengerNames[[#This Row],[P_NSpaces]] = 0,
    tblPassengerNames[[#This Row],[InParenthesesCleaned]],
    LEFT(tblPassengerNames[[#This Row],[InParenthesesCleaned]], tblPassengerNames[[#This Row],[P_FinalSpacePos]] - 1)
)</f>
        <v>#VALUE!</v>
      </c>
      <c r="P329" t="str">
        <f>IFERROR(tblPassengerNames[[#This Row],[P_Forenames]], tblPassengerNames[[#This Row],[ConvForenames]])</f>
        <v>Edgardo Samuel</v>
      </c>
      <c r="Q329" t="str">
        <f>MID(tblPassengerNames[[#This Row],[Name]], tblPassengerNames[[#This Row],[CommaPos]] + 2, tblPassengerNames[[#This Row],[DotPos]] - tblPassengerNames[[#This Row],[CommaPos]] - 1)</f>
        <v>Mr.</v>
      </c>
      <c r="R329" t="str">
        <f>LEFT(tblPassengerNames[[#This Row],[Name]], tblPassengerNames[[#This Row],[CommaPos]] - 1)</f>
        <v>Andrew</v>
      </c>
    </row>
    <row r="330" spans="2:18" x14ac:dyDescent="0.25">
      <c r="B330" s="21">
        <v>328</v>
      </c>
      <c r="C330" s="21" t="s">
        <v>464</v>
      </c>
      <c r="D330" s="21" t="s">
        <v>138</v>
      </c>
      <c r="E330">
        <f>FIND(",", tblPassengerNames[[#This Row],[Name]])</f>
        <v>7</v>
      </c>
      <c r="F330">
        <f>FIND(".", tblPassengerNames[[#This Row],[Name]])</f>
        <v>11</v>
      </c>
      <c r="G330" t="e">
        <f>FIND("(", tblPassengerNames[[#This Row],[Name]])</f>
        <v>#VALUE!</v>
      </c>
      <c r="H330" t="e">
        <f>FIND(")", tblPassengerNames[[#This Row],[Name]])</f>
        <v>#VALUE!</v>
      </c>
      <c r="I330">
        <f>IFERROR(tblPassengerNames[[#This Row],[OpenParPos]] - 2, LEN(tblPassengerNames[[#This Row],[Name]]))</f>
        <v>24</v>
      </c>
      <c r="J330" t="str">
        <f>MID(tblPassengerNames[[#This Row],[Name]], tblPassengerNames[[#This Row],[DotPos]] + 2, tblPassengerNames[[#This Row],[EndOfConvFNPos]] - tblPassengerNames[[#This Row],[DotPos]] - 1)</f>
        <v>Frank Thomas</v>
      </c>
      <c r="K330" t="e">
        <f>MID(tblPassengerNames[[#This Row],[Name]], tblPassengerNames[[#This Row],[OpenParPos]] + 1, tblPassengerNames[[#This Row],[CloseParPos]] - tblPassengerNames[[#This Row],[OpenParPos]] - 1)</f>
        <v>#VALUE!</v>
      </c>
      <c r="L330" t="e">
        <f>IF(AND(LEFT(tblPassengerNames[[#This Row],[InParentheses]], 1) = "'", RIGHT(tblPassengerNames[[#This Row],[InParentheses]], 1) = "'"),
    #VALUE!,
    tblPassengerNames[[#This Row],[InParentheses]]
)</f>
        <v>#VALUE!</v>
      </c>
      <c r="M330" t="e">
        <f>LEN(tblPassengerNames[[#This Row],[InParenthesesCleaned]]) - LEN(SUBSTITUTE(tblPassengerNames[[#This Row],[InParenthesesCleaned]], " ", ""))</f>
        <v>#VALUE!</v>
      </c>
      <c r="N330" t="e">
        <f>FIND("@", SUBSTITUTE(tblPassengerNames[[#This Row],[InParenthesesCleaned]], " ", "@", tblPassengerNames[[#This Row],[P_NSpaces]]))</f>
        <v>#VALUE!</v>
      </c>
      <c r="O330" t="e">
        <f>IF(tblPassengerNames[[#This Row],[P_NSpaces]] = 0,
    tblPassengerNames[[#This Row],[InParenthesesCleaned]],
    LEFT(tblPassengerNames[[#This Row],[InParenthesesCleaned]], tblPassengerNames[[#This Row],[P_FinalSpacePos]] - 1)
)</f>
        <v>#VALUE!</v>
      </c>
      <c r="P330" t="str">
        <f>IFERROR(tblPassengerNames[[#This Row],[P_Forenames]], tblPassengerNames[[#This Row],[ConvForenames]])</f>
        <v>Frank Thomas</v>
      </c>
      <c r="Q330" t="str">
        <f>MID(tblPassengerNames[[#This Row],[Name]], tblPassengerNames[[#This Row],[CommaPos]] + 2, tblPassengerNames[[#This Row],[DotPos]] - tblPassengerNames[[#This Row],[CommaPos]] - 1)</f>
        <v>Mr.</v>
      </c>
      <c r="R330" t="str">
        <f>LEFT(tblPassengerNames[[#This Row],[Name]], tblPassengerNames[[#This Row],[CommaPos]] - 1)</f>
        <v>Andrew</v>
      </c>
    </row>
    <row r="331" spans="2:18" x14ac:dyDescent="0.25">
      <c r="B331" s="21">
        <v>329</v>
      </c>
      <c r="C331" s="21" t="s">
        <v>465</v>
      </c>
      <c r="D331" s="21" t="s">
        <v>138</v>
      </c>
      <c r="E331">
        <f>FIND(",", tblPassengerNames[[#This Row],[Name]])</f>
        <v>6</v>
      </c>
      <c r="F331">
        <f>FIND(".", tblPassengerNames[[#This Row],[Name]])</f>
        <v>10</v>
      </c>
      <c r="G331" t="e">
        <f>FIND("(", tblPassengerNames[[#This Row],[Name]])</f>
        <v>#VALUE!</v>
      </c>
      <c r="H331" t="e">
        <f>FIND(")", tblPassengerNames[[#This Row],[Name]])</f>
        <v>#VALUE!</v>
      </c>
      <c r="I331">
        <f>IFERROR(tblPassengerNames[[#This Row],[OpenParPos]] - 2, LEN(tblPassengerNames[[#This Row],[Name]]))</f>
        <v>20</v>
      </c>
      <c r="J331" t="str">
        <f>MID(tblPassengerNames[[#This Row],[Name]], tblPassengerNames[[#This Row],[DotPos]] + 2, tblPassengerNames[[#This Row],[EndOfConvFNPos]] - tblPassengerNames[[#This Row],[DotPos]] - 1)</f>
        <v>William A</v>
      </c>
      <c r="K331" t="e">
        <f>MID(tblPassengerNames[[#This Row],[Name]], tblPassengerNames[[#This Row],[OpenParPos]] + 1, tblPassengerNames[[#This Row],[CloseParPos]] - tblPassengerNames[[#This Row],[OpenParPos]] - 1)</f>
        <v>#VALUE!</v>
      </c>
      <c r="L331" t="e">
        <f>IF(AND(LEFT(tblPassengerNames[[#This Row],[InParentheses]], 1) = "'", RIGHT(tblPassengerNames[[#This Row],[InParentheses]], 1) = "'"),
    #VALUE!,
    tblPassengerNames[[#This Row],[InParentheses]]
)</f>
        <v>#VALUE!</v>
      </c>
      <c r="M331" t="e">
        <f>LEN(tblPassengerNames[[#This Row],[InParenthesesCleaned]]) - LEN(SUBSTITUTE(tblPassengerNames[[#This Row],[InParenthesesCleaned]], " ", ""))</f>
        <v>#VALUE!</v>
      </c>
      <c r="N331" t="e">
        <f>FIND("@", SUBSTITUTE(tblPassengerNames[[#This Row],[InParenthesesCleaned]], " ", "@", tblPassengerNames[[#This Row],[P_NSpaces]]))</f>
        <v>#VALUE!</v>
      </c>
      <c r="O331" t="e">
        <f>IF(tblPassengerNames[[#This Row],[P_NSpaces]] = 0,
    tblPassengerNames[[#This Row],[InParenthesesCleaned]],
    LEFT(tblPassengerNames[[#This Row],[InParenthesesCleaned]], tblPassengerNames[[#This Row],[P_FinalSpacePos]] - 1)
)</f>
        <v>#VALUE!</v>
      </c>
      <c r="P331" t="str">
        <f>IFERROR(tblPassengerNames[[#This Row],[P_Forenames]], tblPassengerNames[[#This Row],[ConvForenames]])</f>
        <v>William A</v>
      </c>
      <c r="Q331" t="str">
        <f>MID(tblPassengerNames[[#This Row],[Name]], tblPassengerNames[[#This Row],[CommaPos]] + 2, tblPassengerNames[[#This Row],[DotPos]] - tblPassengerNames[[#This Row],[CommaPos]] - 1)</f>
        <v>Mr.</v>
      </c>
      <c r="R331" t="str">
        <f>LEFT(tblPassengerNames[[#This Row],[Name]], tblPassengerNames[[#This Row],[CommaPos]] - 1)</f>
        <v>Angle</v>
      </c>
    </row>
    <row r="332" spans="2:18" x14ac:dyDescent="0.25">
      <c r="B332" s="21">
        <v>330</v>
      </c>
      <c r="C332" s="21" t="s">
        <v>466</v>
      </c>
      <c r="D332" s="21" t="s">
        <v>136</v>
      </c>
      <c r="E332">
        <f>FIND(",", tblPassengerNames[[#This Row],[Name]])</f>
        <v>6</v>
      </c>
      <c r="F332">
        <f>FIND(".", tblPassengerNames[[#This Row],[Name]])</f>
        <v>11</v>
      </c>
      <c r="G332">
        <f>FIND("(", tblPassengerNames[[#This Row],[Name]])</f>
        <v>23</v>
      </c>
      <c r="H332">
        <f>FIND(")", tblPassengerNames[[#This Row],[Name]])</f>
        <v>52</v>
      </c>
      <c r="I332">
        <f>IFERROR(tblPassengerNames[[#This Row],[OpenParPos]] - 2, LEN(tblPassengerNames[[#This Row],[Name]]))</f>
        <v>21</v>
      </c>
      <c r="J332" t="str">
        <f>MID(tblPassengerNames[[#This Row],[Name]], tblPassengerNames[[#This Row],[DotPos]] + 2, tblPassengerNames[[#This Row],[EndOfConvFNPos]] - tblPassengerNames[[#This Row],[DotPos]] - 1)</f>
        <v>William A</v>
      </c>
      <c r="K332" t="str">
        <f>MID(tblPassengerNames[[#This Row],[Name]], tblPassengerNames[[#This Row],[OpenParPos]] + 1, tblPassengerNames[[#This Row],[CloseParPos]] - tblPassengerNames[[#This Row],[OpenParPos]] - 1)</f>
        <v>Florence 'Mary' Agnes Hughes</v>
      </c>
      <c r="L332" t="str">
        <f>IF(AND(LEFT(tblPassengerNames[[#This Row],[InParentheses]], 1) = "'", RIGHT(tblPassengerNames[[#This Row],[InParentheses]], 1) = "'"),
    #VALUE!,
    tblPassengerNames[[#This Row],[InParentheses]]
)</f>
        <v>Florence 'Mary' Agnes Hughes</v>
      </c>
      <c r="M332">
        <f>LEN(tblPassengerNames[[#This Row],[InParenthesesCleaned]]) - LEN(SUBSTITUTE(tblPassengerNames[[#This Row],[InParenthesesCleaned]], " ", ""))</f>
        <v>3</v>
      </c>
      <c r="N332">
        <f>FIND("@", SUBSTITUTE(tblPassengerNames[[#This Row],[InParenthesesCleaned]], " ", "@", tblPassengerNames[[#This Row],[P_NSpaces]]))</f>
        <v>22</v>
      </c>
      <c r="O332" t="str">
        <f>IF(tblPassengerNames[[#This Row],[P_NSpaces]] = 0,
    tblPassengerNames[[#This Row],[InParenthesesCleaned]],
    LEFT(tblPassengerNames[[#This Row],[InParenthesesCleaned]], tblPassengerNames[[#This Row],[P_FinalSpacePos]] - 1)
)</f>
        <v>Florence 'Mary' Agnes</v>
      </c>
      <c r="P332" t="str">
        <f>IFERROR(tblPassengerNames[[#This Row],[P_Forenames]], tblPassengerNames[[#This Row],[ConvForenames]])</f>
        <v>Florence 'Mary' Agnes</v>
      </c>
      <c r="Q332" t="str">
        <f>MID(tblPassengerNames[[#This Row],[Name]], tblPassengerNames[[#This Row],[CommaPos]] + 2, tblPassengerNames[[#This Row],[DotPos]] - tblPassengerNames[[#This Row],[CommaPos]] - 1)</f>
        <v>Mrs.</v>
      </c>
      <c r="R332" t="str">
        <f>LEFT(tblPassengerNames[[#This Row],[Name]], tblPassengerNames[[#This Row],[CommaPos]] - 1)</f>
        <v>Angle</v>
      </c>
    </row>
    <row r="333" spans="2:18" x14ac:dyDescent="0.25">
      <c r="B333" s="21">
        <v>331</v>
      </c>
      <c r="C333" s="21" t="s">
        <v>467</v>
      </c>
      <c r="D333" s="21" t="s">
        <v>138</v>
      </c>
      <c r="E333">
        <f>FIND(",", tblPassengerNames[[#This Row],[Name]])</f>
        <v>6</v>
      </c>
      <c r="F333">
        <f>FIND(".", tblPassengerNames[[#This Row],[Name]])</f>
        <v>10</v>
      </c>
      <c r="G333" t="e">
        <f>FIND("(", tblPassengerNames[[#This Row],[Name]])</f>
        <v>#VALUE!</v>
      </c>
      <c r="H333" t="e">
        <f>FIND(")", tblPassengerNames[[#This Row],[Name]])</f>
        <v>#VALUE!</v>
      </c>
      <c r="I333">
        <f>IFERROR(tblPassengerNames[[#This Row],[OpenParPos]] - 2, LEN(tblPassengerNames[[#This Row],[Name]]))</f>
        <v>15</v>
      </c>
      <c r="J333" t="str">
        <f>MID(tblPassengerNames[[#This Row],[Name]], tblPassengerNames[[#This Row],[DotPos]] + 2, tblPassengerNames[[#This Row],[EndOfConvFNPos]] - tblPassengerNames[[#This Row],[DotPos]] - 1)</f>
        <v>John</v>
      </c>
      <c r="K333" t="e">
        <f>MID(tblPassengerNames[[#This Row],[Name]], tblPassengerNames[[#This Row],[OpenParPos]] + 1, tblPassengerNames[[#This Row],[CloseParPos]] - tblPassengerNames[[#This Row],[OpenParPos]] - 1)</f>
        <v>#VALUE!</v>
      </c>
      <c r="L333" t="e">
        <f>IF(AND(LEFT(tblPassengerNames[[#This Row],[InParentheses]], 1) = "'", RIGHT(tblPassengerNames[[#This Row],[InParentheses]], 1) = "'"),
    #VALUE!,
    tblPassengerNames[[#This Row],[InParentheses]]
)</f>
        <v>#VALUE!</v>
      </c>
      <c r="M333" t="e">
        <f>LEN(tblPassengerNames[[#This Row],[InParenthesesCleaned]]) - LEN(SUBSTITUTE(tblPassengerNames[[#This Row],[InParenthesesCleaned]], " ", ""))</f>
        <v>#VALUE!</v>
      </c>
      <c r="N333" t="e">
        <f>FIND("@", SUBSTITUTE(tblPassengerNames[[#This Row],[InParenthesesCleaned]], " ", "@", tblPassengerNames[[#This Row],[P_NSpaces]]))</f>
        <v>#VALUE!</v>
      </c>
      <c r="O333" t="e">
        <f>IF(tblPassengerNames[[#This Row],[P_NSpaces]] = 0,
    tblPassengerNames[[#This Row],[InParenthesesCleaned]],
    LEFT(tblPassengerNames[[#This Row],[InParenthesesCleaned]], tblPassengerNames[[#This Row],[P_FinalSpacePos]] - 1)
)</f>
        <v>#VALUE!</v>
      </c>
      <c r="P333" t="str">
        <f>IFERROR(tblPassengerNames[[#This Row],[P_Forenames]], tblPassengerNames[[#This Row],[ConvForenames]])</f>
        <v>John</v>
      </c>
      <c r="Q333" t="str">
        <f>MID(tblPassengerNames[[#This Row],[Name]], tblPassengerNames[[#This Row],[CommaPos]] + 2, tblPassengerNames[[#This Row],[DotPos]] - tblPassengerNames[[#This Row],[CommaPos]] - 1)</f>
        <v>Mr.</v>
      </c>
      <c r="R333" t="str">
        <f>LEFT(tblPassengerNames[[#This Row],[Name]], tblPassengerNames[[#This Row],[CommaPos]] - 1)</f>
        <v>Ashby</v>
      </c>
    </row>
    <row r="334" spans="2:18" x14ac:dyDescent="0.25">
      <c r="B334" s="21">
        <v>332</v>
      </c>
      <c r="C334" s="21" t="s">
        <v>468</v>
      </c>
      <c r="D334" s="21" t="s">
        <v>138</v>
      </c>
      <c r="E334">
        <f>FIND(",", tblPassengerNames[[#This Row],[Name]])</f>
        <v>7</v>
      </c>
      <c r="F334">
        <f>FIND(".", tblPassengerNames[[#This Row],[Name]])</f>
        <v>11</v>
      </c>
      <c r="G334" t="e">
        <f>FIND("(", tblPassengerNames[[#This Row],[Name]])</f>
        <v>#VALUE!</v>
      </c>
      <c r="H334" t="e">
        <f>FIND(")", tblPassengerNames[[#This Row],[Name]])</f>
        <v>#VALUE!</v>
      </c>
      <c r="I334">
        <f>IFERROR(tblPassengerNames[[#This Row],[OpenParPos]] - 2, LEN(tblPassengerNames[[#This Row],[Name]]))</f>
        <v>24</v>
      </c>
      <c r="J334" t="str">
        <f>MID(tblPassengerNames[[#This Row],[Name]], tblPassengerNames[[#This Row],[DotPos]] + 2, tblPassengerNames[[#This Row],[EndOfConvFNPos]] - tblPassengerNames[[#This Row],[DotPos]] - 1)</f>
        <v>Percy Andrew</v>
      </c>
      <c r="K334" t="e">
        <f>MID(tblPassengerNames[[#This Row],[Name]], tblPassengerNames[[#This Row],[OpenParPos]] + 1, tblPassengerNames[[#This Row],[CloseParPos]] - tblPassengerNames[[#This Row],[OpenParPos]] - 1)</f>
        <v>#VALUE!</v>
      </c>
      <c r="L334" t="e">
        <f>IF(AND(LEFT(tblPassengerNames[[#This Row],[InParentheses]], 1) = "'", RIGHT(tblPassengerNames[[#This Row],[InParentheses]], 1) = "'"),
    #VALUE!,
    tblPassengerNames[[#This Row],[InParentheses]]
)</f>
        <v>#VALUE!</v>
      </c>
      <c r="M334" t="e">
        <f>LEN(tblPassengerNames[[#This Row],[InParenthesesCleaned]]) - LEN(SUBSTITUTE(tblPassengerNames[[#This Row],[InParenthesesCleaned]], " ", ""))</f>
        <v>#VALUE!</v>
      </c>
      <c r="N334" t="e">
        <f>FIND("@", SUBSTITUTE(tblPassengerNames[[#This Row],[InParenthesesCleaned]], " ", "@", tblPassengerNames[[#This Row],[P_NSpaces]]))</f>
        <v>#VALUE!</v>
      </c>
      <c r="O334" t="e">
        <f>IF(tblPassengerNames[[#This Row],[P_NSpaces]] = 0,
    tblPassengerNames[[#This Row],[InParenthesesCleaned]],
    LEFT(tblPassengerNames[[#This Row],[InParenthesesCleaned]], tblPassengerNames[[#This Row],[P_FinalSpacePos]] - 1)
)</f>
        <v>#VALUE!</v>
      </c>
      <c r="P334" t="str">
        <f>IFERROR(tblPassengerNames[[#This Row],[P_Forenames]], tblPassengerNames[[#This Row],[ConvForenames]])</f>
        <v>Percy Andrew</v>
      </c>
      <c r="Q334" t="str">
        <f>MID(tblPassengerNames[[#This Row],[Name]], tblPassengerNames[[#This Row],[CommaPos]] + 2, tblPassengerNames[[#This Row],[DotPos]] - tblPassengerNames[[#This Row],[CommaPos]] - 1)</f>
        <v>Mr.</v>
      </c>
      <c r="R334" t="str">
        <f>LEFT(tblPassengerNames[[#This Row],[Name]], tblPassengerNames[[#This Row],[CommaPos]] - 1)</f>
        <v>Bailey</v>
      </c>
    </row>
    <row r="335" spans="2:18" x14ac:dyDescent="0.25">
      <c r="B335" s="21">
        <v>333</v>
      </c>
      <c r="C335" s="21" t="s">
        <v>469</v>
      </c>
      <c r="D335" s="21" t="s">
        <v>138</v>
      </c>
      <c r="E335">
        <f>FIND(",", tblPassengerNames[[#This Row],[Name]])</f>
        <v>11</v>
      </c>
      <c r="F335">
        <f>FIND(".", tblPassengerNames[[#This Row],[Name]])</f>
        <v>15</v>
      </c>
      <c r="G335" t="e">
        <f>FIND("(", tblPassengerNames[[#This Row],[Name]])</f>
        <v>#VALUE!</v>
      </c>
      <c r="H335" t="e">
        <f>FIND(")", tblPassengerNames[[#This Row],[Name]])</f>
        <v>#VALUE!</v>
      </c>
      <c r="I335">
        <f>IFERROR(tblPassengerNames[[#This Row],[OpenParPos]] - 2, LEN(tblPassengerNames[[#This Row],[Name]]))</f>
        <v>30</v>
      </c>
      <c r="J335" t="str">
        <f>MID(tblPassengerNames[[#This Row],[Name]], tblPassengerNames[[#This Row],[DotPos]] + 2, tblPassengerNames[[#This Row],[EndOfConvFNPos]] - tblPassengerNames[[#This Row],[DotPos]] - 1)</f>
        <v>Charles Robert</v>
      </c>
      <c r="K335" t="e">
        <f>MID(tblPassengerNames[[#This Row],[Name]], tblPassengerNames[[#This Row],[OpenParPos]] + 1, tblPassengerNames[[#This Row],[CloseParPos]] - tblPassengerNames[[#This Row],[OpenParPos]] - 1)</f>
        <v>#VALUE!</v>
      </c>
      <c r="L335" t="e">
        <f>IF(AND(LEFT(tblPassengerNames[[#This Row],[InParentheses]], 1) = "'", RIGHT(tblPassengerNames[[#This Row],[InParentheses]], 1) = "'"),
    #VALUE!,
    tblPassengerNames[[#This Row],[InParentheses]]
)</f>
        <v>#VALUE!</v>
      </c>
      <c r="M335" t="e">
        <f>LEN(tblPassengerNames[[#This Row],[InParenthesesCleaned]]) - LEN(SUBSTITUTE(tblPassengerNames[[#This Row],[InParenthesesCleaned]], " ", ""))</f>
        <v>#VALUE!</v>
      </c>
      <c r="N335" t="e">
        <f>FIND("@", SUBSTITUTE(tblPassengerNames[[#This Row],[InParenthesesCleaned]], " ", "@", tblPassengerNames[[#This Row],[P_NSpaces]]))</f>
        <v>#VALUE!</v>
      </c>
      <c r="O335" t="e">
        <f>IF(tblPassengerNames[[#This Row],[P_NSpaces]] = 0,
    tblPassengerNames[[#This Row],[InParenthesesCleaned]],
    LEFT(tblPassengerNames[[#This Row],[InParenthesesCleaned]], tblPassengerNames[[#This Row],[P_FinalSpacePos]] - 1)
)</f>
        <v>#VALUE!</v>
      </c>
      <c r="P335" t="str">
        <f>IFERROR(tblPassengerNames[[#This Row],[P_Forenames]], tblPassengerNames[[#This Row],[ConvForenames]])</f>
        <v>Charles Robert</v>
      </c>
      <c r="Q335" t="str">
        <f>MID(tblPassengerNames[[#This Row],[Name]], tblPassengerNames[[#This Row],[CommaPos]] + 2, tblPassengerNames[[#This Row],[DotPos]] - tblPassengerNames[[#This Row],[CommaPos]] - 1)</f>
        <v>Mr.</v>
      </c>
      <c r="R335" t="str">
        <f>LEFT(tblPassengerNames[[#This Row],[Name]], tblPassengerNames[[#This Row],[CommaPos]] - 1)</f>
        <v>Baimbrigge</v>
      </c>
    </row>
    <row r="336" spans="2:18" x14ac:dyDescent="0.25">
      <c r="B336" s="21">
        <v>334</v>
      </c>
      <c r="C336" s="21" t="s">
        <v>470</v>
      </c>
      <c r="D336" s="21" t="s">
        <v>136</v>
      </c>
      <c r="E336">
        <f>FIND(",", tblPassengerNames[[#This Row],[Name]])</f>
        <v>5</v>
      </c>
      <c r="F336">
        <f>FIND(".", tblPassengerNames[[#This Row],[Name]])</f>
        <v>10</v>
      </c>
      <c r="G336">
        <f>FIND("(", tblPassengerNames[[#This Row],[Name]])</f>
        <v>12</v>
      </c>
      <c r="H336">
        <f>FIND(")", tblPassengerNames[[#This Row],[Name]])</f>
        <v>23</v>
      </c>
      <c r="I336">
        <f>IFERROR(tblPassengerNames[[#This Row],[OpenParPos]] - 2, LEN(tblPassengerNames[[#This Row],[Name]]))</f>
        <v>10</v>
      </c>
      <c r="J336" t="e">
        <f>MID(tblPassengerNames[[#This Row],[Name]], tblPassengerNames[[#This Row],[DotPos]] + 2, tblPassengerNames[[#This Row],[EndOfConvFNPos]] - tblPassengerNames[[#This Row],[DotPos]] - 1)</f>
        <v>#VALUE!</v>
      </c>
      <c r="K336" t="str">
        <f>MID(tblPassengerNames[[#This Row],[Name]], tblPassengerNames[[#This Row],[OpenParPos]] + 1, tblPassengerNames[[#This Row],[CloseParPos]] - tblPassengerNames[[#This Row],[OpenParPos]] - 1)</f>
        <v>Ada E Hall</v>
      </c>
      <c r="L336" t="str">
        <f>IF(AND(LEFT(tblPassengerNames[[#This Row],[InParentheses]], 1) = "'", RIGHT(tblPassengerNames[[#This Row],[InParentheses]], 1) = "'"),
    #VALUE!,
    tblPassengerNames[[#This Row],[InParentheses]]
)</f>
        <v>Ada E Hall</v>
      </c>
      <c r="M336">
        <f>LEN(tblPassengerNames[[#This Row],[InParenthesesCleaned]]) - LEN(SUBSTITUTE(tblPassengerNames[[#This Row],[InParenthesesCleaned]], " ", ""))</f>
        <v>2</v>
      </c>
      <c r="N336">
        <f>FIND("@", SUBSTITUTE(tblPassengerNames[[#This Row],[InParenthesesCleaned]], " ", "@", tblPassengerNames[[#This Row],[P_NSpaces]]))</f>
        <v>6</v>
      </c>
      <c r="O336" t="str">
        <f>IF(tblPassengerNames[[#This Row],[P_NSpaces]] = 0,
    tblPassengerNames[[#This Row],[InParenthesesCleaned]],
    LEFT(tblPassengerNames[[#This Row],[InParenthesesCleaned]], tblPassengerNames[[#This Row],[P_FinalSpacePos]] - 1)
)</f>
        <v>Ada E</v>
      </c>
      <c r="P336" t="str">
        <f>IFERROR(tblPassengerNames[[#This Row],[P_Forenames]], tblPassengerNames[[#This Row],[ConvForenames]])</f>
        <v>Ada E</v>
      </c>
      <c r="Q336" t="str">
        <f>MID(tblPassengerNames[[#This Row],[Name]], tblPassengerNames[[#This Row],[CommaPos]] + 2, tblPassengerNames[[#This Row],[DotPos]] - tblPassengerNames[[#This Row],[CommaPos]] - 1)</f>
        <v>Mrs.</v>
      </c>
      <c r="R336" t="str">
        <f>LEFT(tblPassengerNames[[#This Row],[Name]], tblPassengerNames[[#This Row],[CommaPos]] - 1)</f>
        <v>Ball</v>
      </c>
    </row>
    <row r="337" spans="2:18" x14ac:dyDescent="0.25">
      <c r="B337" s="21">
        <v>335</v>
      </c>
      <c r="C337" s="21" t="s">
        <v>471</v>
      </c>
      <c r="D337" s="21" t="s">
        <v>138</v>
      </c>
      <c r="E337">
        <f>FIND(",", tblPassengerNames[[#This Row],[Name]])</f>
        <v>9</v>
      </c>
      <c r="F337">
        <f>FIND(".", tblPassengerNames[[#This Row],[Name]])</f>
        <v>13</v>
      </c>
      <c r="G337" t="e">
        <f>FIND("(", tblPassengerNames[[#This Row],[Name]])</f>
        <v>#VALUE!</v>
      </c>
      <c r="H337" t="e">
        <f>FIND(")", tblPassengerNames[[#This Row],[Name]])</f>
        <v>#VALUE!</v>
      </c>
      <c r="I337">
        <f>IFERROR(tblPassengerNames[[#This Row],[OpenParPos]] - 2, LEN(tblPassengerNames[[#This Row],[Name]]))</f>
        <v>29</v>
      </c>
      <c r="J337" t="str">
        <f>MID(tblPassengerNames[[#This Row],[Name]], tblPassengerNames[[#This Row],[DotPos]] + 2, tblPassengerNames[[#This Row],[EndOfConvFNPos]] - tblPassengerNames[[#This Row],[DotPos]] - 1)</f>
        <v>Frederick James</v>
      </c>
      <c r="K337" t="e">
        <f>MID(tblPassengerNames[[#This Row],[Name]], tblPassengerNames[[#This Row],[OpenParPos]] + 1, tblPassengerNames[[#This Row],[CloseParPos]] - tblPassengerNames[[#This Row],[OpenParPos]] - 1)</f>
        <v>#VALUE!</v>
      </c>
      <c r="L337" t="e">
        <f>IF(AND(LEFT(tblPassengerNames[[#This Row],[InParentheses]], 1) = "'", RIGHT(tblPassengerNames[[#This Row],[InParentheses]], 1) = "'"),
    #VALUE!,
    tblPassengerNames[[#This Row],[InParentheses]]
)</f>
        <v>#VALUE!</v>
      </c>
      <c r="M337" t="e">
        <f>LEN(tblPassengerNames[[#This Row],[InParenthesesCleaned]]) - LEN(SUBSTITUTE(tblPassengerNames[[#This Row],[InParenthesesCleaned]], " ", ""))</f>
        <v>#VALUE!</v>
      </c>
      <c r="N337" t="e">
        <f>FIND("@", SUBSTITUTE(tblPassengerNames[[#This Row],[InParenthesesCleaned]], " ", "@", tblPassengerNames[[#This Row],[P_NSpaces]]))</f>
        <v>#VALUE!</v>
      </c>
      <c r="O337" t="e">
        <f>IF(tblPassengerNames[[#This Row],[P_NSpaces]] = 0,
    tblPassengerNames[[#This Row],[InParenthesesCleaned]],
    LEFT(tblPassengerNames[[#This Row],[InParenthesesCleaned]], tblPassengerNames[[#This Row],[P_FinalSpacePos]] - 1)
)</f>
        <v>#VALUE!</v>
      </c>
      <c r="P337" t="str">
        <f>IFERROR(tblPassengerNames[[#This Row],[P_Forenames]], tblPassengerNames[[#This Row],[ConvForenames]])</f>
        <v>Frederick James</v>
      </c>
      <c r="Q337" t="str">
        <f>MID(tblPassengerNames[[#This Row],[Name]], tblPassengerNames[[#This Row],[CommaPos]] + 2, tblPassengerNames[[#This Row],[DotPos]] - tblPassengerNames[[#This Row],[CommaPos]] - 1)</f>
        <v>Mr.</v>
      </c>
      <c r="R337" t="str">
        <f>LEFT(tblPassengerNames[[#This Row],[Name]], tblPassengerNames[[#This Row],[CommaPos]] - 1)</f>
        <v>Banfield</v>
      </c>
    </row>
    <row r="338" spans="2:18" x14ac:dyDescent="0.25">
      <c r="B338" s="21">
        <v>336</v>
      </c>
      <c r="C338" s="21" t="s">
        <v>472</v>
      </c>
      <c r="D338" s="21" t="s">
        <v>138</v>
      </c>
      <c r="E338">
        <f>FIND(",", tblPassengerNames[[#This Row],[Name]])</f>
        <v>8</v>
      </c>
      <c r="F338">
        <f>FIND(".", tblPassengerNames[[#This Row],[Name]])</f>
        <v>13</v>
      </c>
      <c r="G338" t="e">
        <f>FIND("(", tblPassengerNames[[#This Row],[Name]])</f>
        <v>#VALUE!</v>
      </c>
      <c r="H338" t="e">
        <f>FIND(")", tblPassengerNames[[#This Row],[Name]])</f>
        <v>#VALUE!</v>
      </c>
      <c r="I338">
        <f>IFERROR(tblPassengerNames[[#This Row],[OpenParPos]] - 2, LEN(tblPassengerNames[[#This Row],[Name]]))</f>
        <v>26</v>
      </c>
      <c r="J338" t="str">
        <f>MID(tblPassengerNames[[#This Row],[Name]], tblPassengerNames[[#This Row],[DotPos]] + 2, tblPassengerNames[[#This Row],[EndOfConvFNPos]] - tblPassengerNames[[#This Row],[DotPos]] - 1)</f>
        <v>Robert James</v>
      </c>
      <c r="K338" t="e">
        <f>MID(tblPassengerNames[[#This Row],[Name]], tblPassengerNames[[#This Row],[OpenParPos]] + 1, tblPassengerNames[[#This Row],[CloseParPos]] - tblPassengerNames[[#This Row],[OpenParPos]] - 1)</f>
        <v>#VALUE!</v>
      </c>
      <c r="L338" t="e">
        <f>IF(AND(LEFT(tblPassengerNames[[#This Row],[InParentheses]], 1) = "'", RIGHT(tblPassengerNames[[#This Row],[InParentheses]], 1) = "'"),
    #VALUE!,
    tblPassengerNames[[#This Row],[InParentheses]]
)</f>
        <v>#VALUE!</v>
      </c>
      <c r="M338" t="e">
        <f>LEN(tblPassengerNames[[#This Row],[InParenthesesCleaned]]) - LEN(SUBSTITUTE(tblPassengerNames[[#This Row],[InParenthesesCleaned]], " ", ""))</f>
        <v>#VALUE!</v>
      </c>
      <c r="N338" t="e">
        <f>FIND("@", SUBSTITUTE(tblPassengerNames[[#This Row],[InParenthesesCleaned]], " ", "@", tblPassengerNames[[#This Row],[P_NSpaces]]))</f>
        <v>#VALUE!</v>
      </c>
      <c r="O338" t="e">
        <f>IF(tblPassengerNames[[#This Row],[P_NSpaces]] = 0,
    tblPassengerNames[[#This Row],[InParenthesesCleaned]],
    LEFT(tblPassengerNames[[#This Row],[InParenthesesCleaned]], tblPassengerNames[[#This Row],[P_FinalSpacePos]] - 1)
)</f>
        <v>#VALUE!</v>
      </c>
      <c r="P338" t="str">
        <f>IFERROR(tblPassengerNames[[#This Row],[P_Forenames]], tblPassengerNames[[#This Row],[ConvForenames]])</f>
        <v>Robert James</v>
      </c>
      <c r="Q338" t="str">
        <f>MID(tblPassengerNames[[#This Row],[Name]], tblPassengerNames[[#This Row],[CommaPos]] + 2, tblPassengerNames[[#This Row],[DotPos]] - tblPassengerNames[[#This Row],[CommaPos]] - 1)</f>
        <v>Rev.</v>
      </c>
      <c r="R338" t="str">
        <f>LEFT(tblPassengerNames[[#This Row],[Name]], tblPassengerNames[[#This Row],[CommaPos]] - 1)</f>
        <v>Bateman</v>
      </c>
    </row>
    <row r="339" spans="2:18" x14ac:dyDescent="0.25">
      <c r="B339" s="21">
        <v>337</v>
      </c>
      <c r="C339" s="21" t="s">
        <v>473</v>
      </c>
      <c r="D339" s="21" t="s">
        <v>138</v>
      </c>
      <c r="E339">
        <f>FIND(",", tblPassengerNames[[#This Row],[Name]])</f>
        <v>6</v>
      </c>
      <c r="F339">
        <f>FIND(".", tblPassengerNames[[#This Row],[Name]])</f>
        <v>10</v>
      </c>
      <c r="G339" t="e">
        <f>FIND("(", tblPassengerNames[[#This Row],[Name]])</f>
        <v>#VALUE!</v>
      </c>
      <c r="H339" t="e">
        <f>FIND(")", tblPassengerNames[[#This Row],[Name]])</f>
        <v>#VALUE!</v>
      </c>
      <c r="I339">
        <f>IFERROR(tblPassengerNames[[#This Row],[OpenParPos]] - 2, LEN(tblPassengerNames[[#This Row],[Name]]))</f>
        <v>17</v>
      </c>
      <c r="J339" t="str">
        <f>MID(tblPassengerNames[[#This Row],[Name]], tblPassengerNames[[#This Row],[DotPos]] + 2, tblPassengerNames[[#This Row],[EndOfConvFNPos]] - tblPassengerNames[[#This Row],[DotPos]] - 1)</f>
        <v>Edward</v>
      </c>
      <c r="K339" t="e">
        <f>MID(tblPassengerNames[[#This Row],[Name]], tblPassengerNames[[#This Row],[OpenParPos]] + 1, tblPassengerNames[[#This Row],[CloseParPos]] - tblPassengerNames[[#This Row],[OpenParPos]] - 1)</f>
        <v>#VALUE!</v>
      </c>
      <c r="L339" t="e">
        <f>IF(AND(LEFT(tblPassengerNames[[#This Row],[InParentheses]], 1) = "'", RIGHT(tblPassengerNames[[#This Row],[InParentheses]], 1) = "'"),
    #VALUE!,
    tblPassengerNames[[#This Row],[InParentheses]]
)</f>
        <v>#VALUE!</v>
      </c>
      <c r="M339" t="e">
        <f>LEN(tblPassengerNames[[#This Row],[InParenthesesCleaned]]) - LEN(SUBSTITUTE(tblPassengerNames[[#This Row],[InParenthesesCleaned]], " ", ""))</f>
        <v>#VALUE!</v>
      </c>
      <c r="N339" t="e">
        <f>FIND("@", SUBSTITUTE(tblPassengerNames[[#This Row],[InParenthesesCleaned]], " ", "@", tblPassengerNames[[#This Row],[P_NSpaces]]))</f>
        <v>#VALUE!</v>
      </c>
      <c r="O339" t="e">
        <f>IF(tblPassengerNames[[#This Row],[P_NSpaces]] = 0,
    tblPassengerNames[[#This Row],[InParenthesesCleaned]],
    LEFT(tblPassengerNames[[#This Row],[InParenthesesCleaned]], tblPassengerNames[[#This Row],[P_FinalSpacePos]] - 1)
)</f>
        <v>#VALUE!</v>
      </c>
      <c r="P339" t="str">
        <f>IFERROR(tblPassengerNames[[#This Row],[P_Forenames]], tblPassengerNames[[#This Row],[ConvForenames]])</f>
        <v>Edward</v>
      </c>
      <c r="Q339" t="str">
        <f>MID(tblPassengerNames[[#This Row],[Name]], tblPassengerNames[[#This Row],[CommaPos]] + 2, tblPassengerNames[[#This Row],[DotPos]] - tblPassengerNames[[#This Row],[CommaPos]] - 1)</f>
        <v>Mr.</v>
      </c>
      <c r="R339" t="str">
        <f>LEFT(tblPassengerNames[[#This Row],[Name]], tblPassengerNames[[#This Row],[CommaPos]] - 1)</f>
        <v>Beane</v>
      </c>
    </row>
    <row r="340" spans="2:18" x14ac:dyDescent="0.25">
      <c r="B340" s="21">
        <v>338</v>
      </c>
      <c r="C340" s="21" t="s">
        <v>474</v>
      </c>
      <c r="D340" s="21" t="s">
        <v>136</v>
      </c>
      <c r="E340">
        <f>FIND(",", tblPassengerNames[[#This Row],[Name]])</f>
        <v>6</v>
      </c>
      <c r="F340">
        <f>FIND(".", tblPassengerNames[[#This Row],[Name]])</f>
        <v>11</v>
      </c>
      <c r="G340">
        <f>FIND("(", tblPassengerNames[[#This Row],[Name]])</f>
        <v>20</v>
      </c>
      <c r="H340">
        <f>FIND(")", tblPassengerNames[[#This Row],[Name]])</f>
        <v>33</v>
      </c>
      <c r="I340">
        <f>IFERROR(tblPassengerNames[[#This Row],[OpenParPos]] - 2, LEN(tblPassengerNames[[#This Row],[Name]]))</f>
        <v>18</v>
      </c>
      <c r="J340" t="str">
        <f>MID(tblPassengerNames[[#This Row],[Name]], tblPassengerNames[[#This Row],[DotPos]] + 2, tblPassengerNames[[#This Row],[EndOfConvFNPos]] - tblPassengerNames[[#This Row],[DotPos]] - 1)</f>
        <v>Edward</v>
      </c>
      <c r="K340" t="str">
        <f>MID(tblPassengerNames[[#This Row],[Name]], tblPassengerNames[[#This Row],[OpenParPos]] + 1, tblPassengerNames[[#This Row],[CloseParPos]] - tblPassengerNames[[#This Row],[OpenParPos]] - 1)</f>
        <v>Ethel Clarke</v>
      </c>
      <c r="L340" t="str">
        <f>IF(AND(LEFT(tblPassengerNames[[#This Row],[InParentheses]], 1) = "'", RIGHT(tblPassengerNames[[#This Row],[InParentheses]], 1) = "'"),
    #VALUE!,
    tblPassengerNames[[#This Row],[InParentheses]]
)</f>
        <v>Ethel Clarke</v>
      </c>
      <c r="M340">
        <f>LEN(tblPassengerNames[[#This Row],[InParenthesesCleaned]]) - LEN(SUBSTITUTE(tblPassengerNames[[#This Row],[InParenthesesCleaned]], " ", ""))</f>
        <v>1</v>
      </c>
      <c r="N340">
        <f>FIND("@", SUBSTITUTE(tblPassengerNames[[#This Row],[InParenthesesCleaned]], " ", "@", tblPassengerNames[[#This Row],[P_NSpaces]]))</f>
        <v>6</v>
      </c>
      <c r="O340" t="str">
        <f>IF(tblPassengerNames[[#This Row],[P_NSpaces]] = 0,
    tblPassengerNames[[#This Row],[InParenthesesCleaned]],
    LEFT(tblPassengerNames[[#This Row],[InParenthesesCleaned]], tblPassengerNames[[#This Row],[P_FinalSpacePos]] - 1)
)</f>
        <v>Ethel</v>
      </c>
      <c r="P340" t="str">
        <f>IFERROR(tblPassengerNames[[#This Row],[P_Forenames]], tblPassengerNames[[#This Row],[ConvForenames]])</f>
        <v>Ethel</v>
      </c>
      <c r="Q340" t="str">
        <f>MID(tblPassengerNames[[#This Row],[Name]], tblPassengerNames[[#This Row],[CommaPos]] + 2, tblPassengerNames[[#This Row],[DotPos]] - tblPassengerNames[[#This Row],[CommaPos]] - 1)</f>
        <v>Mrs.</v>
      </c>
      <c r="R340" t="str">
        <f>LEFT(tblPassengerNames[[#This Row],[Name]], tblPassengerNames[[#This Row],[CommaPos]] - 1)</f>
        <v>Beane</v>
      </c>
    </row>
    <row r="341" spans="2:18" x14ac:dyDescent="0.25">
      <c r="B341" s="21">
        <v>339</v>
      </c>
      <c r="C341" s="21" t="s">
        <v>475</v>
      </c>
      <c r="D341" s="21" t="s">
        <v>138</v>
      </c>
      <c r="E341">
        <f>FIND(",", tblPassengerNames[[#This Row],[Name]])</f>
        <v>10</v>
      </c>
      <c r="F341">
        <f>FIND(".", tblPassengerNames[[#This Row],[Name]])</f>
        <v>14</v>
      </c>
      <c r="G341" t="e">
        <f>FIND("(", tblPassengerNames[[#This Row],[Name]])</f>
        <v>#VALUE!</v>
      </c>
      <c r="H341" t="e">
        <f>FIND(")", tblPassengerNames[[#This Row],[Name]])</f>
        <v>#VALUE!</v>
      </c>
      <c r="I341">
        <f>IFERROR(tblPassengerNames[[#This Row],[OpenParPos]] - 2, LEN(tblPassengerNames[[#This Row],[Name]]))</f>
        <v>26</v>
      </c>
      <c r="J341" t="str">
        <f>MID(tblPassengerNames[[#This Row],[Name]], tblPassengerNames[[#This Row],[DotPos]] + 2, tblPassengerNames[[#This Row],[EndOfConvFNPos]] - tblPassengerNames[[#This Row],[DotPos]] - 1)</f>
        <v>Henry James</v>
      </c>
      <c r="K341" t="e">
        <f>MID(tblPassengerNames[[#This Row],[Name]], tblPassengerNames[[#This Row],[OpenParPos]] + 1, tblPassengerNames[[#This Row],[CloseParPos]] - tblPassengerNames[[#This Row],[OpenParPos]] - 1)</f>
        <v>#VALUE!</v>
      </c>
      <c r="L341" t="e">
        <f>IF(AND(LEFT(tblPassengerNames[[#This Row],[InParentheses]], 1) = "'", RIGHT(tblPassengerNames[[#This Row],[InParentheses]], 1) = "'"),
    #VALUE!,
    tblPassengerNames[[#This Row],[InParentheses]]
)</f>
        <v>#VALUE!</v>
      </c>
      <c r="M341" t="e">
        <f>LEN(tblPassengerNames[[#This Row],[InParenthesesCleaned]]) - LEN(SUBSTITUTE(tblPassengerNames[[#This Row],[InParenthesesCleaned]], " ", ""))</f>
        <v>#VALUE!</v>
      </c>
      <c r="N341" t="e">
        <f>FIND("@", SUBSTITUTE(tblPassengerNames[[#This Row],[InParenthesesCleaned]], " ", "@", tblPassengerNames[[#This Row],[P_NSpaces]]))</f>
        <v>#VALUE!</v>
      </c>
      <c r="O341" t="e">
        <f>IF(tblPassengerNames[[#This Row],[P_NSpaces]] = 0,
    tblPassengerNames[[#This Row],[InParenthesesCleaned]],
    LEFT(tblPassengerNames[[#This Row],[InParenthesesCleaned]], tblPassengerNames[[#This Row],[P_FinalSpacePos]] - 1)
)</f>
        <v>#VALUE!</v>
      </c>
      <c r="P341" t="str">
        <f>IFERROR(tblPassengerNames[[#This Row],[P_Forenames]], tblPassengerNames[[#This Row],[ConvForenames]])</f>
        <v>Henry James</v>
      </c>
      <c r="Q341" t="str">
        <f>MID(tblPassengerNames[[#This Row],[Name]], tblPassengerNames[[#This Row],[CommaPos]] + 2, tblPassengerNames[[#This Row],[DotPos]] - tblPassengerNames[[#This Row],[CommaPos]] - 1)</f>
        <v>Mr.</v>
      </c>
      <c r="R341" t="str">
        <f>LEFT(tblPassengerNames[[#This Row],[Name]], tblPassengerNames[[#This Row],[CommaPos]] - 1)</f>
        <v>Beauchamp</v>
      </c>
    </row>
    <row r="342" spans="2:18" x14ac:dyDescent="0.25">
      <c r="B342" s="21">
        <v>340</v>
      </c>
      <c r="C342" s="21" t="s">
        <v>476</v>
      </c>
      <c r="D342" s="21" t="s">
        <v>138</v>
      </c>
      <c r="E342">
        <f>FIND(",", tblPassengerNames[[#This Row],[Name]])</f>
        <v>7</v>
      </c>
      <c r="F342">
        <f>FIND(".", tblPassengerNames[[#This Row],[Name]])</f>
        <v>15</v>
      </c>
      <c r="G342" t="e">
        <f>FIND("(", tblPassengerNames[[#This Row],[Name]])</f>
        <v>#VALUE!</v>
      </c>
      <c r="H342" t="e">
        <f>FIND(")", tblPassengerNames[[#This Row],[Name]])</f>
        <v>#VALUE!</v>
      </c>
      <c r="I342">
        <f>IFERROR(tblPassengerNames[[#This Row],[OpenParPos]] - 2, LEN(tblPassengerNames[[#This Row],[Name]]))</f>
        <v>25</v>
      </c>
      <c r="J342" t="str">
        <f>MID(tblPassengerNames[[#This Row],[Name]], tblPassengerNames[[#This Row],[DotPos]] + 2, tblPassengerNames[[#This Row],[EndOfConvFNPos]] - tblPassengerNames[[#This Row],[DotPos]] - 1)</f>
        <v>Richard F</v>
      </c>
      <c r="K342" t="e">
        <f>MID(tblPassengerNames[[#This Row],[Name]], tblPassengerNames[[#This Row],[OpenParPos]] + 1, tblPassengerNames[[#This Row],[CloseParPos]] - tblPassengerNames[[#This Row],[OpenParPos]] - 1)</f>
        <v>#VALUE!</v>
      </c>
      <c r="L342" t="e">
        <f>IF(AND(LEFT(tblPassengerNames[[#This Row],[InParentheses]], 1) = "'", RIGHT(tblPassengerNames[[#This Row],[InParentheses]], 1) = "'"),
    #VALUE!,
    tblPassengerNames[[#This Row],[InParentheses]]
)</f>
        <v>#VALUE!</v>
      </c>
      <c r="M342" t="e">
        <f>LEN(tblPassengerNames[[#This Row],[InParenthesesCleaned]]) - LEN(SUBSTITUTE(tblPassengerNames[[#This Row],[InParenthesesCleaned]], " ", ""))</f>
        <v>#VALUE!</v>
      </c>
      <c r="N342" t="e">
        <f>FIND("@", SUBSTITUTE(tblPassengerNames[[#This Row],[InParenthesesCleaned]], " ", "@", tblPassengerNames[[#This Row],[P_NSpaces]]))</f>
        <v>#VALUE!</v>
      </c>
      <c r="O342" t="e">
        <f>IF(tblPassengerNames[[#This Row],[P_NSpaces]] = 0,
    tblPassengerNames[[#This Row],[InParenthesesCleaned]],
    LEFT(tblPassengerNames[[#This Row],[InParenthesesCleaned]], tblPassengerNames[[#This Row],[P_FinalSpacePos]] - 1)
)</f>
        <v>#VALUE!</v>
      </c>
      <c r="P342" t="str">
        <f>IFERROR(tblPassengerNames[[#This Row],[P_Forenames]], tblPassengerNames[[#This Row],[ConvForenames]])</f>
        <v>Richard F</v>
      </c>
      <c r="Q342" t="str">
        <f>MID(tblPassengerNames[[#This Row],[Name]], tblPassengerNames[[#This Row],[CommaPos]] + 2, tblPassengerNames[[#This Row],[DotPos]] - tblPassengerNames[[#This Row],[CommaPos]] - 1)</f>
        <v>Master.</v>
      </c>
      <c r="R342" t="str">
        <f>LEFT(tblPassengerNames[[#This Row],[Name]], tblPassengerNames[[#This Row],[CommaPos]] - 1)</f>
        <v>Becker</v>
      </c>
    </row>
    <row r="343" spans="2:18" x14ac:dyDescent="0.25">
      <c r="B343" s="21">
        <v>341</v>
      </c>
      <c r="C343" s="21" t="s">
        <v>477</v>
      </c>
      <c r="D343" s="21" t="s">
        <v>136</v>
      </c>
      <c r="E343">
        <f>FIND(",", tblPassengerNames[[#This Row],[Name]])</f>
        <v>7</v>
      </c>
      <c r="F343">
        <f>FIND(".", tblPassengerNames[[#This Row],[Name]])</f>
        <v>13</v>
      </c>
      <c r="G343" t="e">
        <f>FIND("(", tblPassengerNames[[#This Row],[Name]])</f>
        <v>#VALUE!</v>
      </c>
      <c r="H343" t="e">
        <f>FIND(")", tblPassengerNames[[#This Row],[Name]])</f>
        <v>#VALUE!</v>
      </c>
      <c r="I343">
        <f>IFERROR(tblPassengerNames[[#This Row],[OpenParPos]] - 2, LEN(tblPassengerNames[[#This Row],[Name]]))</f>
        <v>27</v>
      </c>
      <c r="J343" t="str">
        <f>MID(tblPassengerNames[[#This Row],[Name]], tblPassengerNames[[#This Row],[DotPos]] + 2, tblPassengerNames[[#This Row],[EndOfConvFNPos]] - tblPassengerNames[[#This Row],[DotPos]] - 1)</f>
        <v>Marion Louise</v>
      </c>
      <c r="K343" t="e">
        <f>MID(tblPassengerNames[[#This Row],[Name]], tblPassengerNames[[#This Row],[OpenParPos]] + 1, tblPassengerNames[[#This Row],[CloseParPos]] - tblPassengerNames[[#This Row],[OpenParPos]] - 1)</f>
        <v>#VALUE!</v>
      </c>
      <c r="L343" t="e">
        <f>IF(AND(LEFT(tblPassengerNames[[#This Row],[InParentheses]], 1) = "'", RIGHT(tblPassengerNames[[#This Row],[InParentheses]], 1) = "'"),
    #VALUE!,
    tblPassengerNames[[#This Row],[InParentheses]]
)</f>
        <v>#VALUE!</v>
      </c>
      <c r="M343" t="e">
        <f>LEN(tblPassengerNames[[#This Row],[InParenthesesCleaned]]) - LEN(SUBSTITUTE(tblPassengerNames[[#This Row],[InParenthesesCleaned]], " ", ""))</f>
        <v>#VALUE!</v>
      </c>
      <c r="N343" t="e">
        <f>FIND("@", SUBSTITUTE(tblPassengerNames[[#This Row],[InParenthesesCleaned]], " ", "@", tblPassengerNames[[#This Row],[P_NSpaces]]))</f>
        <v>#VALUE!</v>
      </c>
      <c r="O343" t="e">
        <f>IF(tblPassengerNames[[#This Row],[P_NSpaces]] = 0,
    tblPassengerNames[[#This Row],[InParenthesesCleaned]],
    LEFT(tblPassengerNames[[#This Row],[InParenthesesCleaned]], tblPassengerNames[[#This Row],[P_FinalSpacePos]] - 1)
)</f>
        <v>#VALUE!</v>
      </c>
      <c r="P343" t="str">
        <f>IFERROR(tblPassengerNames[[#This Row],[P_Forenames]], tblPassengerNames[[#This Row],[ConvForenames]])</f>
        <v>Marion Louise</v>
      </c>
      <c r="Q343" t="str">
        <f>MID(tblPassengerNames[[#This Row],[Name]], tblPassengerNames[[#This Row],[CommaPos]] + 2, tblPassengerNames[[#This Row],[DotPos]] - tblPassengerNames[[#This Row],[CommaPos]] - 1)</f>
        <v>Miss.</v>
      </c>
      <c r="R343" t="str">
        <f>LEFT(tblPassengerNames[[#This Row],[Name]], tblPassengerNames[[#This Row],[CommaPos]] - 1)</f>
        <v>Becker</v>
      </c>
    </row>
    <row r="344" spans="2:18" x14ac:dyDescent="0.25">
      <c r="B344" s="21">
        <v>342</v>
      </c>
      <c r="C344" s="21" t="s">
        <v>478</v>
      </c>
      <c r="D344" s="21" t="s">
        <v>136</v>
      </c>
      <c r="E344">
        <f>FIND(",", tblPassengerNames[[#This Row],[Name]])</f>
        <v>7</v>
      </c>
      <c r="F344">
        <f>FIND(".", tblPassengerNames[[#This Row],[Name]])</f>
        <v>13</v>
      </c>
      <c r="G344" t="e">
        <f>FIND("(", tblPassengerNames[[#This Row],[Name]])</f>
        <v>#VALUE!</v>
      </c>
      <c r="H344" t="e">
        <f>FIND(")", tblPassengerNames[[#This Row],[Name]])</f>
        <v>#VALUE!</v>
      </c>
      <c r="I344">
        <f>IFERROR(tblPassengerNames[[#This Row],[OpenParPos]] - 2, LEN(tblPassengerNames[[#This Row],[Name]]))</f>
        <v>28</v>
      </c>
      <c r="J344" t="str">
        <f>MID(tblPassengerNames[[#This Row],[Name]], tblPassengerNames[[#This Row],[DotPos]] + 2, tblPassengerNames[[#This Row],[EndOfConvFNPos]] - tblPassengerNames[[#This Row],[DotPos]] - 1)</f>
        <v>Ruth Elizabeth</v>
      </c>
      <c r="K344" t="e">
        <f>MID(tblPassengerNames[[#This Row],[Name]], tblPassengerNames[[#This Row],[OpenParPos]] + 1, tblPassengerNames[[#This Row],[CloseParPos]] - tblPassengerNames[[#This Row],[OpenParPos]] - 1)</f>
        <v>#VALUE!</v>
      </c>
      <c r="L344" t="e">
        <f>IF(AND(LEFT(tblPassengerNames[[#This Row],[InParentheses]], 1) = "'", RIGHT(tblPassengerNames[[#This Row],[InParentheses]], 1) = "'"),
    #VALUE!,
    tblPassengerNames[[#This Row],[InParentheses]]
)</f>
        <v>#VALUE!</v>
      </c>
      <c r="M344" t="e">
        <f>LEN(tblPassengerNames[[#This Row],[InParenthesesCleaned]]) - LEN(SUBSTITUTE(tblPassengerNames[[#This Row],[InParenthesesCleaned]], " ", ""))</f>
        <v>#VALUE!</v>
      </c>
      <c r="N344" t="e">
        <f>FIND("@", SUBSTITUTE(tblPassengerNames[[#This Row],[InParenthesesCleaned]], " ", "@", tblPassengerNames[[#This Row],[P_NSpaces]]))</f>
        <v>#VALUE!</v>
      </c>
      <c r="O344" t="e">
        <f>IF(tblPassengerNames[[#This Row],[P_NSpaces]] = 0,
    tblPassengerNames[[#This Row],[InParenthesesCleaned]],
    LEFT(tblPassengerNames[[#This Row],[InParenthesesCleaned]], tblPassengerNames[[#This Row],[P_FinalSpacePos]] - 1)
)</f>
        <v>#VALUE!</v>
      </c>
      <c r="P344" t="str">
        <f>IFERROR(tblPassengerNames[[#This Row],[P_Forenames]], tblPassengerNames[[#This Row],[ConvForenames]])</f>
        <v>Ruth Elizabeth</v>
      </c>
      <c r="Q344" t="str">
        <f>MID(tblPassengerNames[[#This Row],[Name]], tblPassengerNames[[#This Row],[CommaPos]] + 2, tblPassengerNames[[#This Row],[DotPos]] - tblPassengerNames[[#This Row],[CommaPos]] - 1)</f>
        <v>Miss.</v>
      </c>
      <c r="R344" t="str">
        <f>LEFT(tblPassengerNames[[#This Row],[Name]], tblPassengerNames[[#This Row],[CommaPos]] - 1)</f>
        <v>Becker</v>
      </c>
    </row>
    <row r="345" spans="2:18" x14ac:dyDescent="0.25">
      <c r="B345" s="21">
        <v>343</v>
      </c>
      <c r="C345" s="21" t="s">
        <v>479</v>
      </c>
      <c r="D345" s="21" t="s">
        <v>136</v>
      </c>
      <c r="E345">
        <f>FIND(",", tblPassengerNames[[#This Row],[Name]])</f>
        <v>7</v>
      </c>
      <c r="F345">
        <f>FIND(".", tblPassengerNames[[#This Row],[Name]])</f>
        <v>12</v>
      </c>
      <c r="G345">
        <f>FIND("(", tblPassengerNames[[#This Row],[Name]])</f>
        <v>27</v>
      </c>
      <c r="H345">
        <f>FIND(")", tblPassengerNames[[#This Row],[Name]])</f>
        <v>48</v>
      </c>
      <c r="I345">
        <f>IFERROR(tblPassengerNames[[#This Row],[OpenParPos]] - 2, LEN(tblPassengerNames[[#This Row],[Name]]))</f>
        <v>25</v>
      </c>
      <c r="J345" t="str">
        <f>MID(tblPassengerNames[[#This Row],[Name]], tblPassengerNames[[#This Row],[DotPos]] + 2, tblPassengerNames[[#This Row],[EndOfConvFNPos]] - tblPassengerNames[[#This Row],[DotPos]] - 1)</f>
        <v>Allen Oliver</v>
      </c>
      <c r="K345" t="str">
        <f>MID(tblPassengerNames[[#This Row],[Name]], tblPassengerNames[[#This Row],[OpenParPos]] + 1, tblPassengerNames[[#This Row],[CloseParPos]] - tblPassengerNames[[#This Row],[OpenParPos]] - 1)</f>
        <v>Nellie E Baumgardner</v>
      </c>
      <c r="L345" t="str">
        <f>IF(AND(LEFT(tblPassengerNames[[#This Row],[InParentheses]], 1) = "'", RIGHT(tblPassengerNames[[#This Row],[InParentheses]], 1) = "'"),
    #VALUE!,
    tblPassengerNames[[#This Row],[InParentheses]]
)</f>
        <v>Nellie E Baumgardner</v>
      </c>
      <c r="M345">
        <f>LEN(tblPassengerNames[[#This Row],[InParenthesesCleaned]]) - LEN(SUBSTITUTE(tblPassengerNames[[#This Row],[InParenthesesCleaned]], " ", ""))</f>
        <v>2</v>
      </c>
      <c r="N345">
        <f>FIND("@", SUBSTITUTE(tblPassengerNames[[#This Row],[InParenthesesCleaned]], " ", "@", tblPassengerNames[[#This Row],[P_NSpaces]]))</f>
        <v>9</v>
      </c>
      <c r="O345" t="str">
        <f>IF(tblPassengerNames[[#This Row],[P_NSpaces]] = 0,
    tblPassengerNames[[#This Row],[InParenthesesCleaned]],
    LEFT(tblPassengerNames[[#This Row],[InParenthesesCleaned]], tblPassengerNames[[#This Row],[P_FinalSpacePos]] - 1)
)</f>
        <v>Nellie E</v>
      </c>
      <c r="P345" t="str">
        <f>IFERROR(tblPassengerNames[[#This Row],[P_Forenames]], tblPassengerNames[[#This Row],[ConvForenames]])</f>
        <v>Nellie E</v>
      </c>
      <c r="Q345" t="str">
        <f>MID(tblPassengerNames[[#This Row],[Name]], tblPassengerNames[[#This Row],[CommaPos]] + 2, tblPassengerNames[[#This Row],[DotPos]] - tblPassengerNames[[#This Row],[CommaPos]] - 1)</f>
        <v>Mrs.</v>
      </c>
      <c r="R345" t="str">
        <f>LEFT(tblPassengerNames[[#This Row],[Name]], tblPassengerNames[[#This Row],[CommaPos]] - 1)</f>
        <v>Becker</v>
      </c>
    </row>
    <row r="346" spans="2:18" x14ac:dyDescent="0.25">
      <c r="B346" s="21">
        <v>344</v>
      </c>
      <c r="C346" s="21" t="s">
        <v>480</v>
      </c>
      <c r="D346" s="21" t="s">
        <v>138</v>
      </c>
      <c r="E346">
        <f>FIND(",", tblPassengerNames[[#This Row],[Name]])</f>
        <v>8</v>
      </c>
      <c r="F346">
        <f>FIND(".", tblPassengerNames[[#This Row],[Name]])</f>
        <v>12</v>
      </c>
      <c r="G346" t="e">
        <f>FIND("(", tblPassengerNames[[#This Row],[Name]])</f>
        <v>#VALUE!</v>
      </c>
      <c r="H346" t="e">
        <f>FIND(")", tblPassengerNames[[#This Row],[Name]])</f>
        <v>#VALUE!</v>
      </c>
      <c r="I346">
        <f>IFERROR(tblPassengerNames[[#This Row],[OpenParPos]] - 2, LEN(tblPassengerNames[[#This Row],[Name]]))</f>
        <v>21</v>
      </c>
      <c r="J346" t="str">
        <f>MID(tblPassengerNames[[#This Row],[Name]], tblPassengerNames[[#This Row],[DotPos]] + 2, tblPassengerNames[[#This Row],[EndOfConvFNPos]] - tblPassengerNames[[#This Row],[DotPos]] - 1)</f>
        <v>Lawrence</v>
      </c>
      <c r="K346" t="e">
        <f>MID(tblPassengerNames[[#This Row],[Name]], tblPassengerNames[[#This Row],[OpenParPos]] + 1, tblPassengerNames[[#This Row],[CloseParPos]] - tblPassengerNames[[#This Row],[OpenParPos]] - 1)</f>
        <v>#VALUE!</v>
      </c>
      <c r="L346" t="e">
        <f>IF(AND(LEFT(tblPassengerNames[[#This Row],[InParentheses]], 1) = "'", RIGHT(tblPassengerNames[[#This Row],[InParentheses]], 1) = "'"),
    #VALUE!,
    tblPassengerNames[[#This Row],[InParentheses]]
)</f>
        <v>#VALUE!</v>
      </c>
      <c r="M346" t="e">
        <f>LEN(tblPassengerNames[[#This Row],[InParenthesesCleaned]]) - LEN(SUBSTITUTE(tblPassengerNames[[#This Row],[InParenthesesCleaned]], " ", ""))</f>
        <v>#VALUE!</v>
      </c>
      <c r="N346" t="e">
        <f>FIND("@", SUBSTITUTE(tblPassengerNames[[#This Row],[InParenthesesCleaned]], " ", "@", tblPassengerNames[[#This Row],[P_NSpaces]]))</f>
        <v>#VALUE!</v>
      </c>
      <c r="O346" t="e">
        <f>IF(tblPassengerNames[[#This Row],[P_NSpaces]] = 0,
    tblPassengerNames[[#This Row],[InParenthesesCleaned]],
    LEFT(tblPassengerNames[[#This Row],[InParenthesesCleaned]], tblPassengerNames[[#This Row],[P_FinalSpacePos]] - 1)
)</f>
        <v>#VALUE!</v>
      </c>
      <c r="P346" t="str">
        <f>IFERROR(tblPassengerNames[[#This Row],[P_Forenames]], tblPassengerNames[[#This Row],[ConvForenames]])</f>
        <v>Lawrence</v>
      </c>
      <c r="Q346" t="str">
        <f>MID(tblPassengerNames[[#This Row],[Name]], tblPassengerNames[[#This Row],[CommaPos]] + 2, tblPassengerNames[[#This Row],[DotPos]] - tblPassengerNames[[#This Row],[CommaPos]] - 1)</f>
        <v>Mr.</v>
      </c>
      <c r="R346" t="str">
        <f>LEFT(tblPassengerNames[[#This Row],[Name]], tblPassengerNames[[#This Row],[CommaPos]] - 1)</f>
        <v>Beesley</v>
      </c>
    </row>
    <row r="347" spans="2:18" x14ac:dyDescent="0.25">
      <c r="B347" s="21">
        <v>345</v>
      </c>
      <c r="C347" s="21" t="s">
        <v>481</v>
      </c>
      <c r="D347" s="21" t="s">
        <v>136</v>
      </c>
      <c r="E347">
        <f>FIND(",", tblPassengerNames[[#This Row],[Name]])</f>
        <v>8</v>
      </c>
      <c r="F347">
        <f>FIND(".", tblPassengerNames[[#This Row],[Name]])</f>
        <v>14</v>
      </c>
      <c r="G347" t="e">
        <f>FIND("(", tblPassengerNames[[#This Row],[Name]])</f>
        <v>#VALUE!</v>
      </c>
      <c r="H347" t="e">
        <f>FIND(")", tblPassengerNames[[#This Row],[Name]])</f>
        <v>#VALUE!</v>
      </c>
      <c r="I347">
        <f>IFERROR(tblPassengerNames[[#This Row],[OpenParPos]] - 2, LEN(tblPassengerNames[[#This Row],[Name]]))</f>
        <v>23</v>
      </c>
      <c r="J347" t="str">
        <f>MID(tblPassengerNames[[#This Row],[Name]], tblPassengerNames[[#This Row],[DotPos]] + 2, tblPassengerNames[[#This Row],[EndOfConvFNPos]] - tblPassengerNames[[#This Row],[DotPos]] - 1)</f>
        <v>Lilian W</v>
      </c>
      <c r="K347" t="e">
        <f>MID(tblPassengerNames[[#This Row],[Name]], tblPassengerNames[[#This Row],[OpenParPos]] + 1, tblPassengerNames[[#This Row],[CloseParPos]] - tblPassengerNames[[#This Row],[OpenParPos]] - 1)</f>
        <v>#VALUE!</v>
      </c>
      <c r="L347" t="e">
        <f>IF(AND(LEFT(tblPassengerNames[[#This Row],[InParentheses]], 1) = "'", RIGHT(tblPassengerNames[[#This Row],[InParentheses]], 1) = "'"),
    #VALUE!,
    tblPassengerNames[[#This Row],[InParentheses]]
)</f>
        <v>#VALUE!</v>
      </c>
      <c r="M347" t="e">
        <f>LEN(tblPassengerNames[[#This Row],[InParenthesesCleaned]]) - LEN(SUBSTITUTE(tblPassengerNames[[#This Row],[InParenthesesCleaned]], " ", ""))</f>
        <v>#VALUE!</v>
      </c>
      <c r="N347" t="e">
        <f>FIND("@", SUBSTITUTE(tblPassengerNames[[#This Row],[InParenthesesCleaned]], " ", "@", tblPassengerNames[[#This Row],[P_NSpaces]]))</f>
        <v>#VALUE!</v>
      </c>
      <c r="O347" t="e">
        <f>IF(tblPassengerNames[[#This Row],[P_NSpaces]] = 0,
    tblPassengerNames[[#This Row],[InParenthesesCleaned]],
    LEFT(tblPassengerNames[[#This Row],[InParenthesesCleaned]], tblPassengerNames[[#This Row],[P_FinalSpacePos]] - 1)
)</f>
        <v>#VALUE!</v>
      </c>
      <c r="P347" t="str">
        <f>IFERROR(tblPassengerNames[[#This Row],[P_Forenames]], tblPassengerNames[[#This Row],[ConvForenames]])</f>
        <v>Lilian W</v>
      </c>
      <c r="Q347" t="str">
        <f>MID(tblPassengerNames[[#This Row],[Name]], tblPassengerNames[[#This Row],[CommaPos]] + 2, tblPassengerNames[[#This Row],[DotPos]] - tblPassengerNames[[#This Row],[CommaPos]] - 1)</f>
        <v>Miss.</v>
      </c>
      <c r="R347" t="str">
        <f>LEFT(tblPassengerNames[[#This Row],[Name]], tblPassengerNames[[#This Row],[CommaPos]] - 1)</f>
        <v>Bentham</v>
      </c>
    </row>
    <row r="348" spans="2:18" x14ac:dyDescent="0.25">
      <c r="B348" s="21">
        <v>346</v>
      </c>
      <c r="C348" s="21" t="s">
        <v>482</v>
      </c>
      <c r="D348" s="21" t="s">
        <v>138</v>
      </c>
      <c r="E348">
        <f>FIND(",", tblPassengerNames[[#This Row],[Name]])</f>
        <v>9</v>
      </c>
      <c r="F348">
        <f>FIND(".", tblPassengerNames[[#This Row],[Name]])</f>
        <v>13</v>
      </c>
      <c r="G348" t="e">
        <f>FIND("(", tblPassengerNames[[#This Row],[Name]])</f>
        <v>#VALUE!</v>
      </c>
      <c r="H348" t="e">
        <f>FIND(")", tblPassengerNames[[#This Row],[Name]])</f>
        <v>#VALUE!</v>
      </c>
      <c r="I348">
        <f>IFERROR(tblPassengerNames[[#This Row],[OpenParPos]] - 2, LEN(tblPassengerNames[[#This Row],[Name]]))</f>
        <v>26</v>
      </c>
      <c r="J348" t="str">
        <f>MID(tblPassengerNames[[#This Row],[Name]], tblPassengerNames[[#This Row],[DotPos]] + 2, tblPassengerNames[[#This Row],[EndOfConvFNPos]] - tblPassengerNames[[#This Row],[DotPos]] - 1)</f>
        <v>William John</v>
      </c>
      <c r="K348" t="e">
        <f>MID(tblPassengerNames[[#This Row],[Name]], tblPassengerNames[[#This Row],[OpenParPos]] + 1, tblPassengerNames[[#This Row],[CloseParPos]] - tblPassengerNames[[#This Row],[OpenParPos]] - 1)</f>
        <v>#VALUE!</v>
      </c>
      <c r="L348" t="e">
        <f>IF(AND(LEFT(tblPassengerNames[[#This Row],[InParentheses]], 1) = "'", RIGHT(tblPassengerNames[[#This Row],[InParentheses]], 1) = "'"),
    #VALUE!,
    tblPassengerNames[[#This Row],[InParentheses]]
)</f>
        <v>#VALUE!</v>
      </c>
      <c r="M348" t="e">
        <f>LEN(tblPassengerNames[[#This Row],[InParenthesesCleaned]]) - LEN(SUBSTITUTE(tblPassengerNames[[#This Row],[InParenthesesCleaned]], " ", ""))</f>
        <v>#VALUE!</v>
      </c>
      <c r="N348" t="e">
        <f>FIND("@", SUBSTITUTE(tblPassengerNames[[#This Row],[InParenthesesCleaned]], " ", "@", tblPassengerNames[[#This Row],[P_NSpaces]]))</f>
        <v>#VALUE!</v>
      </c>
      <c r="O348" t="e">
        <f>IF(tblPassengerNames[[#This Row],[P_NSpaces]] = 0,
    tblPassengerNames[[#This Row],[InParenthesesCleaned]],
    LEFT(tblPassengerNames[[#This Row],[InParenthesesCleaned]], tblPassengerNames[[#This Row],[P_FinalSpacePos]] - 1)
)</f>
        <v>#VALUE!</v>
      </c>
      <c r="P348" t="str">
        <f>IFERROR(tblPassengerNames[[#This Row],[P_Forenames]], tblPassengerNames[[#This Row],[ConvForenames]])</f>
        <v>William John</v>
      </c>
      <c r="Q348" t="str">
        <f>MID(tblPassengerNames[[#This Row],[Name]], tblPassengerNames[[#This Row],[CommaPos]] + 2, tblPassengerNames[[#This Row],[DotPos]] - tblPassengerNames[[#This Row],[CommaPos]] - 1)</f>
        <v>Mr.</v>
      </c>
      <c r="R348" t="str">
        <f>LEFT(tblPassengerNames[[#This Row],[Name]], tblPassengerNames[[#This Row],[CommaPos]] - 1)</f>
        <v>Berriman</v>
      </c>
    </row>
    <row r="349" spans="2:18" x14ac:dyDescent="0.25">
      <c r="B349" s="21">
        <v>347</v>
      </c>
      <c r="C349" s="21" t="s">
        <v>483</v>
      </c>
      <c r="D349" s="21" t="s">
        <v>138</v>
      </c>
      <c r="E349">
        <f>FIND(",", tblPassengerNames[[#This Row],[Name]])</f>
        <v>9</v>
      </c>
      <c r="F349">
        <f>FIND(".", tblPassengerNames[[#This Row],[Name]])</f>
        <v>13</v>
      </c>
      <c r="G349" t="e">
        <f>FIND("(", tblPassengerNames[[#This Row],[Name]])</f>
        <v>#VALUE!</v>
      </c>
      <c r="H349" t="e">
        <f>FIND(")", tblPassengerNames[[#This Row],[Name]])</f>
        <v>#VALUE!</v>
      </c>
      <c r="I349">
        <f>IFERROR(tblPassengerNames[[#This Row],[OpenParPos]] - 2, LEN(tblPassengerNames[[#This Row],[Name]]))</f>
        <v>26</v>
      </c>
      <c r="J349" t="str">
        <f>MID(tblPassengerNames[[#This Row],[Name]], tblPassengerNames[[#This Row],[DotPos]] + 2, tblPassengerNames[[#This Row],[EndOfConvFNPos]] - tblPassengerNames[[#This Row],[DotPos]] - 1)</f>
        <v>William Hull</v>
      </c>
      <c r="K349" t="e">
        <f>MID(tblPassengerNames[[#This Row],[Name]], tblPassengerNames[[#This Row],[OpenParPos]] + 1, tblPassengerNames[[#This Row],[CloseParPos]] - tblPassengerNames[[#This Row],[OpenParPos]] - 1)</f>
        <v>#VALUE!</v>
      </c>
      <c r="L349" t="e">
        <f>IF(AND(LEFT(tblPassengerNames[[#This Row],[InParentheses]], 1) = "'", RIGHT(tblPassengerNames[[#This Row],[InParentheses]], 1) = "'"),
    #VALUE!,
    tblPassengerNames[[#This Row],[InParentheses]]
)</f>
        <v>#VALUE!</v>
      </c>
      <c r="M349" t="e">
        <f>LEN(tblPassengerNames[[#This Row],[InParenthesesCleaned]]) - LEN(SUBSTITUTE(tblPassengerNames[[#This Row],[InParenthesesCleaned]], " ", ""))</f>
        <v>#VALUE!</v>
      </c>
      <c r="N349" t="e">
        <f>FIND("@", SUBSTITUTE(tblPassengerNames[[#This Row],[InParenthesesCleaned]], " ", "@", tblPassengerNames[[#This Row],[P_NSpaces]]))</f>
        <v>#VALUE!</v>
      </c>
      <c r="O349" t="e">
        <f>IF(tblPassengerNames[[#This Row],[P_NSpaces]] = 0,
    tblPassengerNames[[#This Row],[InParenthesesCleaned]],
    LEFT(tblPassengerNames[[#This Row],[InParenthesesCleaned]], tblPassengerNames[[#This Row],[P_FinalSpacePos]] - 1)
)</f>
        <v>#VALUE!</v>
      </c>
      <c r="P349" t="str">
        <f>IFERROR(tblPassengerNames[[#This Row],[P_Forenames]], tblPassengerNames[[#This Row],[ConvForenames]])</f>
        <v>William Hull</v>
      </c>
      <c r="Q349" t="str">
        <f>MID(tblPassengerNames[[#This Row],[Name]], tblPassengerNames[[#This Row],[CommaPos]] + 2, tblPassengerNames[[#This Row],[DotPos]] - tblPassengerNames[[#This Row],[CommaPos]] - 1)</f>
        <v>Mr.</v>
      </c>
      <c r="R349" t="str">
        <f>LEFT(tblPassengerNames[[#This Row],[Name]], tblPassengerNames[[#This Row],[CommaPos]] - 1)</f>
        <v>Botsford</v>
      </c>
    </row>
    <row r="350" spans="2:18" x14ac:dyDescent="0.25">
      <c r="B350" s="21">
        <v>348</v>
      </c>
      <c r="C350" s="21" t="s">
        <v>484</v>
      </c>
      <c r="D350" s="21" t="s">
        <v>138</v>
      </c>
      <c r="E350">
        <f>FIND(",", tblPassengerNames[[#This Row],[Name]])</f>
        <v>8</v>
      </c>
      <c r="F350">
        <f>FIND(".", tblPassengerNames[[#This Row],[Name]])</f>
        <v>12</v>
      </c>
      <c r="G350" t="e">
        <f>FIND("(", tblPassengerNames[[#This Row],[Name]])</f>
        <v>#VALUE!</v>
      </c>
      <c r="H350" t="e">
        <f>FIND(")", tblPassengerNames[[#This Row],[Name]])</f>
        <v>#VALUE!</v>
      </c>
      <c r="I350">
        <f>IFERROR(tblPassengerNames[[#This Row],[OpenParPos]] - 2, LEN(tblPassengerNames[[#This Row],[Name]]))</f>
        <v>20</v>
      </c>
      <c r="J350" t="str">
        <f>MID(tblPassengerNames[[#This Row],[Name]], tblPassengerNames[[#This Row],[DotPos]] + 2, tblPassengerNames[[#This Row],[EndOfConvFNPos]] - tblPassengerNames[[#This Row],[DotPos]] - 1)</f>
        <v>Solomon</v>
      </c>
      <c r="K350" t="e">
        <f>MID(tblPassengerNames[[#This Row],[Name]], tblPassengerNames[[#This Row],[OpenParPos]] + 1, tblPassengerNames[[#This Row],[CloseParPos]] - tblPassengerNames[[#This Row],[OpenParPos]] - 1)</f>
        <v>#VALUE!</v>
      </c>
      <c r="L350" t="e">
        <f>IF(AND(LEFT(tblPassengerNames[[#This Row],[InParentheses]], 1) = "'", RIGHT(tblPassengerNames[[#This Row],[InParentheses]], 1) = "'"),
    #VALUE!,
    tblPassengerNames[[#This Row],[InParentheses]]
)</f>
        <v>#VALUE!</v>
      </c>
      <c r="M350" t="e">
        <f>LEN(tblPassengerNames[[#This Row],[InParenthesesCleaned]]) - LEN(SUBSTITUTE(tblPassengerNames[[#This Row],[InParenthesesCleaned]], " ", ""))</f>
        <v>#VALUE!</v>
      </c>
      <c r="N350" t="e">
        <f>FIND("@", SUBSTITUTE(tblPassengerNames[[#This Row],[InParenthesesCleaned]], " ", "@", tblPassengerNames[[#This Row],[P_NSpaces]]))</f>
        <v>#VALUE!</v>
      </c>
      <c r="O350" t="e">
        <f>IF(tblPassengerNames[[#This Row],[P_NSpaces]] = 0,
    tblPassengerNames[[#This Row],[InParenthesesCleaned]],
    LEFT(tblPassengerNames[[#This Row],[InParenthesesCleaned]], tblPassengerNames[[#This Row],[P_FinalSpacePos]] - 1)
)</f>
        <v>#VALUE!</v>
      </c>
      <c r="P350" t="str">
        <f>IFERROR(tblPassengerNames[[#This Row],[P_Forenames]], tblPassengerNames[[#This Row],[ConvForenames]])</f>
        <v>Solomon</v>
      </c>
      <c r="Q350" t="str">
        <f>MID(tblPassengerNames[[#This Row],[Name]], tblPassengerNames[[#This Row],[CommaPos]] + 2, tblPassengerNames[[#This Row],[DotPos]] - tblPassengerNames[[#This Row],[CommaPos]] - 1)</f>
        <v>Mr.</v>
      </c>
      <c r="R350" t="str">
        <f>LEFT(tblPassengerNames[[#This Row],[Name]], tblPassengerNames[[#This Row],[CommaPos]] - 1)</f>
        <v>Bowenur</v>
      </c>
    </row>
    <row r="351" spans="2:18" x14ac:dyDescent="0.25">
      <c r="B351" s="21">
        <v>349</v>
      </c>
      <c r="C351" s="21" t="s">
        <v>485</v>
      </c>
      <c r="D351" s="21" t="s">
        <v>138</v>
      </c>
      <c r="E351">
        <f>FIND(",", tblPassengerNames[[#This Row],[Name]])</f>
        <v>8</v>
      </c>
      <c r="F351">
        <f>FIND(".", tblPassengerNames[[#This Row],[Name]])</f>
        <v>12</v>
      </c>
      <c r="G351" t="e">
        <f>FIND("(", tblPassengerNames[[#This Row],[Name]])</f>
        <v>#VALUE!</v>
      </c>
      <c r="H351" t="e">
        <f>FIND(")", tblPassengerNames[[#This Row],[Name]])</f>
        <v>#VALUE!</v>
      </c>
      <c r="I351">
        <f>IFERROR(tblPassengerNames[[#This Row],[OpenParPos]] - 2, LEN(tblPassengerNames[[#This Row],[Name]]))</f>
        <v>20</v>
      </c>
      <c r="J351" t="str">
        <f>MID(tblPassengerNames[[#This Row],[Name]], tblPassengerNames[[#This Row],[DotPos]] + 2, tblPassengerNames[[#This Row],[EndOfConvFNPos]] - tblPassengerNames[[#This Row],[DotPos]] - 1)</f>
        <v>James H</v>
      </c>
      <c r="K351" t="e">
        <f>MID(tblPassengerNames[[#This Row],[Name]], tblPassengerNames[[#This Row],[OpenParPos]] + 1, tblPassengerNames[[#This Row],[CloseParPos]] - tblPassengerNames[[#This Row],[OpenParPos]] - 1)</f>
        <v>#VALUE!</v>
      </c>
      <c r="L351" t="e">
        <f>IF(AND(LEFT(tblPassengerNames[[#This Row],[InParentheses]], 1) = "'", RIGHT(tblPassengerNames[[#This Row],[InParentheses]], 1) = "'"),
    #VALUE!,
    tblPassengerNames[[#This Row],[InParentheses]]
)</f>
        <v>#VALUE!</v>
      </c>
      <c r="M351" t="e">
        <f>LEN(tblPassengerNames[[#This Row],[InParenthesesCleaned]]) - LEN(SUBSTITUTE(tblPassengerNames[[#This Row],[InParenthesesCleaned]], " ", ""))</f>
        <v>#VALUE!</v>
      </c>
      <c r="N351" t="e">
        <f>FIND("@", SUBSTITUTE(tblPassengerNames[[#This Row],[InParenthesesCleaned]], " ", "@", tblPassengerNames[[#This Row],[P_NSpaces]]))</f>
        <v>#VALUE!</v>
      </c>
      <c r="O351" t="e">
        <f>IF(tblPassengerNames[[#This Row],[P_NSpaces]] = 0,
    tblPassengerNames[[#This Row],[InParenthesesCleaned]],
    LEFT(tblPassengerNames[[#This Row],[InParenthesesCleaned]], tblPassengerNames[[#This Row],[P_FinalSpacePos]] - 1)
)</f>
        <v>#VALUE!</v>
      </c>
      <c r="P351" t="str">
        <f>IFERROR(tblPassengerNames[[#This Row],[P_Forenames]], tblPassengerNames[[#This Row],[ConvForenames]])</f>
        <v>James H</v>
      </c>
      <c r="Q351" t="str">
        <f>MID(tblPassengerNames[[#This Row],[Name]], tblPassengerNames[[#This Row],[CommaPos]] + 2, tblPassengerNames[[#This Row],[DotPos]] - tblPassengerNames[[#This Row],[CommaPos]] - 1)</f>
        <v>Mr.</v>
      </c>
      <c r="R351" t="str">
        <f>LEFT(tblPassengerNames[[#This Row],[Name]], tblPassengerNames[[#This Row],[CommaPos]] - 1)</f>
        <v>Bracken</v>
      </c>
    </row>
    <row r="352" spans="2:18" x14ac:dyDescent="0.25">
      <c r="B352" s="21">
        <v>350</v>
      </c>
      <c r="C352" s="21" t="s">
        <v>486</v>
      </c>
      <c r="D352" s="21" t="s">
        <v>136</v>
      </c>
      <c r="E352">
        <f>FIND(",", tblPassengerNames[[#This Row],[Name]])</f>
        <v>6</v>
      </c>
      <c r="F352">
        <f>FIND(".", tblPassengerNames[[#This Row],[Name]])</f>
        <v>12</v>
      </c>
      <c r="G352" t="e">
        <f>FIND("(", tblPassengerNames[[#This Row],[Name]])</f>
        <v>#VALUE!</v>
      </c>
      <c r="H352" t="e">
        <f>FIND(")", tblPassengerNames[[#This Row],[Name]])</f>
        <v>#VALUE!</v>
      </c>
      <c r="I352">
        <f>IFERROR(tblPassengerNames[[#This Row],[OpenParPos]] - 2, LEN(tblPassengerNames[[#This Row],[Name]]))</f>
        <v>29</v>
      </c>
      <c r="J352" t="str">
        <f>MID(tblPassengerNames[[#This Row],[Name]], tblPassengerNames[[#This Row],[DotPos]] + 2, tblPassengerNames[[#This Row],[EndOfConvFNPos]] - tblPassengerNames[[#This Row],[DotPos]] - 1)</f>
        <v>Amelia 'Mildred'</v>
      </c>
      <c r="K352" t="e">
        <f>MID(tblPassengerNames[[#This Row],[Name]], tblPassengerNames[[#This Row],[OpenParPos]] + 1, tblPassengerNames[[#This Row],[CloseParPos]] - tblPassengerNames[[#This Row],[OpenParPos]] - 1)</f>
        <v>#VALUE!</v>
      </c>
      <c r="L352" t="e">
        <f>IF(AND(LEFT(tblPassengerNames[[#This Row],[InParentheses]], 1) = "'", RIGHT(tblPassengerNames[[#This Row],[InParentheses]], 1) = "'"),
    #VALUE!,
    tblPassengerNames[[#This Row],[InParentheses]]
)</f>
        <v>#VALUE!</v>
      </c>
      <c r="M352" t="e">
        <f>LEN(tblPassengerNames[[#This Row],[InParenthesesCleaned]]) - LEN(SUBSTITUTE(tblPassengerNames[[#This Row],[InParenthesesCleaned]], " ", ""))</f>
        <v>#VALUE!</v>
      </c>
      <c r="N352" t="e">
        <f>FIND("@", SUBSTITUTE(tblPassengerNames[[#This Row],[InParenthesesCleaned]], " ", "@", tblPassengerNames[[#This Row],[P_NSpaces]]))</f>
        <v>#VALUE!</v>
      </c>
      <c r="O352" t="e">
        <f>IF(tblPassengerNames[[#This Row],[P_NSpaces]] = 0,
    tblPassengerNames[[#This Row],[InParenthesesCleaned]],
    LEFT(tblPassengerNames[[#This Row],[InParenthesesCleaned]], tblPassengerNames[[#This Row],[P_FinalSpacePos]] - 1)
)</f>
        <v>#VALUE!</v>
      </c>
      <c r="P352" t="str">
        <f>IFERROR(tblPassengerNames[[#This Row],[P_Forenames]], tblPassengerNames[[#This Row],[ConvForenames]])</f>
        <v>Amelia 'Mildred'</v>
      </c>
      <c r="Q352" t="str">
        <f>MID(tblPassengerNames[[#This Row],[Name]], tblPassengerNames[[#This Row],[CommaPos]] + 2, tblPassengerNames[[#This Row],[DotPos]] - tblPassengerNames[[#This Row],[CommaPos]] - 1)</f>
        <v>Miss.</v>
      </c>
      <c r="R352" t="str">
        <f>LEFT(tblPassengerNames[[#This Row],[Name]], tblPassengerNames[[#This Row],[CommaPos]] - 1)</f>
        <v>Brown</v>
      </c>
    </row>
    <row r="353" spans="2:18" x14ac:dyDescent="0.25">
      <c r="B353" s="21">
        <v>351</v>
      </c>
      <c r="C353" s="21" t="s">
        <v>487</v>
      </c>
      <c r="D353" s="21" t="s">
        <v>136</v>
      </c>
      <c r="E353">
        <f>FIND(",", tblPassengerNames[[#This Row],[Name]])</f>
        <v>6</v>
      </c>
      <c r="F353">
        <f>FIND(".", tblPassengerNames[[#This Row],[Name]])</f>
        <v>12</v>
      </c>
      <c r="G353" t="e">
        <f>FIND("(", tblPassengerNames[[#This Row],[Name]])</f>
        <v>#VALUE!</v>
      </c>
      <c r="H353" t="e">
        <f>FIND(")", tblPassengerNames[[#This Row],[Name]])</f>
        <v>#VALUE!</v>
      </c>
      <c r="I353">
        <f>IFERROR(tblPassengerNames[[#This Row],[OpenParPos]] - 2, LEN(tblPassengerNames[[#This Row],[Name]]))</f>
        <v>25</v>
      </c>
      <c r="J353" t="str">
        <f>MID(tblPassengerNames[[#This Row],[Name]], tblPassengerNames[[#This Row],[DotPos]] + 2, tblPassengerNames[[#This Row],[EndOfConvFNPos]] - tblPassengerNames[[#This Row],[DotPos]] - 1)</f>
        <v>Edith Eileen</v>
      </c>
      <c r="K353" t="e">
        <f>MID(tblPassengerNames[[#This Row],[Name]], tblPassengerNames[[#This Row],[OpenParPos]] + 1, tblPassengerNames[[#This Row],[CloseParPos]] - tblPassengerNames[[#This Row],[OpenParPos]] - 1)</f>
        <v>#VALUE!</v>
      </c>
      <c r="L353" t="e">
        <f>IF(AND(LEFT(tblPassengerNames[[#This Row],[InParentheses]], 1) = "'", RIGHT(tblPassengerNames[[#This Row],[InParentheses]], 1) = "'"),
    #VALUE!,
    tblPassengerNames[[#This Row],[InParentheses]]
)</f>
        <v>#VALUE!</v>
      </c>
      <c r="M353" t="e">
        <f>LEN(tblPassengerNames[[#This Row],[InParenthesesCleaned]]) - LEN(SUBSTITUTE(tblPassengerNames[[#This Row],[InParenthesesCleaned]], " ", ""))</f>
        <v>#VALUE!</v>
      </c>
      <c r="N353" t="e">
        <f>FIND("@", SUBSTITUTE(tblPassengerNames[[#This Row],[InParenthesesCleaned]], " ", "@", tblPassengerNames[[#This Row],[P_NSpaces]]))</f>
        <v>#VALUE!</v>
      </c>
      <c r="O353" t="e">
        <f>IF(tblPassengerNames[[#This Row],[P_NSpaces]] = 0,
    tblPassengerNames[[#This Row],[InParenthesesCleaned]],
    LEFT(tblPassengerNames[[#This Row],[InParenthesesCleaned]], tblPassengerNames[[#This Row],[P_FinalSpacePos]] - 1)
)</f>
        <v>#VALUE!</v>
      </c>
      <c r="P353" t="str">
        <f>IFERROR(tblPassengerNames[[#This Row],[P_Forenames]], tblPassengerNames[[#This Row],[ConvForenames]])</f>
        <v>Edith Eileen</v>
      </c>
      <c r="Q353" t="str">
        <f>MID(tblPassengerNames[[#This Row],[Name]], tblPassengerNames[[#This Row],[CommaPos]] + 2, tblPassengerNames[[#This Row],[DotPos]] - tblPassengerNames[[#This Row],[CommaPos]] - 1)</f>
        <v>Miss.</v>
      </c>
      <c r="R353" t="str">
        <f>LEFT(tblPassengerNames[[#This Row],[Name]], tblPassengerNames[[#This Row],[CommaPos]] - 1)</f>
        <v>Brown</v>
      </c>
    </row>
    <row r="354" spans="2:18" x14ac:dyDescent="0.25">
      <c r="B354" s="21">
        <v>352</v>
      </c>
      <c r="C354" s="21" t="s">
        <v>488</v>
      </c>
      <c r="D354" s="21" t="s">
        <v>138</v>
      </c>
      <c r="E354">
        <f>FIND(",", tblPassengerNames[[#This Row],[Name]])</f>
        <v>6</v>
      </c>
      <c r="F354">
        <f>FIND(".", tblPassengerNames[[#This Row],[Name]])</f>
        <v>10</v>
      </c>
      <c r="G354" t="e">
        <f>FIND("(", tblPassengerNames[[#This Row],[Name]])</f>
        <v>#VALUE!</v>
      </c>
      <c r="H354" t="e">
        <f>FIND(")", tblPassengerNames[[#This Row],[Name]])</f>
        <v>#VALUE!</v>
      </c>
      <c r="I354">
        <f>IFERROR(tblPassengerNames[[#This Row],[OpenParPos]] - 2, LEN(tblPassengerNames[[#This Row],[Name]]))</f>
        <v>33</v>
      </c>
      <c r="J354" t="str">
        <f>MID(tblPassengerNames[[#This Row],[Name]], tblPassengerNames[[#This Row],[DotPos]] + 2, tblPassengerNames[[#This Row],[EndOfConvFNPos]] - tblPassengerNames[[#This Row],[DotPos]] - 1)</f>
        <v>Thomas William Solomon</v>
      </c>
      <c r="K354" t="e">
        <f>MID(tblPassengerNames[[#This Row],[Name]], tblPassengerNames[[#This Row],[OpenParPos]] + 1, tblPassengerNames[[#This Row],[CloseParPos]] - tblPassengerNames[[#This Row],[OpenParPos]] - 1)</f>
        <v>#VALUE!</v>
      </c>
      <c r="L354" t="e">
        <f>IF(AND(LEFT(tblPassengerNames[[#This Row],[InParentheses]], 1) = "'", RIGHT(tblPassengerNames[[#This Row],[InParentheses]], 1) = "'"),
    #VALUE!,
    tblPassengerNames[[#This Row],[InParentheses]]
)</f>
        <v>#VALUE!</v>
      </c>
      <c r="M354" t="e">
        <f>LEN(tblPassengerNames[[#This Row],[InParenthesesCleaned]]) - LEN(SUBSTITUTE(tblPassengerNames[[#This Row],[InParenthesesCleaned]], " ", ""))</f>
        <v>#VALUE!</v>
      </c>
      <c r="N354" t="e">
        <f>FIND("@", SUBSTITUTE(tblPassengerNames[[#This Row],[InParenthesesCleaned]], " ", "@", tblPassengerNames[[#This Row],[P_NSpaces]]))</f>
        <v>#VALUE!</v>
      </c>
      <c r="O354" t="e">
        <f>IF(tblPassengerNames[[#This Row],[P_NSpaces]] = 0,
    tblPassengerNames[[#This Row],[InParenthesesCleaned]],
    LEFT(tblPassengerNames[[#This Row],[InParenthesesCleaned]], tblPassengerNames[[#This Row],[P_FinalSpacePos]] - 1)
)</f>
        <v>#VALUE!</v>
      </c>
      <c r="P354" t="str">
        <f>IFERROR(tblPassengerNames[[#This Row],[P_Forenames]], tblPassengerNames[[#This Row],[ConvForenames]])</f>
        <v>Thomas William Solomon</v>
      </c>
      <c r="Q354" t="str">
        <f>MID(tblPassengerNames[[#This Row],[Name]], tblPassengerNames[[#This Row],[CommaPos]] + 2, tblPassengerNames[[#This Row],[DotPos]] - tblPassengerNames[[#This Row],[CommaPos]] - 1)</f>
        <v>Mr.</v>
      </c>
      <c r="R354" t="str">
        <f>LEFT(tblPassengerNames[[#This Row],[Name]], tblPassengerNames[[#This Row],[CommaPos]] - 1)</f>
        <v>Brown</v>
      </c>
    </row>
    <row r="355" spans="2:18" x14ac:dyDescent="0.25">
      <c r="B355" s="21">
        <v>353</v>
      </c>
      <c r="C355" s="21" t="s">
        <v>489</v>
      </c>
      <c r="D355" s="21" t="s">
        <v>136</v>
      </c>
      <c r="E355">
        <f>FIND(",", tblPassengerNames[[#This Row],[Name]])</f>
        <v>6</v>
      </c>
      <c r="F355">
        <f>FIND(".", tblPassengerNames[[#This Row],[Name]])</f>
        <v>11</v>
      </c>
      <c r="G355">
        <f>FIND("(", tblPassengerNames[[#This Row],[Name]])</f>
        <v>36</v>
      </c>
      <c r="H355">
        <f>FIND(")", tblPassengerNames[[#This Row],[Name]])</f>
        <v>61</v>
      </c>
      <c r="I355">
        <f>IFERROR(tblPassengerNames[[#This Row],[OpenParPos]] - 2, LEN(tblPassengerNames[[#This Row],[Name]]))</f>
        <v>34</v>
      </c>
      <c r="J355" t="str">
        <f>MID(tblPassengerNames[[#This Row],[Name]], tblPassengerNames[[#This Row],[DotPos]] + 2, tblPassengerNames[[#This Row],[EndOfConvFNPos]] - tblPassengerNames[[#This Row],[DotPos]] - 1)</f>
        <v>Thomas William Solomon</v>
      </c>
      <c r="K355" t="str">
        <f>MID(tblPassengerNames[[#This Row],[Name]], tblPassengerNames[[#This Row],[OpenParPos]] + 1, tblPassengerNames[[#This Row],[CloseParPos]] - tblPassengerNames[[#This Row],[OpenParPos]] - 1)</f>
        <v>Elizabeth Catherine Ford</v>
      </c>
      <c r="L355" t="str">
        <f>IF(AND(LEFT(tblPassengerNames[[#This Row],[InParentheses]], 1) = "'", RIGHT(tblPassengerNames[[#This Row],[InParentheses]], 1) = "'"),
    #VALUE!,
    tblPassengerNames[[#This Row],[InParentheses]]
)</f>
        <v>Elizabeth Catherine Ford</v>
      </c>
      <c r="M355">
        <f>LEN(tblPassengerNames[[#This Row],[InParenthesesCleaned]]) - LEN(SUBSTITUTE(tblPassengerNames[[#This Row],[InParenthesesCleaned]], " ", ""))</f>
        <v>2</v>
      </c>
      <c r="N355">
        <f>FIND("@", SUBSTITUTE(tblPassengerNames[[#This Row],[InParenthesesCleaned]], " ", "@", tblPassengerNames[[#This Row],[P_NSpaces]]))</f>
        <v>20</v>
      </c>
      <c r="O355" t="str">
        <f>IF(tblPassengerNames[[#This Row],[P_NSpaces]] = 0,
    tblPassengerNames[[#This Row],[InParenthesesCleaned]],
    LEFT(tblPassengerNames[[#This Row],[InParenthesesCleaned]], tblPassengerNames[[#This Row],[P_FinalSpacePos]] - 1)
)</f>
        <v>Elizabeth Catherine</v>
      </c>
      <c r="P355" t="str">
        <f>IFERROR(tblPassengerNames[[#This Row],[P_Forenames]], tblPassengerNames[[#This Row],[ConvForenames]])</f>
        <v>Elizabeth Catherine</v>
      </c>
      <c r="Q355" t="str">
        <f>MID(tblPassengerNames[[#This Row],[Name]], tblPassengerNames[[#This Row],[CommaPos]] + 2, tblPassengerNames[[#This Row],[DotPos]] - tblPassengerNames[[#This Row],[CommaPos]] - 1)</f>
        <v>Mrs.</v>
      </c>
      <c r="R355" t="str">
        <f>LEFT(tblPassengerNames[[#This Row],[Name]], tblPassengerNames[[#This Row],[CommaPos]] - 1)</f>
        <v>Brown</v>
      </c>
    </row>
    <row r="356" spans="2:18" x14ac:dyDescent="0.25">
      <c r="B356" s="21">
        <v>354</v>
      </c>
      <c r="C356" s="21" t="s">
        <v>490</v>
      </c>
      <c r="D356" s="21" t="s">
        <v>136</v>
      </c>
      <c r="E356">
        <f>FIND(",", tblPassengerNames[[#This Row],[Name]])</f>
        <v>6</v>
      </c>
      <c r="F356">
        <f>FIND(".", tblPassengerNames[[#This Row],[Name]])</f>
        <v>12</v>
      </c>
      <c r="G356" t="e">
        <f>FIND("(", tblPassengerNames[[#This Row],[Name]])</f>
        <v>#VALUE!</v>
      </c>
      <c r="H356" t="e">
        <f>FIND(")", tblPassengerNames[[#This Row],[Name]])</f>
        <v>#VALUE!</v>
      </c>
      <c r="I356">
        <f>IFERROR(tblPassengerNames[[#This Row],[OpenParPos]] - 2, LEN(tblPassengerNames[[#This Row],[Name]]))</f>
        <v>34</v>
      </c>
      <c r="J356" t="str">
        <f>MID(tblPassengerNames[[#This Row],[Name]], tblPassengerNames[[#This Row],[DotPos]] + 2, tblPassengerNames[[#This Row],[EndOfConvFNPos]] - tblPassengerNames[[#This Row],[DotPos]] - 1)</f>
        <v>Dagmar Jenny Ingeborg</v>
      </c>
      <c r="K356" t="e">
        <f>MID(tblPassengerNames[[#This Row],[Name]], tblPassengerNames[[#This Row],[OpenParPos]] + 1, tblPassengerNames[[#This Row],[CloseParPos]] - tblPassengerNames[[#This Row],[OpenParPos]] - 1)</f>
        <v>#VALUE!</v>
      </c>
      <c r="L356" t="e">
        <f>IF(AND(LEFT(tblPassengerNames[[#This Row],[InParentheses]], 1) = "'", RIGHT(tblPassengerNames[[#This Row],[InParentheses]], 1) = "'"),
    #VALUE!,
    tblPassengerNames[[#This Row],[InParentheses]]
)</f>
        <v>#VALUE!</v>
      </c>
      <c r="M356" t="e">
        <f>LEN(tblPassengerNames[[#This Row],[InParenthesesCleaned]]) - LEN(SUBSTITUTE(tblPassengerNames[[#This Row],[InParenthesesCleaned]], " ", ""))</f>
        <v>#VALUE!</v>
      </c>
      <c r="N356" t="e">
        <f>FIND("@", SUBSTITUTE(tblPassengerNames[[#This Row],[InParenthesesCleaned]], " ", "@", tblPassengerNames[[#This Row],[P_NSpaces]]))</f>
        <v>#VALUE!</v>
      </c>
      <c r="O356" t="e">
        <f>IF(tblPassengerNames[[#This Row],[P_NSpaces]] = 0,
    tblPassengerNames[[#This Row],[InParenthesesCleaned]],
    LEFT(tblPassengerNames[[#This Row],[InParenthesesCleaned]], tblPassengerNames[[#This Row],[P_FinalSpacePos]] - 1)
)</f>
        <v>#VALUE!</v>
      </c>
      <c r="P356" t="str">
        <f>IFERROR(tblPassengerNames[[#This Row],[P_Forenames]], tblPassengerNames[[#This Row],[ConvForenames]])</f>
        <v>Dagmar Jenny Ingeborg</v>
      </c>
      <c r="Q356" t="str">
        <f>MID(tblPassengerNames[[#This Row],[Name]], tblPassengerNames[[#This Row],[CommaPos]] + 2, tblPassengerNames[[#This Row],[DotPos]] - tblPassengerNames[[#This Row],[CommaPos]] - 1)</f>
        <v>Miss.</v>
      </c>
      <c r="R356" t="str">
        <f>LEFT(tblPassengerNames[[#This Row],[Name]], tblPassengerNames[[#This Row],[CommaPos]] - 1)</f>
        <v>Bryhl</v>
      </c>
    </row>
    <row r="357" spans="2:18" x14ac:dyDescent="0.25">
      <c r="B357" s="21">
        <v>355</v>
      </c>
      <c r="C357" s="21" t="s">
        <v>491</v>
      </c>
      <c r="D357" s="21" t="s">
        <v>138</v>
      </c>
      <c r="E357">
        <f>FIND(",", tblPassengerNames[[#This Row],[Name]])</f>
        <v>6</v>
      </c>
      <c r="F357">
        <f>FIND(".", tblPassengerNames[[#This Row],[Name]])</f>
        <v>10</v>
      </c>
      <c r="G357" t="e">
        <f>FIND("(", tblPassengerNames[[#This Row],[Name]])</f>
        <v>#VALUE!</v>
      </c>
      <c r="H357" t="e">
        <f>FIND(")", tblPassengerNames[[#This Row],[Name]])</f>
        <v>#VALUE!</v>
      </c>
      <c r="I357">
        <f>IFERROR(tblPassengerNames[[#This Row],[OpenParPos]] - 2, LEN(tblPassengerNames[[#This Row],[Name]]))</f>
        <v>31</v>
      </c>
      <c r="J357" t="str">
        <f>MID(tblPassengerNames[[#This Row],[Name]], tblPassengerNames[[#This Row],[DotPos]] + 2, tblPassengerNames[[#This Row],[EndOfConvFNPos]] - tblPassengerNames[[#This Row],[DotPos]] - 1)</f>
        <v>Kurt Arnold Gottfrid</v>
      </c>
      <c r="K357" t="e">
        <f>MID(tblPassengerNames[[#This Row],[Name]], tblPassengerNames[[#This Row],[OpenParPos]] + 1, tblPassengerNames[[#This Row],[CloseParPos]] - tblPassengerNames[[#This Row],[OpenParPos]] - 1)</f>
        <v>#VALUE!</v>
      </c>
      <c r="L357" t="e">
        <f>IF(AND(LEFT(tblPassengerNames[[#This Row],[InParentheses]], 1) = "'", RIGHT(tblPassengerNames[[#This Row],[InParentheses]], 1) = "'"),
    #VALUE!,
    tblPassengerNames[[#This Row],[InParentheses]]
)</f>
        <v>#VALUE!</v>
      </c>
      <c r="M357" t="e">
        <f>LEN(tblPassengerNames[[#This Row],[InParenthesesCleaned]]) - LEN(SUBSTITUTE(tblPassengerNames[[#This Row],[InParenthesesCleaned]], " ", ""))</f>
        <v>#VALUE!</v>
      </c>
      <c r="N357" t="e">
        <f>FIND("@", SUBSTITUTE(tblPassengerNames[[#This Row],[InParenthesesCleaned]], " ", "@", tblPassengerNames[[#This Row],[P_NSpaces]]))</f>
        <v>#VALUE!</v>
      </c>
      <c r="O357" t="e">
        <f>IF(tblPassengerNames[[#This Row],[P_NSpaces]] = 0,
    tblPassengerNames[[#This Row],[InParenthesesCleaned]],
    LEFT(tblPassengerNames[[#This Row],[InParenthesesCleaned]], tblPassengerNames[[#This Row],[P_FinalSpacePos]] - 1)
)</f>
        <v>#VALUE!</v>
      </c>
      <c r="P357" t="str">
        <f>IFERROR(tblPassengerNames[[#This Row],[P_Forenames]], tblPassengerNames[[#This Row],[ConvForenames]])</f>
        <v>Kurt Arnold Gottfrid</v>
      </c>
      <c r="Q357" t="str">
        <f>MID(tblPassengerNames[[#This Row],[Name]], tblPassengerNames[[#This Row],[CommaPos]] + 2, tblPassengerNames[[#This Row],[DotPos]] - tblPassengerNames[[#This Row],[CommaPos]] - 1)</f>
        <v>Mr.</v>
      </c>
      <c r="R357" t="str">
        <f>LEFT(tblPassengerNames[[#This Row],[Name]], tblPassengerNames[[#This Row],[CommaPos]] - 1)</f>
        <v>Bryhl</v>
      </c>
    </row>
    <row r="358" spans="2:18" x14ac:dyDescent="0.25">
      <c r="B358" s="21">
        <v>356</v>
      </c>
      <c r="C358" s="21" t="s">
        <v>492</v>
      </c>
      <c r="D358" s="21" t="s">
        <v>136</v>
      </c>
      <c r="E358">
        <f>FIND(",", tblPassengerNames[[#This Row],[Name]])</f>
        <v>5</v>
      </c>
      <c r="F358">
        <f>FIND(".", tblPassengerNames[[#This Row],[Name]])</f>
        <v>11</v>
      </c>
      <c r="G358" t="e">
        <f>FIND("(", tblPassengerNames[[#This Row],[Name]])</f>
        <v>#VALUE!</v>
      </c>
      <c r="H358" t="e">
        <f>FIND(")", tblPassengerNames[[#This Row],[Name]])</f>
        <v>#VALUE!</v>
      </c>
      <c r="I358">
        <f>IFERROR(tblPassengerNames[[#This Row],[OpenParPos]] - 2, LEN(tblPassengerNames[[#This Row],[Name]]))</f>
        <v>16</v>
      </c>
      <c r="J358" t="str">
        <f>MID(tblPassengerNames[[#This Row],[Name]], tblPassengerNames[[#This Row],[DotPos]] + 2, tblPassengerNames[[#This Row],[EndOfConvFNPos]] - tblPassengerNames[[#This Row],[DotPos]] - 1)</f>
        <v>Kate</v>
      </c>
      <c r="K358" t="e">
        <f>MID(tblPassengerNames[[#This Row],[Name]], tblPassengerNames[[#This Row],[OpenParPos]] + 1, tblPassengerNames[[#This Row],[CloseParPos]] - tblPassengerNames[[#This Row],[OpenParPos]] - 1)</f>
        <v>#VALUE!</v>
      </c>
      <c r="L358" t="e">
        <f>IF(AND(LEFT(tblPassengerNames[[#This Row],[InParentheses]], 1) = "'", RIGHT(tblPassengerNames[[#This Row],[InParentheses]], 1) = "'"),
    #VALUE!,
    tblPassengerNames[[#This Row],[InParentheses]]
)</f>
        <v>#VALUE!</v>
      </c>
      <c r="M358" t="e">
        <f>LEN(tblPassengerNames[[#This Row],[InParenthesesCleaned]]) - LEN(SUBSTITUTE(tblPassengerNames[[#This Row],[InParenthesesCleaned]], " ", ""))</f>
        <v>#VALUE!</v>
      </c>
      <c r="N358" t="e">
        <f>FIND("@", SUBSTITUTE(tblPassengerNames[[#This Row],[InParenthesesCleaned]], " ", "@", tblPassengerNames[[#This Row],[P_NSpaces]]))</f>
        <v>#VALUE!</v>
      </c>
      <c r="O358" t="e">
        <f>IF(tblPassengerNames[[#This Row],[P_NSpaces]] = 0,
    tblPassengerNames[[#This Row],[InParenthesesCleaned]],
    LEFT(tblPassengerNames[[#This Row],[InParenthesesCleaned]], tblPassengerNames[[#This Row],[P_FinalSpacePos]] - 1)
)</f>
        <v>#VALUE!</v>
      </c>
      <c r="P358" t="str">
        <f>IFERROR(tblPassengerNames[[#This Row],[P_Forenames]], tblPassengerNames[[#This Row],[ConvForenames]])</f>
        <v>Kate</v>
      </c>
      <c r="Q358" t="str">
        <f>MID(tblPassengerNames[[#This Row],[Name]], tblPassengerNames[[#This Row],[CommaPos]] + 2, tblPassengerNames[[#This Row],[DotPos]] - tblPassengerNames[[#This Row],[CommaPos]] - 1)</f>
        <v>Miss.</v>
      </c>
      <c r="R358" t="str">
        <f>LEFT(tblPassengerNames[[#This Row],[Name]], tblPassengerNames[[#This Row],[CommaPos]] - 1)</f>
        <v>Buss</v>
      </c>
    </row>
    <row r="359" spans="2:18" x14ac:dyDescent="0.25">
      <c r="B359" s="21">
        <v>357</v>
      </c>
      <c r="C359" s="21" t="s">
        <v>493</v>
      </c>
      <c r="D359" s="21" t="s">
        <v>138</v>
      </c>
      <c r="E359">
        <f>FIND(",", tblPassengerNames[[#This Row],[Name]])</f>
        <v>7</v>
      </c>
      <c r="F359">
        <f>FIND(".", tblPassengerNames[[#This Row],[Name]])</f>
        <v>11</v>
      </c>
      <c r="G359" t="e">
        <f>FIND("(", tblPassengerNames[[#This Row],[Name]])</f>
        <v>#VALUE!</v>
      </c>
      <c r="H359" t="e">
        <f>FIND(")", tblPassengerNames[[#This Row],[Name]])</f>
        <v>#VALUE!</v>
      </c>
      <c r="I359">
        <f>IFERROR(tblPassengerNames[[#This Row],[OpenParPos]] - 2, LEN(tblPassengerNames[[#This Row],[Name]]))</f>
        <v>27</v>
      </c>
      <c r="J359" t="str">
        <f>MID(tblPassengerNames[[#This Row],[Name]], tblPassengerNames[[#This Row],[DotPos]] + 2, tblPassengerNames[[#This Row],[EndOfConvFNPos]] - tblPassengerNames[[#This Row],[DotPos]] - 1)</f>
        <v>Reginald Fenton</v>
      </c>
      <c r="K359" t="e">
        <f>MID(tblPassengerNames[[#This Row],[Name]], tblPassengerNames[[#This Row],[OpenParPos]] + 1, tblPassengerNames[[#This Row],[CloseParPos]] - tblPassengerNames[[#This Row],[OpenParPos]] - 1)</f>
        <v>#VALUE!</v>
      </c>
      <c r="L359" t="e">
        <f>IF(AND(LEFT(tblPassengerNames[[#This Row],[InParentheses]], 1) = "'", RIGHT(tblPassengerNames[[#This Row],[InParentheses]], 1) = "'"),
    #VALUE!,
    tblPassengerNames[[#This Row],[InParentheses]]
)</f>
        <v>#VALUE!</v>
      </c>
      <c r="M359" t="e">
        <f>LEN(tblPassengerNames[[#This Row],[InParenthesesCleaned]]) - LEN(SUBSTITUTE(tblPassengerNames[[#This Row],[InParenthesesCleaned]], " ", ""))</f>
        <v>#VALUE!</v>
      </c>
      <c r="N359" t="e">
        <f>FIND("@", SUBSTITUTE(tblPassengerNames[[#This Row],[InParenthesesCleaned]], " ", "@", tblPassengerNames[[#This Row],[P_NSpaces]]))</f>
        <v>#VALUE!</v>
      </c>
      <c r="O359" t="e">
        <f>IF(tblPassengerNames[[#This Row],[P_NSpaces]] = 0,
    tblPassengerNames[[#This Row],[InParenthesesCleaned]],
    LEFT(tblPassengerNames[[#This Row],[InParenthesesCleaned]], tblPassengerNames[[#This Row],[P_FinalSpacePos]] - 1)
)</f>
        <v>#VALUE!</v>
      </c>
      <c r="P359" t="str">
        <f>IFERROR(tblPassengerNames[[#This Row],[P_Forenames]], tblPassengerNames[[#This Row],[ConvForenames]])</f>
        <v>Reginald Fenton</v>
      </c>
      <c r="Q359" t="str">
        <f>MID(tblPassengerNames[[#This Row],[Name]], tblPassengerNames[[#This Row],[CommaPos]] + 2, tblPassengerNames[[#This Row],[DotPos]] - tblPassengerNames[[#This Row],[CommaPos]] - 1)</f>
        <v>Mr.</v>
      </c>
      <c r="R359" t="str">
        <f>LEFT(tblPassengerNames[[#This Row],[Name]], tblPassengerNames[[#This Row],[CommaPos]] - 1)</f>
        <v>Butler</v>
      </c>
    </row>
    <row r="360" spans="2:18" x14ac:dyDescent="0.25">
      <c r="B360" s="21">
        <v>358</v>
      </c>
      <c r="C360" s="21" t="s">
        <v>494</v>
      </c>
      <c r="D360" s="21" t="s">
        <v>138</v>
      </c>
      <c r="E360">
        <f>FIND(",", tblPassengerNames[[#This Row],[Name]])</f>
        <v>6</v>
      </c>
      <c r="F360">
        <f>FIND(".", tblPassengerNames[[#This Row],[Name]])</f>
        <v>11</v>
      </c>
      <c r="G360" t="e">
        <f>FIND("(", tblPassengerNames[[#This Row],[Name]])</f>
        <v>#VALUE!</v>
      </c>
      <c r="H360" t="e">
        <f>FIND(")", tblPassengerNames[[#This Row],[Name]])</f>
        <v>#VALUE!</v>
      </c>
      <c r="I360">
        <f>IFERROR(tblPassengerNames[[#This Row],[OpenParPos]] - 2, LEN(tblPassengerNames[[#This Row],[Name]]))</f>
        <v>33</v>
      </c>
      <c r="J360" t="str">
        <f>MID(tblPassengerNames[[#This Row],[Name]], tblPassengerNames[[#This Row],[DotPos]] + 2, tblPassengerNames[[#This Row],[EndOfConvFNPos]] - tblPassengerNames[[#This Row],[DotPos]] - 1)</f>
        <v>Thomas Roussel Davids</v>
      </c>
      <c r="K360" t="e">
        <f>MID(tblPassengerNames[[#This Row],[Name]], tblPassengerNames[[#This Row],[OpenParPos]] + 1, tblPassengerNames[[#This Row],[CloseParPos]] - tblPassengerNames[[#This Row],[OpenParPos]] - 1)</f>
        <v>#VALUE!</v>
      </c>
      <c r="L360" t="e">
        <f>IF(AND(LEFT(tblPassengerNames[[#This Row],[InParentheses]], 1) = "'", RIGHT(tblPassengerNames[[#This Row],[InParentheses]], 1) = "'"),
    #VALUE!,
    tblPassengerNames[[#This Row],[InParentheses]]
)</f>
        <v>#VALUE!</v>
      </c>
      <c r="M360" t="e">
        <f>LEN(tblPassengerNames[[#This Row],[InParenthesesCleaned]]) - LEN(SUBSTITUTE(tblPassengerNames[[#This Row],[InParenthesesCleaned]], " ", ""))</f>
        <v>#VALUE!</v>
      </c>
      <c r="N360" t="e">
        <f>FIND("@", SUBSTITUTE(tblPassengerNames[[#This Row],[InParenthesesCleaned]], " ", "@", tblPassengerNames[[#This Row],[P_NSpaces]]))</f>
        <v>#VALUE!</v>
      </c>
      <c r="O360" t="e">
        <f>IF(tblPassengerNames[[#This Row],[P_NSpaces]] = 0,
    tblPassengerNames[[#This Row],[InParenthesesCleaned]],
    LEFT(tblPassengerNames[[#This Row],[InParenthesesCleaned]], tblPassengerNames[[#This Row],[P_FinalSpacePos]] - 1)
)</f>
        <v>#VALUE!</v>
      </c>
      <c r="P360" t="str">
        <f>IFERROR(tblPassengerNames[[#This Row],[P_Forenames]], tblPassengerNames[[#This Row],[ConvForenames]])</f>
        <v>Thomas Roussel Davids</v>
      </c>
      <c r="Q360" t="str">
        <f>MID(tblPassengerNames[[#This Row],[Name]], tblPassengerNames[[#This Row],[CommaPos]] + 2, tblPassengerNames[[#This Row],[DotPos]] - tblPassengerNames[[#This Row],[CommaPos]] - 1)</f>
        <v>Rev.</v>
      </c>
      <c r="R360" t="str">
        <f>LEFT(tblPassengerNames[[#This Row],[Name]], tblPassengerNames[[#This Row],[CommaPos]] - 1)</f>
        <v>Byles</v>
      </c>
    </row>
    <row r="361" spans="2:18" x14ac:dyDescent="0.25">
      <c r="B361" s="21">
        <v>359</v>
      </c>
      <c r="C361" s="21" t="s">
        <v>495</v>
      </c>
      <c r="D361" s="21" t="s">
        <v>136</v>
      </c>
      <c r="E361">
        <f>FIND(",", tblPassengerNames[[#This Row],[Name]])</f>
        <v>8</v>
      </c>
      <c r="F361">
        <f>FIND(".", tblPassengerNames[[#This Row],[Name]])</f>
        <v>13</v>
      </c>
      <c r="G361">
        <f>FIND("(", tblPassengerNames[[#This Row],[Name]])</f>
        <v>15</v>
      </c>
      <c r="H361">
        <f>FIND(")", tblPassengerNames[[#This Row],[Name]])</f>
        <v>24</v>
      </c>
      <c r="I361">
        <f>IFERROR(tblPassengerNames[[#This Row],[OpenParPos]] - 2, LEN(tblPassengerNames[[#This Row],[Name]]))</f>
        <v>13</v>
      </c>
      <c r="J361" t="e">
        <f>MID(tblPassengerNames[[#This Row],[Name]], tblPassengerNames[[#This Row],[DotPos]] + 2, tblPassengerNames[[#This Row],[EndOfConvFNPos]] - tblPassengerNames[[#This Row],[DotPos]] - 1)</f>
        <v>#VALUE!</v>
      </c>
      <c r="K361" t="str">
        <f>MID(tblPassengerNames[[#This Row],[Name]], tblPassengerNames[[#This Row],[OpenParPos]] + 1, tblPassengerNames[[#This Row],[CloseParPos]] - tblPassengerNames[[#This Row],[OpenParPos]] - 1)</f>
        <v>Karolina</v>
      </c>
      <c r="L361" t="str">
        <f>IF(AND(LEFT(tblPassengerNames[[#This Row],[InParentheses]], 1) = "'", RIGHT(tblPassengerNames[[#This Row],[InParentheses]], 1) = "'"),
    #VALUE!,
    tblPassengerNames[[#This Row],[InParentheses]]
)</f>
        <v>Karolina</v>
      </c>
      <c r="M361">
        <f>LEN(tblPassengerNames[[#This Row],[InParenthesesCleaned]]) - LEN(SUBSTITUTE(tblPassengerNames[[#This Row],[InParenthesesCleaned]], " ", ""))</f>
        <v>0</v>
      </c>
      <c r="N361" t="e">
        <f>FIND("@", SUBSTITUTE(tblPassengerNames[[#This Row],[InParenthesesCleaned]], " ", "@", tblPassengerNames[[#This Row],[P_NSpaces]]))</f>
        <v>#VALUE!</v>
      </c>
      <c r="O361" t="str">
        <f>IF(tblPassengerNames[[#This Row],[P_NSpaces]] = 0,
    tblPassengerNames[[#This Row],[InParenthesesCleaned]],
    LEFT(tblPassengerNames[[#This Row],[InParenthesesCleaned]], tblPassengerNames[[#This Row],[P_FinalSpacePos]] - 1)
)</f>
        <v>Karolina</v>
      </c>
      <c r="P361" t="str">
        <f>IFERROR(tblPassengerNames[[#This Row],[P_Forenames]], tblPassengerNames[[#This Row],[ConvForenames]])</f>
        <v>Karolina</v>
      </c>
      <c r="Q361" t="str">
        <f>MID(tblPassengerNames[[#This Row],[Name]], tblPassengerNames[[#This Row],[CommaPos]] + 2, tblPassengerNames[[#This Row],[DotPos]] - tblPassengerNames[[#This Row],[CommaPos]] - 1)</f>
        <v>Mrs.</v>
      </c>
      <c r="R361" t="str">
        <f>LEFT(tblPassengerNames[[#This Row],[Name]], tblPassengerNames[[#This Row],[CommaPos]] - 1)</f>
        <v>Bystrom</v>
      </c>
    </row>
    <row r="362" spans="2:18" x14ac:dyDescent="0.25">
      <c r="B362" s="21">
        <v>360</v>
      </c>
      <c r="C362" s="21" t="s">
        <v>496</v>
      </c>
      <c r="D362" s="21" t="s">
        <v>138</v>
      </c>
      <c r="E362">
        <f>FIND(",", tblPassengerNames[[#This Row],[Name]])</f>
        <v>9</v>
      </c>
      <c r="F362">
        <f>FIND(".", tblPassengerNames[[#This Row],[Name]])</f>
        <v>17</v>
      </c>
      <c r="G362" t="e">
        <f>FIND("(", tblPassengerNames[[#This Row],[Name]])</f>
        <v>#VALUE!</v>
      </c>
      <c r="H362" t="e">
        <f>FIND(")", tblPassengerNames[[#This Row],[Name]])</f>
        <v>#VALUE!</v>
      </c>
      <c r="I362">
        <f>IFERROR(tblPassengerNames[[#This Row],[OpenParPos]] - 2, LEN(tblPassengerNames[[#This Row],[Name]]))</f>
        <v>29</v>
      </c>
      <c r="J362" t="str">
        <f>MID(tblPassengerNames[[#This Row],[Name]], tblPassengerNames[[#This Row],[DotPos]] + 2, tblPassengerNames[[#This Row],[EndOfConvFNPos]] - tblPassengerNames[[#This Row],[DotPos]] - 1)</f>
        <v>Alden Gates</v>
      </c>
      <c r="K362" t="e">
        <f>MID(tblPassengerNames[[#This Row],[Name]], tblPassengerNames[[#This Row],[OpenParPos]] + 1, tblPassengerNames[[#This Row],[CloseParPos]] - tblPassengerNames[[#This Row],[OpenParPos]] - 1)</f>
        <v>#VALUE!</v>
      </c>
      <c r="L362" t="e">
        <f>IF(AND(LEFT(tblPassengerNames[[#This Row],[InParentheses]], 1) = "'", RIGHT(tblPassengerNames[[#This Row],[InParentheses]], 1) = "'"),
    #VALUE!,
    tblPassengerNames[[#This Row],[InParentheses]]
)</f>
        <v>#VALUE!</v>
      </c>
      <c r="M362" t="e">
        <f>LEN(tblPassengerNames[[#This Row],[InParenthesesCleaned]]) - LEN(SUBSTITUTE(tblPassengerNames[[#This Row],[InParenthesesCleaned]], " ", ""))</f>
        <v>#VALUE!</v>
      </c>
      <c r="N362" t="e">
        <f>FIND("@", SUBSTITUTE(tblPassengerNames[[#This Row],[InParenthesesCleaned]], " ", "@", tblPassengerNames[[#This Row],[P_NSpaces]]))</f>
        <v>#VALUE!</v>
      </c>
      <c r="O362" t="e">
        <f>IF(tblPassengerNames[[#This Row],[P_NSpaces]] = 0,
    tblPassengerNames[[#This Row],[InParenthesesCleaned]],
    LEFT(tblPassengerNames[[#This Row],[InParenthesesCleaned]], tblPassengerNames[[#This Row],[P_FinalSpacePos]] - 1)
)</f>
        <v>#VALUE!</v>
      </c>
      <c r="P362" t="str">
        <f>IFERROR(tblPassengerNames[[#This Row],[P_Forenames]], tblPassengerNames[[#This Row],[ConvForenames]])</f>
        <v>Alden Gates</v>
      </c>
      <c r="Q362" t="str">
        <f>MID(tblPassengerNames[[#This Row],[Name]], tblPassengerNames[[#This Row],[CommaPos]] + 2, tblPassengerNames[[#This Row],[DotPos]] - tblPassengerNames[[#This Row],[CommaPos]] - 1)</f>
        <v>Master.</v>
      </c>
      <c r="R362" t="str">
        <f>LEFT(tblPassengerNames[[#This Row],[Name]], tblPassengerNames[[#This Row],[CommaPos]] - 1)</f>
        <v>Caldwell</v>
      </c>
    </row>
    <row r="363" spans="2:18" x14ac:dyDescent="0.25">
      <c r="B363" s="21">
        <v>361</v>
      </c>
      <c r="C363" s="21" t="s">
        <v>497</v>
      </c>
      <c r="D363" s="21" t="s">
        <v>138</v>
      </c>
      <c r="E363">
        <f>FIND(",", tblPassengerNames[[#This Row],[Name]])</f>
        <v>9</v>
      </c>
      <c r="F363">
        <f>FIND(".", tblPassengerNames[[#This Row],[Name]])</f>
        <v>13</v>
      </c>
      <c r="G363" t="e">
        <f>FIND("(", tblPassengerNames[[#This Row],[Name]])</f>
        <v>#VALUE!</v>
      </c>
      <c r="H363" t="e">
        <f>FIND(")", tblPassengerNames[[#This Row],[Name]])</f>
        <v>#VALUE!</v>
      </c>
      <c r="I363">
        <f>IFERROR(tblPassengerNames[[#This Row],[OpenParPos]] - 2, LEN(tblPassengerNames[[#This Row],[Name]]))</f>
        <v>28</v>
      </c>
      <c r="J363" t="str">
        <f>MID(tblPassengerNames[[#This Row],[Name]], tblPassengerNames[[#This Row],[DotPos]] + 2, tblPassengerNames[[#This Row],[EndOfConvFNPos]] - tblPassengerNames[[#This Row],[DotPos]] - 1)</f>
        <v>Albert Francis</v>
      </c>
      <c r="K363" t="e">
        <f>MID(tblPassengerNames[[#This Row],[Name]], tblPassengerNames[[#This Row],[OpenParPos]] + 1, tblPassengerNames[[#This Row],[CloseParPos]] - tblPassengerNames[[#This Row],[OpenParPos]] - 1)</f>
        <v>#VALUE!</v>
      </c>
      <c r="L363" t="e">
        <f>IF(AND(LEFT(tblPassengerNames[[#This Row],[InParentheses]], 1) = "'", RIGHT(tblPassengerNames[[#This Row],[InParentheses]], 1) = "'"),
    #VALUE!,
    tblPassengerNames[[#This Row],[InParentheses]]
)</f>
        <v>#VALUE!</v>
      </c>
      <c r="M363" t="e">
        <f>LEN(tblPassengerNames[[#This Row],[InParenthesesCleaned]]) - LEN(SUBSTITUTE(tblPassengerNames[[#This Row],[InParenthesesCleaned]], " ", ""))</f>
        <v>#VALUE!</v>
      </c>
      <c r="N363" t="e">
        <f>FIND("@", SUBSTITUTE(tblPassengerNames[[#This Row],[InParenthesesCleaned]], " ", "@", tblPassengerNames[[#This Row],[P_NSpaces]]))</f>
        <v>#VALUE!</v>
      </c>
      <c r="O363" t="e">
        <f>IF(tblPassengerNames[[#This Row],[P_NSpaces]] = 0,
    tblPassengerNames[[#This Row],[InParenthesesCleaned]],
    LEFT(tblPassengerNames[[#This Row],[InParenthesesCleaned]], tblPassengerNames[[#This Row],[P_FinalSpacePos]] - 1)
)</f>
        <v>#VALUE!</v>
      </c>
      <c r="P363" t="str">
        <f>IFERROR(tblPassengerNames[[#This Row],[P_Forenames]], tblPassengerNames[[#This Row],[ConvForenames]])</f>
        <v>Albert Francis</v>
      </c>
      <c r="Q363" t="str">
        <f>MID(tblPassengerNames[[#This Row],[Name]], tblPassengerNames[[#This Row],[CommaPos]] + 2, tblPassengerNames[[#This Row],[DotPos]] - tblPassengerNames[[#This Row],[CommaPos]] - 1)</f>
        <v>Mr.</v>
      </c>
      <c r="R363" t="str">
        <f>LEFT(tblPassengerNames[[#This Row],[Name]], tblPassengerNames[[#This Row],[CommaPos]] - 1)</f>
        <v>Caldwell</v>
      </c>
    </row>
    <row r="364" spans="2:18" x14ac:dyDescent="0.25">
      <c r="B364" s="21">
        <v>362</v>
      </c>
      <c r="C364" s="21" t="s">
        <v>498</v>
      </c>
      <c r="D364" s="21" t="s">
        <v>136</v>
      </c>
      <c r="E364">
        <f>FIND(",", tblPassengerNames[[#This Row],[Name]])</f>
        <v>9</v>
      </c>
      <c r="F364">
        <f>FIND(".", tblPassengerNames[[#This Row],[Name]])</f>
        <v>14</v>
      </c>
      <c r="G364">
        <f>FIND("(", tblPassengerNames[[#This Row],[Name]])</f>
        <v>31</v>
      </c>
      <c r="H364">
        <f>FIND(")", tblPassengerNames[[#This Row],[Name]])</f>
        <v>51</v>
      </c>
      <c r="I364">
        <f>IFERROR(tblPassengerNames[[#This Row],[OpenParPos]] - 2, LEN(tblPassengerNames[[#This Row],[Name]]))</f>
        <v>29</v>
      </c>
      <c r="J364" t="str">
        <f>MID(tblPassengerNames[[#This Row],[Name]], tblPassengerNames[[#This Row],[DotPos]] + 2, tblPassengerNames[[#This Row],[EndOfConvFNPos]] - tblPassengerNames[[#This Row],[DotPos]] - 1)</f>
        <v>Albert Francis</v>
      </c>
      <c r="K364" t="str">
        <f>MID(tblPassengerNames[[#This Row],[Name]], tblPassengerNames[[#This Row],[OpenParPos]] + 1, tblPassengerNames[[#This Row],[CloseParPos]] - tblPassengerNames[[#This Row],[OpenParPos]] - 1)</f>
        <v>Sylvia Mae Harbaugh</v>
      </c>
      <c r="L364" t="str">
        <f>IF(AND(LEFT(tblPassengerNames[[#This Row],[InParentheses]], 1) = "'", RIGHT(tblPassengerNames[[#This Row],[InParentheses]], 1) = "'"),
    #VALUE!,
    tblPassengerNames[[#This Row],[InParentheses]]
)</f>
        <v>Sylvia Mae Harbaugh</v>
      </c>
      <c r="M364">
        <f>LEN(tblPassengerNames[[#This Row],[InParenthesesCleaned]]) - LEN(SUBSTITUTE(tblPassengerNames[[#This Row],[InParenthesesCleaned]], " ", ""))</f>
        <v>2</v>
      </c>
      <c r="N364">
        <f>FIND("@", SUBSTITUTE(tblPassengerNames[[#This Row],[InParenthesesCleaned]], " ", "@", tblPassengerNames[[#This Row],[P_NSpaces]]))</f>
        <v>11</v>
      </c>
      <c r="O364" t="str">
        <f>IF(tblPassengerNames[[#This Row],[P_NSpaces]] = 0,
    tblPassengerNames[[#This Row],[InParenthesesCleaned]],
    LEFT(tblPassengerNames[[#This Row],[InParenthesesCleaned]], tblPassengerNames[[#This Row],[P_FinalSpacePos]] - 1)
)</f>
        <v>Sylvia Mae</v>
      </c>
      <c r="P364" t="str">
        <f>IFERROR(tblPassengerNames[[#This Row],[P_Forenames]], tblPassengerNames[[#This Row],[ConvForenames]])</f>
        <v>Sylvia Mae</v>
      </c>
      <c r="Q364" t="str">
        <f>MID(tblPassengerNames[[#This Row],[Name]], tblPassengerNames[[#This Row],[CommaPos]] + 2, tblPassengerNames[[#This Row],[DotPos]] - tblPassengerNames[[#This Row],[CommaPos]] - 1)</f>
        <v>Mrs.</v>
      </c>
      <c r="R364" t="str">
        <f>LEFT(tblPassengerNames[[#This Row],[Name]], tblPassengerNames[[#This Row],[CommaPos]] - 1)</f>
        <v>Caldwell</v>
      </c>
    </row>
    <row r="365" spans="2:18" x14ac:dyDescent="0.25">
      <c r="B365" s="21">
        <v>363</v>
      </c>
      <c r="C365" s="21" t="s">
        <v>499</v>
      </c>
      <c r="D365" s="21" t="s">
        <v>136</v>
      </c>
      <c r="E365">
        <f>FIND(",", tblPassengerNames[[#This Row],[Name]])</f>
        <v>8</v>
      </c>
      <c r="F365">
        <f>FIND(".", tblPassengerNames[[#This Row],[Name]])</f>
        <v>14</v>
      </c>
      <c r="G365" t="e">
        <f>FIND("(", tblPassengerNames[[#This Row],[Name]])</f>
        <v>#VALUE!</v>
      </c>
      <c r="H365" t="e">
        <f>FIND(")", tblPassengerNames[[#This Row],[Name]])</f>
        <v>#VALUE!</v>
      </c>
      <c r="I365">
        <f>IFERROR(tblPassengerNames[[#This Row],[OpenParPos]] - 2, LEN(tblPassengerNames[[#This Row],[Name]]))</f>
        <v>26</v>
      </c>
      <c r="J365" t="str">
        <f>MID(tblPassengerNames[[#This Row],[Name]], tblPassengerNames[[#This Row],[DotPos]] + 2, tblPassengerNames[[#This Row],[EndOfConvFNPos]] - tblPassengerNames[[#This Row],[DotPos]] - 1)</f>
        <v>Clear Annie</v>
      </c>
      <c r="K365" t="e">
        <f>MID(tblPassengerNames[[#This Row],[Name]], tblPassengerNames[[#This Row],[OpenParPos]] + 1, tblPassengerNames[[#This Row],[CloseParPos]] - tblPassengerNames[[#This Row],[OpenParPos]] - 1)</f>
        <v>#VALUE!</v>
      </c>
      <c r="L365" t="e">
        <f>IF(AND(LEFT(tblPassengerNames[[#This Row],[InParentheses]], 1) = "'", RIGHT(tblPassengerNames[[#This Row],[InParentheses]], 1) = "'"),
    #VALUE!,
    tblPassengerNames[[#This Row],[InParentheses]]
)</f>
        <v>#VALUE!</v>
      </c>
      <c r="M365" t="e">
        <f>LEN(tblPassengerNames[[#This Row],[InParenthesesCleaned]]) - LEN(SUBSTITUTE(tblPassengerNames[[#This Row],[InParenthesesCleaned]], " ", ""))</f>
        <v>#VALUE!</v>
      </c>
      <c r="N365" t="e">
        <f>FIND("@", SUBSTITUTE(tblPassengerNames[[#This Row],[InParenthesesCleaned]], " ", "@", tblPassengerNames[[#This Row],[P_NSpaces]]))</f>
        <v>#VALUE!</v>
      </c>
      <c r="O365" t="e">
        <f>IF(tblPassengerNames[[#This Row],[P_NSpaces]] = 0,
    tblPassengerNames[[#This Row],[InParenthesesCleaned]],
    LEFT(tblPassengerNames[[#This Row],[InParenthesesCleaned]], tblPassengerNames[[#This Row],[P_FinalSpacePos]] - 1)
)</f>
        <v>#VALUE!</v>
      </c>
      <c r="P365" t="str">
        <f>IFERROR(tblPassengerNames[[#This Row],[P_Forenames]], tblPassengerNames[[#This Row],[ConvForenames]])</f>
        <v>Clear Annie</v>
      </c>
      <c r="Q365" t="str">
        <f>MID(tblPassengerNames[[#This Row],[Name]], tblPassengerNames[[#This Row],[CommaPos]] + 2, tblPassengerNames[[#This Row],[DotPos]] - tblPassengerNames[[#This Row],[CommaPos]] - 1)</f>
        <v>Miss.</v>
      </c>
      <c r="R365" t="str">
        <f>LEFT(tblPassengerNames[[#This Row],[Name]], tblPassengerNames[[#This Row],[CommaPos]] - 1)</f>
        <v>Cameron</v>
      </c>
    </row>
    <row r="366" spans="2:18" x14ac:dyDescent="0.25">
      <c r="B366" s="21">
        <v>364</v>
      </c>
      <c r="C366" s="21" t="s">
        <v>500</v>
      </c>
      <c r="D366" s="21" t="s">
        <v>138</v>
      </c>
      <c r="E366">
        <f>FIND(",", tblPassengerNames[[#This Row],[Name]])</f>
        <v>9</v>
      </c>
      <c r="F366">
        <f>FIND(".", tblPassengerNames[[#This Row],[Name]])</f>
        <v>13</v>
      </c>
      <c r="G366" t="e">
        <f>FIND("(", tblPassengerNames[[#This Row],[Name]])</f>
        <v>#VALUE!</v>
      </c>
      <c r="H366" t="e">
        <f>FIND(")", tblPassengerNames[[#This Row],[Name]])</f>
        <v>#VALUE!</v>
      </c>
      <c r="I366">
        <f>IFERROR(tblPassengerNames[[#This Row],[OpenParPos]] - 2, LEN(tblPassengerNames[[#This Row],[Name]]))</f>
        <v>21</v>
      </c>
      <c r="J366" t="str">
        <f>MID(tblPassengerNames[[#This Row],[Name]], tblPassengerNames[[#This Row],[DotPos]] + 2, tblPassengerNames[[#This Row],[EndOfConvFNPos]] - tblPassengerNames[[#This Row],[DotPos]] - 1)</f>
        <v>William</v>
      </c>
      <c r="K366" t="e">
        <f>MID(tblPassengerNames[[#This Row],[Name]], tblPassengerNames[[#This Row],[OpenParPos]] + 1, tblPassengerNames[[#This Row],[CloseParPos]] - tblPassengerNames[[#This Row],[OpenParPos]] - 1)</f>
        <v>#VALUE!</v>
      </c>
      <c r="L366" t="e">
        <f>IF(AND(LEFT(tblPassengerNames[[#This Row],[InParentheses]], 1) = "'", RIGHT(tblPassengerNames[[#This Row],[InParentheses]], 1) = "'"),
    #VALUE!,
    tblPassengerNames[[#This Row],[InParentheses]]
)</f>
        <v>#VALUE!</v>
      </c>
      <c r="M366" t="e">
        <f>LEN(tblPassengerNames[[#This Row],[InParenthesesCleaned]]) - LEN(SUBSTITUTE(tblPassengerNames[[#This Row],[InParenthesesCleaned]], " ", ""))</f>
        <v>#VALUE!</v>
      </c>
      <c r="N366" t="e">
        <f>FIND("@", SUBSTITUTE(tblPassengerNames[[#This Row],[InParenthesesCleaned]], " ", "@", tblPassengerNames[[#This Row],[P_NSpaces]]))</f>
        <v>#VALUE!</v>
      </c>
      <c r="O366" t="e">
        <f>IF(tblPassengerNames[[#This Row],[P_NSpaces]] = 0,
    tblPassengerNames[[#This Row],[InParenthesesCleaned]],
    LEFT(tblPassengerNames[[#This Row],[InParenthesesCleaned]], tblPassengerNames[[#This Row],[P_FinalSpacePos]] - 1)
)</f>
        <v>#VALUE!</v>
      </c>
      <c r="P366" t="str">
        <f>IFERROR(tblPassengerNames[[#This Row],[P_Forenames]], tblPassengerNames[[#This Row],[ConvForenames]])</f>
        <v>William</v>
      </c>
      <c r="Q366" t="str">
        <f>MID(tblPassengerNames[[#This Row],[Name]], tblPassengerNames[[#This Row],[CommaPos]] + 2, tblPassengerNames[[#This Row],[DotPos]] - tblPassengerNames[[#This Row],[CommaPos]] - 1)</f>
        <v>Mr.</v>
      </c>
      <c r="R366" t="str">
        <f>LEFT(tblPassengerNames[[#This Row],[Name]], tblPassengerNames[[#This Row],[CommaPos]] - 1)</f>
        <v>Campbell</v>
      </c>
    </row>
    <row r="367" spans="2:18" x14ac:dyDescent="0.25">
      <c r="B367" s="21">
        <v>365</v>
      </c>
      <c r="C367" s="21" t="s">
        <v>501</v>
      </c>
      <c r="D367" s="21" t="s">
        <v>138</v>
      </c>
      <c r="E367">
        <f>FIND(",", tblPassengerNames[[#This Row],[Name]])</f>
        <v>9</v>
      </c>
      <c r="F367">
        <f>FIND(".", tblPassengerNames[[#This Row],[Name]])</f>
        <v>13</v>
      </c>
      <c r="G367" t="e">
        <f>FIND("(", tblPassengerNames[[#This Row],[Name]])</f>
        <v>#VALUE!</v>
      </c>
      <c r="H367" t="e">
        <f>FIND(")", tblPassengerNames[[#This Row],[Name]])</f>
        <v>#VALUE!</v>
      </c>
      <c r="I367">
        <f>IFERROR(tblPassengerNames[[#This Row],[OpenParPos]] - 2, LEN(tblPassengerNames[[#This Row],[Name]]))</f>
        <v>21</v>
      </c>
      <c r="J367" t="str">
        <f>MID(tblPassengerNames[[#This Row],[Name]], tblPassengerNames[[#This Row],[DotPos]] + 2, tblPassengerNames[[#This Row],[EndOfConvFNPos]] - tblPassengerNames[[#This Row],[DotPos]] - 1)</f>
        <v>William</v>
      </c>
      <c r="K367" t="e">
        <f>MID(tblPassengerNames[[#This Row],[Name]], tblPassengerNames[[#This Row],[OpenParPos]] + 1, tblPassengerNames[[#This Row],[CloseParPos]] - tblPassengerNames[[#This Row],[OpenParPos]] - 1)</f>
        <v>#VALUE!</v>
      </c>
      <c r="L367" t="e">
        <f>IF(AND(LEFT(tblPassengerNames[[#This Row],[InParentheses]], 1) = "'", RIGHT(tblPassengerNames[[#This Row],[InParentheses]], 1) = "'"),
    #VALUE!,
    tblPassengerNames[[#This Row],[InParentheses]]
)</f>
        <v>#VALUE!</v>
      </c>
      <c r="M367" t="e">
        <f>LEN(tblPassengerNames[[#This Row],[InParenthesesCleaned]]) - LEN(SUBSTITUTE(tblPassengerNames[[#This Row],[InParenthesesCleaned]], " ", ""))</f>
        <v>#VALUE!</v>
      </c>
      <c r="N367" t="e">
        <f>FIND("@", SUBSTITUTE(tblPassengerNames[[#This Row],[InParenthesesCleaned]], " ", "@", tblPassengerNames[[#This Row],[P_NSpaces]]))</f>
        <v>#VALUE!</v>
      </c>
      <c r="O367" t="e">
        <f>IF(tblPassengerNames[[#This Row],[P_NSpaces]] = 0,
    tblPassengerNames[[#This Row],[InParenthesesCleaned]],
    LEFT(tblPassengerNames[[#This Row],[InParenthesesCleaned]], tblPassengerNames[[#This Row],[P_FinalSpacePos]] - 1)
)</f>
        <v>#VALUE!</v>
      </c>
      <c r="P367" t="str">
        <f>IFERROR(tblPassengerNames[[#This Row],[P_Forenames]], tblPassengerNames[[#This Row],[ConvForenames]])</f>
        <v>William</v>
      </c>
      <c r="Q367" t="str">
        <f>MID(tblPassengerNames[[#This Row],[Name]], tblPassengerNames[[#This Row],[CommaPos]] + 2, tblPassengerNames[[#This Row],[DotPos]] - tblPassengerNames[[#This Row],[CommaPos]] - 1)</f>
        <v>Mr.</v>
      </c>
      <c r="R367" t="str">
        <f>LEFT(tblPassengerNames[[#This Row],[Name]], tblPassengerNames[[#This Row],[CommaPos]] - 1)</f>
        <v>Carbines</v>
      </c>
    </row>
    <row r="368" spans="2:18" x14ac:dyDescent="0.25">
      <c r="B368" s="21">
        <v>366</v>
      </c>
      <c r="C368" s="21" t="s">
        <v>502</v>
      </c>
      <c r="D368" s="21" t="s">
        <v>136</v>
      </c>
      <c r="E368">
        <f>FIND(",", tblPassengerNames[[#This Row],[Name]])</f>
        <v>7</v>
      </c>
      <c r="F368">
        <f>FIND(".", tblPassengerNames[[#This Row],[Name]])</f>
        <v>12</v>
      </c>
      <c r="G368">
        <f>FIND("(", tblPassengerNames[[#This Row],[Name]])</f>
        <v>31</v>
      </c>
      <c r="H368">
        <f>FIND(")", tblPassengerNames[[#This Row],[Name]])</f>
        <v>45</v>
      </c>
      <c r="I368">
        <f>IFERROR(tblPassengerNames[[#This Row],[OpenParPos]] - 2, LEN(tblPassengerNames[[#This Row],[Name]]))</f>
        <v>29</v>
      </c>
      <c r="J368" t="str">
        <f>MID(tblPassengerNames[[#This Row],[Name]], tblPassengerNames[[#This Row],[DotPos]] + 2, tblPassengerNames[[#This Row],[EndOfConvFNPos]] - tblPassengerNames[[#This Row],[DotPos]] - 1)</f>
        <v>Ernest Courtenay</v>
      </c>
      <c r="K368" t="str">
        <f>MID(tblPassengerNames[[#This Row],[Name]], tblPassengerNames[[#This Row],[OpenParPos]] + 1, tblPassengerNames[[#This Row],[CloseParPos]] - tblPassengerNames[[#This Row],[OpenParPos]] - 1)</f>
        <v>Lilian Hughes</v>
      </c>
      <c r="L368" t="str">
        <f>IF(AND(LEFT(tblPassengerNames[[#This Row],[InParentheses]], 1) = "'", RIGHT(tblPassengerNames[[#This Row],[InParentheses]], 1) = "'"),
    #VALUE!,
    tblPassengerNames[[#This Row],[InParentheses]]
)</f>
        <v>Lilian Hughes</v>
      </c>
      <c r="M368">
        <f>LEN(tblPassengerNames[[#This Row],[InParenthesesCleaned]]) - LEN(SUBSTITUTE(tblPassengerNames[[#This Row],[InParenthesesCleaned]], " ", ""))</f>
        <v>1</v>
      </c>
      <c r="N368">
        <f>FIND("@", SUBSTITUTE(tblPassengerNames[[#This Row],[InParenthesesCleaned]], " ", "@", tblPassengerNames[[#This Row],[P_NSpaces]]))</f>
        <v>7</v>
      </c>
      <c r="O368" t="str">
        <f>IF(tblPassengerNames[[#This Row],[P_NSpaces]] = 0,
    tblPassengerNames[[#This Row],[InParenthesesCleaned]],
    LEFT(tblPassengerNames[[#This Row],[InParenthesesCleaned]], tblPassengerNames[[#This Row],[P_FinalSpacePos]] - 1)
)</f>
        <v>Lilian</v>
      </c>
      <c r="P368" t="str">
        <f>IFERROR(tblPassengerNames[[#This Row],[P_Forenames]], tblPassengerNames[[#This Row],[ConvForenames]])</f>
        <v>Lilian</v>
      </c>
      <c r="Q368" t="str">
        <f>MID(tblPassengerNames[[#This Row],[Name]], tblPassengerNames[[#This Row],[CommaPos]] + 2, tblPassengerNames[[#This Row],[DotPos]] - tblPassengerNames[[#This Row],[CommaPos]] - 1)</f>
        <v>Mrs.</v>
      </c>
      <c r="R368" t="str">
        <f>LEFT(tblPassengerNames[[#This Row],[Name]], tblPassengerNames[[#This Row],[CommaPos]] - 1)</f>
        <v>Carter</v>
      </c>
    </row>
    <row r="369" spans="2:18" x14ac:dyDescent="0.25">
      <c r="B369" s="21">
        <v>367</v>
      </c>
      <c r="C369" s="21" t="s">
        <v>503</v>
      </c>
      <c r="D369" s="21" t="s">
        <v>138</v>
      </c>
      <c r="E369">
        <f>FIND(",", tblPassengerNames[[#This Row],[Name]])</f>
        <v>7</v>
      </c>
      <c r="F369">
        <f>FIND(".", tblPassengerNames[[#This Row],[Name]])</f>
        <v>12</v>
      </c>
      <c r="G369" t="e">
        <f>FIND("(", tblPassengerNames[[#This Row],[Name]])</f>
        <v>#VALUE!</v>
      </c>
      <c r="H369" t="e">
        <f>FIND(")", tblPassengerNames[[#This Row],[Name]])</f>
        <v>#VALUE!</v>
      </c>
      <c r="I369">
        <f>IFERROR(tblPassengerNames[[#This Row],[OpenParPos]] - 2, LEN(tblPassengerNames[[#This Row],[Name]]))</f>
        <v>29</v>
      </c>
      <c r="J369" t="str">
        <f>MID(tblPassengerNames[[#This Row],[Name]], tblPassengerNames[[#This Row],[DotPos]] + 2, tblPassengerNames[[#This Row],[EndOfConvFNPos]] - tblPassengerNames[[#This Row],[DotPos]] - 1)</f>
        <v>Ernest Courtenay</v>
      </c>
      <c r="K369" t="e">
        <f>MID(tblPassengerNames[[#This Row],[Name]], tblPassengerNames[[#This Row],[OpenParPos]] + 1, tblPassengerNames[[#This Row],[CloseParPos]] - tblPassengerNames[[#This Row],[OpenParPos]] - 1)</f>
        <v>#VALUE!</v>
      </c>
      <c r="L369" t="e">
        <f>IF(AND(LEFT(tblPassengerNames[[#This Row],[InParentheses]], 1) = "'", RIGHT(tblPassengerNames[[#This Row],[InParentheses]], 1) = "'"),
    #VALUE!,
    tblPassengerNames[[#This Row],[InParentheses]]
)</f>
        <v>#VALUE!</v>
      </c>
      <c r="M369" t="e">
        <f>LEN(tblPassengerNames[[#This Row],[InParenthesesCleaned]]) - LEN(SUBSTITUTE(tblPassengerNames[[#This Row],[InParenthesesCleaned]], " ", ""))</f>
        <v>#VALUE!</v>
      </c>
      <c r="N369" t="e">
        <f>FIND("@", SUBSTITUTE(tblPassengerNames[[#This Row],[InParenthesesCleaned]], " ", "@", tblPassengerNames[[#This Row],[P_NSpaces]]))</f>
        <v>#VALUE!</v>
      </c>
      <c r="O369" t="e">
        <f>IF(tblPassengerNames[[#This Row],[P_NSpaces]] = 0,
    tblPassengerNames[[#This Row],[InParenthesesCleaned]],
    LEFT(tblPassengerNames[[#This Row],[InParenthesesCleaned]], tblPassengerNames[[#This Row],[P_FinalSpacePos]] - 1)
)</f>
        <v>#VALUE!</v>
      </c>
      <c r="P369" t="str">
        <f>IFERROR(tblPassengerNames[[#This Row],[P_Forenames]], tblPassengerNames[[#This Row],[ConvForenames]])</f>
        <v>Ernest Courtenay</v>
      </c>
      <c r="Q369" t="str">
        <f>MID(tblPassengerNames[[#This Row],[Name]], tblPassengerNames[[#This Row],[CommaPos]] + 2, tblPassengerNames[[#This Row],[DotPos]] - tblPassengerNames[[#This Row],[CommaPos]] - 1)</f>
        <v>Rev.</v>
      </c>
      <c r="R369" t="str">
        <f>LEFT(tblPassengerNames[[#This Row],[Name]], tblPassengerNames[[#This Row],[CommaPos]] - 1)</f>
        <v>Carter</v>
      </c>
    </row>
    <row r="370" spans="2:18" x14ac:dyDescent="0.25">
      <c r="B370" s="21">
        <v>368</v>
      </c>
      <c r="C370" s="21" t="s">
        <v>504</v>
      </c>
      <c r="D370" s="21" t="s">
        <v>138</v>
      </c>
      <c r="E370">
        <f>FIND(",", tblPassengerNames[[#This Row],[Name]])</f>
        <v>8</v>
      </c>
      <c r="F370">
        <f>FIND(".", tblPassengerNames[[#This Row],[Name]])</f>
        <v>12</v>
      </c>
      <c r="G370" t="e">
        <f>FIND("(", tblPassengerNames[[#This Row],[Name]])</f>
        <v>#VALUE!</v>
      </c>
      <c r="H370" t="e">
        <f>FIND(")", tblPassengerNames[[#This Row],[Name]])</f>
        <v>#VALUE!</v>
      </c>
      <c r="I370">
        <f>IFERROR(tblPassengerNames[[#This Row],[OpenParPos]] - 2, LEN(tblPassengerNames[[#This Row],[Name]]))</f>
        <v>26</v>
      </c>
      <c r="J370" t="str">
        <f>MID(tblPassengerNames[[#This Row],[Name]], tblPassengerNames[[#This Row],[DotPos]] + 2, tblPassengerNames[[#This Row],[EndOfConvFNPos]] - tblPassengerNames[[#This Row],[DotPos]] - 1)</f>
        <v>Charles Henry</v>
      </c>
      <c r="K370" t="e">
        <f>MID(tblPassengerNames[[#This Row],[Name]], tblPassengerNames[[#This Row],[OpenParPos]] + 1, tblPassengerNames[[#This Row],[CloseParPos]] - tblPassengerNames[[#This Row],[OpenParPos]] - 1)</f>
        <v>#VALUE!</v>
      </c>
      <c r="L370" t="e">
        <f>IF(AND(LEFT(tblPassengerNames[[#This Row],[InParentheses]], 1) = "'", RIGHT(tblPassengerNames[[#This Row],[InParentheses]], 1) = "'"),
    #VALUE!,
    tblPassengerNames[[#This Row],[InParentheses]]
)</f>
        <v>#VALUE!</v>
      </c>
      <c r="M370" t="e">
        <f>LEN(tblPassengerNames[[#This Row],[InParenthesesCleaned]]) - LEN(SUBSTITUTE(tblPassengerNames[[#This Row],[InParenthesesCleaned]], " ", ""))</f>
        <v>#VALUE!</v>
      </c>
      <c r="N370" t="e">
        <f>FIND("@", SUBSTITUTE(tblPassengerNames[[#This Row],[InParenthesesCleaned]], " ", "@", tblPassengerNames[[#This Row],[P_NSpaces]]))</f>
        <v>#VALUE!</v>
      </c>
      <c r="O370" t="e">
        <f>IF(tblPassengerNames[[#This Row],[P_NSpaces]] = 0,
    tblPassengerNames[[#This Row],[InParenthesesCleaned]],
    LEFT(tblPassengerNames[[#This Row],[InParenthesesCleaned]], tblPassengerNames[[#This Row],[P_FinalSpacePos]] - 1)
)</f>
        <v>#VALUE!</v>
      </c>
      <c r="P370" t="str">
        <f>IFERROR(tblPassengerNames[[#This Row],[P_Forenames]], tblPassengerNames[[#This Row],[ConvForenames]])</f>
        <v>Charles Henry</v>
      </c>
      <c r="Q370" t="str">
        <f>MID(tblPassengerNames[[#This Row],[Name]], tblPassengerNames[[#This Row],[CommaPos]] + 2, tblPassengerNames[[#This Row],[DotPos]] - tblPassengerNames[[#This Row],[CommaPos]] - 1)</f>
        <v>Mr.</v>
      </c>
      <c r="R370" t="str">
        <f>LEFT(tblPassengerNames[[#This Row],[Name]], tblPassengerNames[[#This Row],[CommaPos]] - 1)</f>
        <v>Chapman</v>
      </c>
    </row>
    <row r="371" spans="2:18" x14ac:dyDescent="0.25">
      <c r="B371" s="21">
        <v>369</v>
      </c>
      <c r="C371" s="21" t="s">
        <v>505</v>
      </c>
      <c r="D371" s="21" t="s">
        <v>138</v>
      </c>
      <c r="E371">
        <f>FIND(",", tblPassengerNames[[#This Row],[Name]])</f>
        <v>8</v>
      </c>
      <c r="F371">
        <f>FIND(".", tblPassengerNames[[#This Row],[Name]])</f>
        <v>12</v>
      </c>
      <c r="G371" t="e">
        <f>FIND("(", tblPassengerNames[[#This Row],[Name]])</f>
        <v>#VALUE!</v>
      </c>
      <c r="H371" t="e">
        <f>FIND(")", tblPassengerNames[[#This Row],[Name]])</f>
        <v>#VALUE!</v>
      </c>
      <c r="I371">
        <f>IFERROR(tblPassengerNames[[#This Row],[OpenParPos]] - 2, LEN(tblPassengerNames[[#This Row],[Name]]))</f>
        <v>23</v>
      </c>
      <c r="J371" t="str">
        <f>MID(tblPassengerNames[[#This Row],[Name]], tblPassengerNames[[#This Row],[DotPos]] + 2, tblPassengerNames[[#This Row],[EndOfConvFNPos]] - tblPassengerNames[[#This Row],[DotPos]] - 1)</f>
        <v>John Henry</v>
      </c>
      <c r="K371" t="e">
        <f>MID(tblPassengerNames[[#This Row],[Name]], tblPassengerNames[[#This Row],[OpenParPos]] + 1, tblPassengerNames[[#This Row],[CloseParPos]] - tblPassengerNames[[#This Row],[OpenParPos]] - 1)</f>
        <v>#VALUE!</v>
      </c>
      <c r="L371" t="e">
        <f>IF(AND(LEFT(tblPassengerNames[[#This Row],[InParentheses]], 1) = "'", RIGHT(tblPassengerNames[[#This Row],[InParentheses]], 1) = "'"),
    #VALUE!,
    tblPassengerNames[[#This Row],[InParentheses]]
)</f>
        <v>#VALUE!</v>
      </c>
      <c r="M371" t="e">
        <f>LEN(tblPassengerNames[[#This Row],[InParenthesesCleaned]]) - LEN(SUBSTITUTE(tblPassengerNames[[#This Row],[InParenthesesCleaned]], " ", ""))</f>
        <v>#VALUE!</v>
      </c>
      <c r="N371" t="e">
        <f>FIND("@", SUBSTITUTE(tblPassengerNames[[#This Row],[InParenthesesCleaned]], " ", "@", tblPassengerNames[[#This Row],[P_NSpaces]]))</f>
        <v>#VALUE!</v>
      </c>
      <c r="O371" t="e">
        <f>IF(tblPassengerNames[[#This Row],[P_NSpaces]] = 0,
    tblPassengerNames[[#This Row],[InParenthesesCleaned]],
    LEFT(tblPassengerNames[[#This Row],[InParenthesesCleaned]], tblPassengerNames[[#This Row],[P_FinalSpacePos]] - 1)
)</f>
        <v>#VALUE!</v>
      </c>
      <c r="P371" t="str">
        <f>IFERROR(tblPassengerNames[[#This Row],[P_Forenames]], tblPassengerNames[[#This Row],[ConvForenames]])</f>
        <v>John Henry</v>
      </c>
      <c r="Q371" t="str">
        <f>MID(tblPassengerNames[[#This Row],[Name]], tblPassengerNames[[#This Row],[CommaPos]] + 2, tblPassengerNames[[#This Row],[DotPos]] - tblPassengerNames[[#This Row],[CommaPos]] - 1)</f>
        <v>Mr.</v>
      </c>
      <c r="R371" t="str">
        <f>LEFT(tblPassengerNames[[#This Row],[Name]], tblPassengerNames[[#This Row],[CommaPos]] - 1)</f>
        <v>Chapman</v>
      </c>
    </row>
    <row r="372" spans="2:18" x14ac:dyDescent="0.25">
      <c r="B372" s="21">
        <v>370</v>
      </c>
      <c r="C372" s="21" t="s">
        <v>506</v>
      </c>
      <c r="D372" s="21" t="s">
        <v>136</v>
      </c>
      <c r="E372">
        <f>FIND(",", tblPassengerNames[[#This Row],[Name]])</f>
        <v>8</v>
      </c>
      <c r="F372">
        <f>FIND(".", tblPassengerNames[[#This Row],[Name]])</f>
        <v>13</v>
      </c>
      <c r="G372">
        <f>FIND("(", tblPassengerNames[[#This Row],[Name]])</f>
        <v>26</v>
      </c>
      <c r="H372">
        <f>FIND(")", tblPassengerNames[[#This Row],[Name]])</f>
        <v>47</v>
      </c>
      <c r="I372">
        <f>IFERROR(tblPassengerNames[[#This Row],[OpenParPos]] - 2, LEN(tblPassengerNames[[#This Row],[Name]]))</f>
        <v>24</v>
      </c>
      <c r="J372" t="str">
        <f>MID(tblPassengerNames[[#This Row],[Name]], tblPassengerNames[[#This Row],[DotPos]] + 2, tblPassengerNames[[#This Row],[EndOfConvFNPos]] - tblPassengerNames[[#This Row],[DotPos]] - 1)</f>
        <v>John Henry</v>
      </c>
      <c r="K372" t="str">
        <f>MID(tblPassengerNames[[#This Row],[Name]], tblPassengerNames[[#This Row],[OpenParPos]] + 1, tblPassengerNames[[#This Row],[CloseParPos]] - tblPassengerNames[[#This Row],[OpenParPos]] - 1)</f>
        <v>Sara Elizabeth Lawry</v>
      </c>
      <c r="L372" t="str">
        <f>IF(AND(LEFT(tblPassengerNames[[#This Row],[InParentheses]], 1) = "'", RIGHT(tblPassengerNames[[#This Row],[InParentheses]], 1) = "'"),
    #VALUE!,
    tblPassengerNames[[#This Row],[InParentheses]]
)</f>
        <v>Sara Elizabeth Lawry</v>
      </c>
      <c r="M372">
        <f>LEN(tblPassengerNames[[#This Row],[InParenthesesCleaned]]) - LEN(SUBSTITUTE(tblPassengerNames[[#This Row],[InParenthesesCleaned]], " ", ""))</f>
        <v>2</v>
      </c>
      <c r="N372">
        <f>FIND("@", SUBSTITUTE(tblPassengerNames[[#This Row],[InParenthesesCleaned]], " ", "@", tblPassengerNames[[#This Row],[P_NSpaces]]))</f>
        <v>15</v>
      </c>
      <c r="O372" t="str">
        <f>IF(tblPassengerNames[[#This Row],[P_NSpaces]] = 0,
    tblPassengerNames[[#This Row],[InParenthesesCleaned]],
    LEFT(tblPassengerNames[[#This Row],[InParenthesesCleaned]], tblPassengerNames[[#This Row],[P_FinalSpacePos]] - 1)
)</f>
        <v>Sara Elizabeth</v>
      </c>
      <c r="P372" t="str">
        <f>IFERROR(tblPassengerNames[[#This Row],[P_Forenames]], tblPassengerNames[[#This Row],[ConvForenames]])</f>
        <v>Sara Elizabeth</v>
      </c>
      <c r="Q372" t="str">
        <f>MID(tblPassengerNames[[#This Row],[Name]], tblPassengerNames[[#This Row],[CommaPos]] + 2, tblPassengerNames[[#This Row],[DotPos]] - tblPassengerNames[[#This Row],[CommaPos]] - 1)</f>
        <v>Mrs.</v>
      </c>
      <c r="R372" t="str">
        <f>LEFT(tblPassengerNames[[#This Row],[Name]], tblPassengerNames[[#This Row],[CommaPos]] - 1)</f>
        <v>Chapman</v>
      </c>
    </row>
    <row r="373" spans="2:18" x14ac:dyDescent="0.25">
      <c r="B373" s="21">
        <v>371</v>
      </c>
      <c r="C373" s="21" t="s">
        <v>507</v>
      </c>
      <c r="D373" s="21" t="s">
        <v>136</v>
      </c>
      <c r="E373">
        <f>FIND(",", tblPassengerNames[[#This Row],[Name]])</f>
        <v>8</v>
      </c>
      <c r="F373">
        <f>FIND(".", tblPassengerNames[[#This Row],[Name]])</f>
        <v>14</v>
      </c>
      <c r="G373" t="e">
        <f>FIND("(", tblPassengerNames[[#This Row],[Name]])</f>
        <v>#VALUE!</v>
      </c>
      <c r="H373" t="e">
        <f>FIND(")", tblPassengerNames[[#This Row],[Name]])</f>
        <v>#VALUE!</v>
      </c>
      <c r="I373">
        <f>IFERROR(tblPassengerNames[[#This Row],[OpenParPos]] - 2, LEN(tblPassengerNames[[#This Row],[Name]]))</f>
        <v>27</v>
      </c>
      <c r="J373" t="str">
        <f>MID(tblPassengerNames[[#This Row],[Name]], tblPassengerNames[[#This Row],[DotPos]] + 2, tblPassengerNames[[#This Row],[EndOfConvFNPos]] - tblPassengerNames[[#This Row],[DotPos]] - 1)</f>
        <v>Julie Rachel</v>
      </c>
      <c r="K373" t="e">
        <f>MID(tblPassengerNames[[#This Row],[Name]], tblPassengerNames[[#This Row],[OpenParPos]] + 1, tblPassengerNames[[#This Row],[CloseParPos]] - tblPassengerNames[[#This Row],[OpenParPos]] - 1)</f>
        <v>#VALUE!</v>
      </c>
      <c r="L373" t="e">
        <f>IF(AND(LEFT(tblPassengerNames[[#This Row],[InParentheses]], 1) = "'", RIGHT(tblPassengerNames[[#This Row],[InParentheses]], 1) = "'"),
    #VALUE!,
    tblPassengerNames[[#This Row],[InParentheses]]
)</f>
        <v>#VALUE!</v>
      </c>
      <c r="M373" t="e">
        <f>LEN(tblPassengerNames[[#This Row],[InParenthesesCleaned]]) - LEN(SUBSTITUTE(tblPassengerNames[[#This Row],[InParenthesesCleaned]], " ", ""))</f>
        <v>#VALUE!</v>
      </c>
      <c r="N373" t="e">
        <f>FIND("@", SUBSTITUTE(tblPassengerNames[[#This Row],[InParenthesesCleaned]], " ", "@", tblPassengerNames[[#This Row],[P_NSpaces]]))</f>
        <v>#VALUE!</v>
      </c>
      <c r="O373" t="e">
        <f>IF(tblPassengerNames[[#This Row],[P_NSpaces]] = 0,
    tblPassengerNames[[#This Row],[InParenthesesCleaned]],
    LEFT(tblPassengerNames[[#This Row],[InParenthesesCleaned]], tblPassengerNames[[#This Row],[P_FinalSpacePos]] - 1)
)</f>
        <v>#VALUE!</v>
      </c>
      <c r="P373" t="str">
        <f>IFERROR(tblPassengerNames[[#This Row],[P_Forenames]], tblPassengerNames[[#This Row],[ConvForenames]])</f>
        <v>Julie Rachel</v>
      </c>
      <c r="Q373" t="str">
        <f>MID(tblPassengerNames[[#This Row],[Name]], tblPassengerNames[[#This Row],[CommaPos]] + 2, tblPassengerNames[[#This Row],[DotPos]] - tblPassengerNames[[#This Row],[CommaPos]] - 1)</f>
        <v>Miss.</v>
      </c>
      <c r="R373" t="str">
        <f>LEFT(tblPassengerNames[[#This Row],[Name]], tblPassengerNames[[#This Row],[CommaPos]] - 1)</f>
        <v>Christy</v>
      </c>
    </row>
    <row r="374" spans="2:18" x14ac:dyDescent="0.25">
      <c r="B374" s="21">
        <v>372</v>
      </c>
      <c r="C374" s="21" t="s">
        <v>508</v>
      </c>
      <c r="D374" s="21" t="s">
        <v>136</v>
      </c>
      <c r="E374">
        <f>FIND(",", tblPassengerNames[[#This Row],[Name]])</f>
        <v>8</v>
      </c>
      <c r="F374">
        <f>FIND(".", tblPassengerNames[[#This Row],[Name]])</f>
        <v>13</v>
      </c>
      <c r="G374">
        <f>FIND("(", tblPassengerNames[[#This Row],[Name]])</f>
        <v>15</v>
      </c>
      <c r="H374">
        <f>FIND(")", tblPassengerNames[[#This Row],[Name]])</f>
        <v>29</v>
      </c>
      <c r="I374">
        <f>IFERROR(tblPassengerNames[[#This Row],[OpenParPos]] - 2, LEN(tblPassengerNames[[#This Row],[Name]]))</f>
        <v>13</v>
      </c>
      <c r="J374" t="e">
        <f>MID(tblPassengerNames[[#This Row],[Name]], tblPassengerNames[[#This Row],[DotPos]] + 2, tblPassengerNames[[#This Row],[EndOfConvFNPos]] - tblPassengerNames[[#This Row],[DotPos]] - 1)</f>
        <v>#VALUE!</v>
      </c>
      <c r="K374" t="str">
        <f>MID(tblPassengerNames[[#This Row],[Name]], tblPassengerNames[[#This Row],[OpenParPos]] + 1, tblPassengerNames[[#This Row],[CloseParPos]] - tblPassengerNames[[#This Row],[OpenParPos]] - 1)</f>
        <v>Alice Frances</v>
      </c>
      <c r="L374" t="str">
        <f>IF(AND(LEFT(tblPassengerNames[[#This Row],[InParentheses]], 1) = "'", RIGHT(tblPassengerNames[[#This Row],[InParentheses]], 1) = "'"),
    #VALUE!,
    tblPassengerNames[[#This Row],[InParentheses]]
)</f>
        <v>Alice Frances</v>
      </c>
      <c r="M374">
        <f>LEN(tblPassengerNames[[#This Row],[InParenthesesCleaned]]) - LEN(SUBSTITUTE(tblPassengerNames[[#This Row],[InParenthesesCleaned]], " ", ""))</f>
        <v>1</v>
      </c>
      <c r="N374">
        <f>FIND("@", SUBSTITUTE(tblPassengerNames[[#This Row],[InParenthesesCleaned]], " ", "@", tblPassengerNames[[#This Row],[P_NSpaces]]))</f>
        <v>6</v>
      </c>
      <c r="O374" t="str">
        <f>IF(tblPassengerNames[[#This Row],[P_NSpaces]] = 0,
    tblPassengerNames[[#This Row],[InParenthesesCleaned]],
    LEFT(tblPassengerNames[[#This Row],[InParenthesesCleaned]], tblPassengerNames[[#This Row],[P_FinalSpacePos]] - 1)
)</f>
        <v>Alice</v>
      </c>
      <c r="P374" t="str">
        <f>IFERROR(tblPassengerNames[[#This Row],[P_Forenames]], tblPassengerNames[[#This Row],[ConvForenames]])</f>
        <v>Alice</v>
      </c>
      <c r="Q374" t="str">
        <f>MID(tblPassengerNames[[#This Row],[Name]], tblPassengerNames[[#This Row],[CommaPos]] + 2, tblPassengerNames[[#This Row],[DotPos]] - tblPassengerNames[[#This Row],[CommaPos]] - 1)</f>
        <v>Mrs.</v>
      </c>
      <c r="R374" t="str">
        <f>LEFT(tblPassengerNames[[#This Row],[Name]], tblPassengerNames[[#This Row],[CommaPos]] - 1)</f>
        <v>Christy</v>
      </c>
    </row>
    <row r="375" spans="2:18" x14ac:dyDescent="0.25">
      <c r="B375" s="21">
        <v>373</v>
      </c>
      <c r="C375" s="21" t="s">
        <v>509</v>
      </c>
      <c r="D375" s="21" t="s">
        <v>138</v>
      </c>
      <c r="E375">
        <f>FIND(",", tblPassengerNames[[#This Row],[Name]])</f>
        <v>7</v>
      </c>
      <c r="F375">
        <f>FIND(".", tblPassengerNames[[#This Row],[Name]])</f>
        <v>11</v>
      </c>
      <c r="G375" t="e">
        <f>FIND("(", tblPassengerNames[[#This Row],[Name]])</f>
        <v>#VALUE!</v>
      </c>
      <c r="H375" t="e">
        <f>FIND(")", tblPassengerNames[[#This Row],[Name]])</f>
        <v>#VALUE!</v>
      </c>
      <c r="I375">
        <f>IFERROR(tblPassengerNames[[#This Row],[OpenParPos]] - 2, LEN(tblPassengerNames[[#This Row],[Name]]))</f>
        <v>29</v>
      </c>
      <c r="J375" t="str">
        <f>MID(tblPassengerNames[[#This Row],[Name]], tblPassengerNames[[#This Row],[DotPos]] + 2, tblPassengerNames[[#This Row],[EndOfConvFNPos]] - tblPassengerNames[[#This Row],[DotPos]] - 1)</f>
        <v>Charles Valentine</v>
      </c>
      <c r="K375" t="e">
        <f>MID(tblPassengerNames[[#This Row],[Name]], tblPassengerNames[[#This Row],[OpenParPos]] + 1, tblPassengerNames[[#This Row],[CloseParPos]] - tblPassengerNames[[#This Row],[OpenParPos]] - 1)</f>
        <v>#VALUE!</v>
      </c>
      <c r="L375" t="e">
        <f>IF(AND(LEFT(tblPassengerNames[[#This Row],[InParentheses]], 1) = "'", RIGHT(tblPassengerNames[[#This Row],[InParentheses]], 1) = "'"),
    #VALUE!,
    tblPassengerNames[[#This Row],[InParentheses]]
)</f>
        <v>#VALUE!</v>
      </c>
      <c r="M375" t="e">
        <f>LEN(tblPassengerNames[[#This Row],[InParenthesesCleaned]]) - LEN(SUBSTITUTE(tblPassengerNames[[#This Row],[InParenthesesCleaned]], " ", ""))</f>
        <v>#VALUE!</v>
      </c>
      <c r="N375" t="e">
        <f>FIND("@", SUBSTITUTE(tblPassengerNames[[#This Row],[InParenthesesCleaned]], " ", "@", tblPassengerNames[[#This Row],[P_NSpaces]]))</f>
        <v>#VALUE!</v>
      </c>
      <c r="O375" t="e">
        <f>IF(tblPassengerNames[[#This Row],[P_NSpaces]] = 0,
    tblPassengerNames[[#This Row],[InParenthesesCleaned]],
    LEFT(tblPassengerNames[[#This Row],[InParenthesesCleaned]], tblPassengerNames[[#This Row],[P_FinalSpacePos]] - 1)
)</f>
        <v>#VALUE!</v>
      </c>
      <c r="P375" t="str">
        <f>IFERROR(tblPassengerNames[[#This Row],[P_Forenames]], tblPassengerNames[[#This Row],[ConvForenames]])</f>
        <v>Charles Valentine</v>
      </c>
      <c r="Q375" t="str">
        <f>MID(tblPassengerNames[[#This Row],[Name]], tblPassengerNames[[#This Row],[CommaPos]] + 2, tblPassengerNames[[#This Row],[DotPos]] - tblPassengerNames[[#This Row],[CommaPos]] - 1)</f>
        <v>Mr.</v>
      </c>
      <c r="R375" t="str">
        <f>LEFT(tblPassengerNames[[#This Row],[Name]], tblPassengerNames[[#This Row],[CommaPos]] - 1)</f>
        <v>Clarke</v>
      </c>
    </row>
    <row r="376" spans="2:18" x14ac:dyDescent="0.25">
      <c r="B376" s="21">
        <v>374</v>
      </c>
      <c r="C376" s="21" t="s">
        <v>510</v>
      </c>
      <c r="D376" s="21" t="s">
        <v>136</v>
      </c>
      <c r="E376">
        <f>FIND(",", tblPassengerNames[[#This Row],[Name]])</f>
        <v>7</v>
      </c>
      <c r="F376">
        <f>FIND(".", tblPassengerNames[[#This Row],[Name]])</f>
        <v>12</v>
      </c>
      <c r="G376">
        <f>FIND("(", tblPassengerNames[[#This Row],[Name]])</f>
        <v>24</v>
      </c>
      <c r="H376">
        <f>FIND(")", tblPassengerNames[[#This Row],[Name]])</f>
        <v>43</v>
      </c>
      <c r="I376">
        <f>IFERROR(tblPassengerNames[[#This Row],[OpenParPos]] - 2, LEN(tblPassengerNames[[#This Row],[Name]]))</f>
        <v>22</v>
      </c>
      <c r="J376" t="str">
        <f>MID(tblPassengerNames[[#This Row],[Name]], tblPassengerNames[[#This Row],[DotPos]] + 2, tblPassengerNames[[#This Row],[EndOfConvFNPos]] - tblPassengerNames[[#This Row],[DotPos]] - 1)</f>
        <v>Charles V</v>
      </c>
      <c r="K376" t="str">
        <f>MID(tblPassengerNames[[#This Row],[Name]], tblPassengerNames[[#This Row],[OpenParPos]] + 1, tblPassengerNames[[#This Row],[CloseParPos]] - tblPassengerNames[[#This Row],[OpenParPos]] - 1)</f>
        <v>Ada Maria Winfield</v>
      </c>
      <c r="L376" t="str">
        <f>IF(AND(LEFT(tblPassengerNames[[#This Row],[InParentheses]], 1) = "'", RIGHT(tblPassengerNames[[#This Row],[InParentheses]], 1) = "'"),
    #VALUE!,
    tblPassengerNames[[#This Row],[InParentheses]]
)</f>
        <v>Ada Maria Winfield</v>
      </c>
      <c r="M376">
        <f>LEN(tblPassengerNames[[#This Row],[InParenthesesCleaned]]) - LEN(SUBSTITUTE(tblPassengerNames[[#This Row],[InParenthesesCleaned]], " ", ""))</f>
        <v>2</v>
      </c>
      <c r="N376">
        <f>FIND("@", SUBSTITUTE(tblPassengerNames[[#This Row],[InParenthesesCleaned]], " ", "@", tblPassengerNames[[#This Row],[P_NSpaces]]))</f>
        <v>10</v>
      </c>
      <c r="O376" t="str">
        <f>IF(tblPassengerNames[[#This Row],[P_NSpaces]] = 0,
    tblPassengerNames[[#This Row],[InParenthesesCleaned]],
    LEFT(tblPassengerNames[[#This Row],[InParenthesesCleaned]], tblPassengerNames[[#This Row],[P_FinalSpacePos]] - 1)
)</f>
        <v>Ada Maria</v>
      </c>
      <c r="P376" t="str">
        <f>IFERROR(tblPassengerNames[[#This Row],[P_Forenames]], tblPassengerNames[[#This Row],[ConvForenames]])</f>
        <v>Ada Maria</v>
      </c>
      <c r="Q376" t="str">
        <f>MID(tblPassengerNames[[#This Row],[Name]], tblPassengerNames[[#This Row],[CommaPos]] + 2, tblPassengerNames[[#This Row],[DotPos]] - tblPassengerNames[[#This Row],[CommaPos]] - 1)</f>
        <v>Mrs.</v>
      </c>
      <c r="R376" t="str">
        <f>LEFT(tblPassengerNames[[#This Row],[Name]], tblPassengerNames[[#This Row],[CommaPos]] - 1)</f>
        <v>Clarke</v>
      </c>
    </row>
    <row r="377" spans="2:18" x14ac:dyDescent="0.25">
      <c r="B377" s="21">
        <v>375</v>
      </c>
      <c r="C377" s="21" t="s">
        <v>511</v>
      </c>
      <c r="D377" s="21" t="s">
        <v>138</v>
      </c>
      <c r="E377">
        <f>FIND(",", tblPassengerNames[[#This Row],[Name]])</f>
        <v>10</v>
      </c>
      <c r="F377">
        <f>FIND(".", tblPassengerNames[[#This Row],[Name]])</f>
        <v>14</v>
      </c>
      <c r="G377" t="e">
        <f>FIND("(", tblPassengerNames[[#This Row],[Name]])</f>
        <v>#VALUE!</v>
      </c>
      <c r="H377" t="e">
        <f>FIND(")", tblPassengerNames[[#This Row],[Name]])</f>
        <v>#VALUE!</v>
      </c>
      <c r="I377">
        <f>IFERROR(tblPassengerNames[[#This Row],[OpenParPos]] - 2, LEN(tblPassengerNames[[#This Row],[Name]]))</f>
        <v>31</v>
      </c>
      <c r="J377" t="str">
        <f>MID(tblPassengerNames[[#This Row],[Name]], tblPassengerNames[[#This Row],[DotPos]] + 2, tblPassengerNames[[#This Row],[EndOfConvFNPos]] - tblPassengerNames[[#This Row],[DotPos]] - 1)</f>
        <v>Reginald Charles</v>
      </c>
      <c r="K377" t="e">
        <f>MID(tblPassengerNames[[#This Row],[Name]], tblPassengerNames[[#This Row],[OpenParPos]] + 1, tblPassengerNames[[#This Row],[CloseParPos]] - tblPassengerNames[[#This Row],[OpenParPos]] - 1)</f>
        <v>#VALUE!</v>
      </c>
      <c r="L377" t="e">
        <f>IF(AND(LEFT(tblPassengerNames[[#This Row],[InParentheses]], 1) = "'", RIGHT(tblPassengerNames[[#This Row],[InParentheses]], 1) = "'"),
    #VALUE!,
    tblPassengerNames[[#This Row],[InParentheses]]
)</f>
        <v>#VALUE!</v>
      </c>
      <c r="M377" t="e">
        <f>LEN(tblPassengerNames[[#This Row],[InParenthesesCleaned]]) - LEN(SUBSTITUTE(tblPassengerNames[[#This Row],[InParenthesesCleaned]], " ", ""))</f>
        <v>#VALUE!</v>
      </c>
      <c r="N377" t="e">
        <f>FIND("@", SUBSTITUTE(tblPassengerNames[[#This Row],[InParenthesesCleaned]], " ", "@", tblPassengerNames[[#This Row],[P_NSpaces]]))</f>
        <v>#VALUE!</v>
      </c>
      <c r="O377" t="e">
        <f>IF(tblPassengerNames[[#This Row],[P_NSpaces]] = 0,
    tblPassengerNames[[#This Row],[InParenthesesCleaned]],
    LEFT(tblPassengerNames[[#This Row],[InParenthesesCleaned]], tblPassengerNames[[#This Row],[P_FinalSpacePos]] - 1)
)</f>
        <v>#VALUE!</v>
      </c>
      <c r="P377" t="str">
        <f>IFERROR(tblPassengerNames[[#This Row],[P_Forenames]], tblPassengerNames[[#This Row],[ConvForenames]])</f>
        <v>Reginald Charles</v>
      </c>
      <c r="Q377" t="str">
        <f>MID(tblPassengerNames[[#This Row],[Name]], tblPassengerNames[[#This Row],[CommaPos]] + 2, tblPassengerNames[[#This Row],[DotPos]] - tblPassengerNames[[#This Row],[CommaPos]] - 1)</f>
        <v>Mr.</v>
      </c>
      <c r="R377" t="str">
        <f>LEFT(tblPassengerNames[[#This Row],[Name]], tblPassengerNames[[#This Row],[CommaPos]] - 1)</f>
        <v>Coleridge</v>
      </c>
    </row>
    <row r="378" spans="2:18" x14ac:dyDescent="0.25">
      <c r="B378" s="21">
        <v>376</v>
      </c>
      <c r="C378" s="21" t="s">
        <v>512</v>
      </c>
      <c r="D378" s="21" t="s">
        <v>138</v>
      </c>
      <c r="E378">
        <f>FIND(",", tblPassengerNames[[#This Row],[Name]])</f>
        <v>10</v>
      </c>
      <c r="F378">
        <f>FIND(".", tblPassengerNames[[#This Row],[Name]])</f>
        <v>14</v>
      </c>
      <c r="G378" t="e">
        <f>FIND("(", tblPassengerNames[[#This Row],[Name]])</f>
        <v>#VALUE!</v>
      </c>
      <c r="H378" t="e">
        <f>FIND(")", tblPassengerNames[[#This Row],[Name]])</f>
        <v>#VALUE!</v>
      </c>
      <c r="I378">
        <f>IFERROR(tblPassengerNames[[#This Row],[OpenParPos]] - 2, LEN(tblPassengerNames[[#This Row],[Name]]))</f>
        <v>26</v>
      </c>
      <c r="J378" t="str">
        <f>MID(tblPassengerNames[[#This Row],[Name]], tblPassengerNames[[#This Row],[DotPos]] + 2, tblPassengerNames[[#This Row],[EndOfConvFNPos]] - tblPassengerNames[[#This Row],[DotPos]] - 1)</f>
        <v>Erik Gustaf</v>
      </c>
      <c r="K378" t="e">
        <f>MID(tblPassengerNames[[#This Row],[Name]], tblPassengerNames[[#This Row],[OpenParPos]] + 1, tblPassengerNames[[#This Row],[CloseParPos]] - tblPassengerNames[[#This Row],[OpenParPos]] - 1)</f>
        <v>#VALUE!</v>
      </c>
      <c r="L378" t="e">
        <f>IF(AND(LEFT(tblPassengerNames[[#This Row],[InParentheses]], 1) = "'", RIGHT(tblPassengerNames[[#This Row],[InParentheses]], 1) = "'"),
    #VALUE!,
    tblPassengerNames[[#This Row],[InParentheses]]
)</f>
        <v>#VALUE!</v>
      </c>
      <c r="M378" t="e">
        <f>LEN(tblPassengerNames[[#This Row],[InParenthesesCleaned]]) - LEN(SUBSTITUTE(tblPassengerNames[[#This Row],[InParenthesesCleaned]], " ", ""))</f>
        <v>#VALUE!</v>
      </c>
      <c r="N378" t="e">
        <f>FIND("@", SUBSTITUTE(tblPassengerNames[[#This Row],[InParenthesesCleaned]], " ", "@", tblPassengerNames[[#This Row],[P_NSpaces]]))</f>
        <v>#VALUE!</v>
      </c>
      <c r="O378" t="e">
        <f>IF(tblPassengerNames[[#This Row],[P_NSpaces]] = 0,
    tblPassengerNames[[#This Row],[InParenthesesCleaned]],
    LEFT(tblPassengerNames[[#This Row],[InParenthesesCleaned]], tblPassengerNames[[#This Row],[P_FinalSpacePos]] - 1)
)</f>
        <v>#VALUE!</v>
      </c>
      <c r="P378" t="str">
        <f>IFERROR(tblPassengerNames[[#This Row],[P_Forenames]], tblPassengerNames[[#This Row],[ConvForenames]])</f>
        <v>Erik Gustaf</v>
      </c>
      <c r="Q378" t="str">
        <f>MID(tblPassengerNames[[#This Row],[Name]], tblPassengerNames[[#This Row],[CommaPos]] + 2, tblPassengerNames[[#This Row],[DotPos]] - tblPassengerNames[[#This Row],[CommaPos]] - 1)</f>
        <v>Mr.</v>
      </c>
      <c r="R378" t="str">
        <f>LEFT(tblPassengerNames[[#This Row],[Name]], tblPassengerNames[[#This Row],[CommaPos]] - 1)</f>
        <v>Collander</v>
      </c>
    </row>
    <row r="379" spans="2:18" x14ac:dyDescent="0.25">
      <c r="B379" s="21">
        <v>377</v>
      </c>
      <c r="C379" s="21" t="s">
        <v>513</v>
      </c>
      <c r="D379" s="21" t="s">
        <v>138</v>
      </c>
      <c r="E379">
        <f>FIND(",", tblPassengerNames[[#This Row],[Name]])</f>
        <v>8</v>
      </c>
      <c r="F379">
        <f>FIND(".", tblPassengerNames[[#This Row],[Name]])</f>
        <v>12</v>
      </c>
      <c r="G379" t="e">
        <f>FIND("(", tblPassengerNames[[#This Row],[Name]])</f>
        <v>#VALUE!</v>
      </c>
      <c r="H379" t="e">
        <f>FIND(")", tblPassengerNames[[#This Row],[Name]])</f>
        <v>#VALUE!</v>
      </c>
      <c r="I379">
        <f>IFERROR(tblPassengerNames[[#This Row],[OpenParPos]] - 2, LEN(tblPassengerNames[[#This Row],[Name]]))</f>
        <v>28</v>
      </c>
      <c r="J379" t="str">
        <f>MID(tblPassengerNames[[#This Row],[Name]], tblPassengerNames[[#This Row],[DotPos]] + 2, tblPassengerNames[[#This Row],[EndOfConvFNPos]] - tblPassengerNames[[#This Row],[DotPos]] - 1)</f>
        <v>Sidney C Stuart</v>
      </c>
      <c r="K379" t="e">
        <f>MID(tblPassengerNames[[#This Row],[Name]], tblPassengerNames[[#This Row],[OpenParPos]] + 1, tblPassengerNames[[#This Row],[CloseParPos]] - tblPassengerNames[[#This Row],[OpenParPos]] - 1)</f>
        <v>#VALUE!</v>
      </c>
      <c r="L379" t="e">
        <f>IF(AND(LEFT(tblPassengerNames[[#This Row],[InParentheses]], 1) = "'", RIGHT(tblPassengerNames[[#This Row],[InParentheses]], 1) = "'"),
    #VALUE!,
    tblPassengerNames[[#This Row],[InParentheses]]
)</f>
        <v>#VALUE!</v>
      </c>
      <c r="M379" t="e">
        <f>LEN(tblPassengerNames[[#This Row],[InParenthesesCleaned]]) - LEN(SUBSTITUTE(tblPassengerNames[[#This Row],[InParenthesesCleaned]], " ", ""))</f>
        <v>#VALUE!</v>
      </c>
      <c r="N379" t="e">
        <f>FIND("@", SUBSTITUTE(tblPassengerNames[[#This Row],[InParenthesesCleaned]], " ", "@", tblPassengerNames[[#This Row],[P_NSpaces]]))</f>
        <v>#VALUE!</v>
      </c>
      <c r="O379" t="e">
        <f>IF(tblPassengerNames[[#This Row],[P_NSpaces]] = 0,
    tblPassengerNames[[#This Row],[InParenthesesCleaned]],
    LEFT(tblPassengerNames[[#This Row],[InParenthesesCleaned]], tblPassengerNames[[#This Row],[P_FinalSpacePos]] - 1)
)</f>
        <v>#VALUE!</v>
      </c>
      <c r="P379" t="str">
        <f>IFERROR(tblPassengerNames[[#This Row],[P_Forenames]], tblPassengerNames[[#This Row],[ConvForenames]])</f>
        <v>Sidney C Stuart</v>
      </c>
      <c r="Q379" t="str">
        <f>MID(tblPassengerNames[[#This Row],[Name]], tblPassengerNames[[#This Row],[CommaPos]] + 2, tblPassengerNames[[#This Row],[DotPos]] - tblPassengerNames[[#This Row],[CommaPos]] - 1)</f>
        <v>Mr.</v>
      </c>
      <c r="R379" t="str">
        <f>LEFT(tblPassengerNames[[#This Row],[Name]], tblPassengerNames[[#This Row],[CommaPos]] - 1)</f>
        <v>Collett</v>
      </c>
    </row>
    <row r="380" spans="2:18" x14ac:dyDescent="0.25">
      <c r="B380" s="21">
        <v>378</v>
      </c>
      <c r="C380" s="21" t="s">
        <v>514</v>
      </c>
      <c r="D380" s="21" t="s">
        <v>136</v>
      </c>
      <c r="E380">
        <f>FIND(",", tblPassengerNames[[#This Row],[Name]])</f>
        <v>8</v>
      </c>
      <c r="F380">
        <f>FIND(".", tblPassengerNames[[#This Row],[Name]])</f>
        <v>14</v>
      </c>
      <c r="G380" t="e">
        <f>FIND("(", tblPassengerNames[[#This Row],[Name]])</f>
        <v>#VALUE!</v>
      </c>
      <c r="H380" t="e">
        <f>FIND(")", tblPassengerNames[[#This Row],[Name]])</f>
        <v>#VALUE!</v>
      </c>
      <c r="I380">
        <f>IFERROR(tblPassengerNames[[#This Row],[OpenParPos]] - 2, LEN(tblPassengerNames[[#This Row],[Name]]))</f>
        <v>32</v>
      </c>
      <c r="J380" t="str">
        <f>MID(tblPassengerNames[[#This Row],[Name]], tblPassengerNames[[#This Row],[DotPos]] + 2, tblPassengerNames[[#This Row],[EndOfConvFNPos]] - tblPassengerNames[[#This Row],[DotPos]] - 1)</f>
        <v>Marjorie 'Lottie'</v>
      </c>
      <c r="K380" t="e">
        <f>MID(tblPassengerNames[[#This Row],[Name]], tblPassengerNames[[#This Row],[OpenParPos]] + 1, tblPassengerNames[[#This Row],[CloseParPos]] - tblPassengerNames[[#This Row],[OpenParPos]] - 1)</f>
        <v>#VALUE!</v>
      </c>
      <c r="L380" t="e">
        <f>IF(AND(LEFT(tblPassengerNames[[#This Row],[InParentheses]], 1) = "'", RIGHT(tblPassengerNames[[#This Row],[InParentheses]], 1) = "'"),
    #VALUE!,
    tblPassengerNames[[#This Row],[InParentheses]]
)</f>
        <v>#VALUE!</v>
      </c>
      <c r="M380" t="e">
        <f>LEN(tblPassengerNames[[#This Row],[InParenthesesCleaned]]) - LEN(SUBSTITUTE(tblPassengerNames[[#This Row],[InParenthesesCleaned]], " ", ""))</f>
        <v>#VALUE!</v>
      </c>
      <c r="N380" t="e">
        <f>FIND("@", SUBSTITUTE(tblPassengerNames[[#This Row],[InParenthesesCleaned]], " ", "@", tblPassengerNames[[#This Row],[P_NSpaces]]))</f>
        <v>#VALUE!</v>
      </c>
      <c r="O380" t="e">
        <f>IF(tblPassengerNames[[#This Row],[P_NSpaces]] = 0,
    tblPassengerNames[[#This Row],[InParenthesesCleaned]],
    LEFT(tblPassengerNames[[#This Row],[InParenthesesCleaned]], tblPassengerNames[[#This Row],[P_FinalSpacePos]] - 1)
)</f>
        <v>#VALUE!</v>
      </c>
      <c r="P380" t="str">
        <f>IFERROR(tblPassengerNames[[#This Row],[P_Forenames]], tblPassengerNames[[#This Row],[ConvForenames]])</f>
        <v>Marjorie 'Lottie'</v>
      </c>
      <c r="Q380" t="str">
        <f>MID(tblPassengerNames[[#This Row],[Name]], tblPassengerNames[[#This Row],[CommaPos]] + 2, tblPassengerNames[[#This Row],[DotPos]] - tblPassengerNames[[#This Row],[CommaPos]] - 1)</f>
        <v>Miss.</v>
      </c>
      <c r="R380" t="str">
        <f>LEFT(tblPassengerNames[[#This Row],[Name]], tblPassengerNames[[#This Row],[CommaPos]] - 1)</f>
        <v>Collyer</v>
      </c>
    </row>
    <row r="381" spans="2:18" x14ac:dyDescent="0.25">
      <c r="B381" s="21">
        <v>379</v>
      </c>
      <c r="C381" s="21" t="s">
        <v>515</v>
      </c>
      <c r="D381" s="21" t="s">
        <v>138</v>
      </c>
      <c r="E381">
        <f>FIND(",", tblPassengerNames[[#This Row],[Name]])</f>
        <v>8</v>
      </c>
      <c r="F381">
        <f>FIND(".", tblPassengerNames[[#This Row],[Name]])</f>
        <v>12</v>
      </c>
      <c r="G381" t="e">
        <f>FIND("(", tblPassengerNames[[#This Row],[Name]])</f>
        <v>#VALUE!</v>
      </c>
      <c r="H381" t="e">
        <f>FIND(")", tblPassengerNames[[#This Row],[Name]])</f>
        <v>#VALUE!</v>
      </c>
      <c r="I381">
        <f>IFERROR(tblPassengerNames[[#This Row],[OpenParPos]] - 2, LEN(tblPassengerNames[[#This Row],[Name]]))</f>
        <v>19</v>
      </c>
      <c r="J381" t="str">
        <f>MID(tblPassengerNames[[#This Row],[Name]], tblPassengerNames[[#This Row],[DotPos]] + 2, tblPassengerNames[[#This Row],[EndOfConvFNPos]] - tblPassengerNames[[#This Row],[DotPos]] - 1)</f>
        <v>Harvey</v>
      </c>
      <c r="K381" t="e">
        <f>MID(tblPassengerNames[[#This Row],[Name]], tblPassengerNames[[#This Row],[OpenParPos]] + 1, tblPassengerNames[[#This Row],[CloseParPos]] - tblPassengerNames[[#This Row],[OpenParPos]] - 1)</f>
        <v>#VALUE!</v>
      </c>
      <c r="L381" t="e">
        <f>IF(AND(LEFT(tblPassengerNames[[#This Row],[InParentheses]], 1) = "'", RIGHT(tblPassengerNames[[#This Row],[InParentheses]], 1) = "'"),
    #VALUE!,
    tblPassengerNames[[#This Row],[InParentheses]]
)</f>
        <v>#VALUE!</v>
      </c>
      <c r="M381" t="e">
        <f>LEN(tblPassengerNames[[#This Row],[InParenthesesCleaned]]) - LEN(SUBSTITUTE(tblPassengerNames[[#This Row],[InParenthesesCleaned]], " ", ""))</f>
        <v>#VALUE!</v>
      </c>
      <c r="N381" t="e">
        <f>FIND("@", SUBSTITUTE(tblPassengerNames[[#This Row],[InParenthesesCleaned]], " ", "@", tblPassengerNames[[#This Row],[P_NSpaces]]))</f>
        <v>#VALUE!</v>
      </c>
      <c r="O381" t="e">
        <f>IF(tblPassengerNames[[#This Row],[P_NSpaces]] = 0,
    tblPassengerNames[[#This Row],[InParenthesesCleaned]],
    LEFT(tblPassengerNames[[#This Row],[InParenthesesCleaned]], tblPassengerNames[[#This Row],[P_FinalSpacePos]] - 1)
)</f>
        <v>#VALUE!</v>
      </c>
      <c r="P381" t="str">
        <f>IFERROR(tblPassengerNames[[#This Row],[P_Forenames]], tblPassengerNames[[#This Row],[ConvForenames]])</f>
        <v>Harvey</v>
      </c>
      <c r="Q381" t="str">
        <f>MID(tblPassengerNames[[#This Row],[Name]], tblPassengerNames[[#This Row],[CommaPos]] + 2, tblPassengerNames[[#This Row],[DotPos]] - tblPassengerNames[[#This Row],[CommaPos]] - 1)</f>
        <v>Mr.</v>
      </c>
      <c r="R381" t="str">
        <f>LEFT(tblPassengerNames[[#This Row],[Name]], tblPassengerNames[[#This Row],[CommaPos]] - 1)</f>
        <v>Collyer</v>
      </c>
    </row>
    <row r="382" spans="2:18" x14ac:dyDescent="0.25">
      <c r="B382" s="21">
        <v>380</v>
      </c>
      <c r="C382" s="21" t="s">
        <v>516</v>
      </c>
      <c r="D382" s="21" t="s">
        <v>136</v>
      </c>
      <c r="E382">
        <f>FIND(",", tblPassengerNames[[#This Row],[Name]])</f>
        <v>8</v>
      </c>
      <c r="F382">
        <f>FIND(".", tblPassengerNames[[#This Row],[Name]])</f>
        <v>13</v>
      </c>
      <c r="G382">
        <f>FIND("(", tblPassengerNames[[#This Row],[Name]])</f>
        <v>22</v>
      </c>
      <c r="H382">
        <f>FIND(")", tblPassengerNames[[#This Row],[Name]])</f>
        <v>43</v>
      </c>
      <c r="I382">
        <f>IFERROR(tblPassengerNames[[#This Row],[OpenParPos]] - 2, LEN(tblPassengerNames[[#This Row],[Name]]))</f>
        <v>20</v>
      </c>
      <c r="J382" t="str">
        <f>MID(tblPassengerNames[[#This Row],[Name]], tblPassengerNames[[#This Row],[DotPos]] + 2, tblPassengerNames[[#This Row],[EndOfConvFNPos]] - tblPassengerNames[[#This Row],[DotPos]] - 1)</f>
        <v>Harvey</v>
      </c>
      <c r="K382" t="str">
        <f>MID(tblPassengerNames[[#This Row],[Name]], tblPassengerNames[[#This Row],[OpenParPos]] + 1, tblPassengerNames[[#This Row],[CloseParPos]] - tblPassengerNames[[#This Row],[OpenParPos]] - 1)</f>
        <v>Charlotte Annie Tate</v>
      </c>
      <c r="L382" t="str">
        <f>IF(AND(LEFT(tblPassengerNames[[#This Row],[InParentheses]], 1) = "'", RIGHT(tblPassengerNames[[#This Row],[InParentheses]], 1) = "'"),
    #VALUE!,
    tblPassengerNames[[#This Row],[InParentheses]]
)</f>
        <v>Charlotte Annie Tate</v>
      </c>
      <c r="M382">
        <f>LEN(tblPassengerNames[[#This Row],[InParenthesesCleaned]]) - LEN(SUBSTITUTE(tblPassengerNames[[#This Row],[InParenthesesCleaned]], " ", ""))</f>
        <v>2</v>
      </c>
      <c r="N382">
        <f>FIND("@", SUBSTITUTE(tblPassengerNames[[#This Row],[InParenthesesCleaned]], " ", "@", tblPassengerNames[[#This Row],[P_NSpaces]]))</f>
        <v>16</v>
      </c>
      <c r="O382" t="str">
        <f>IF(tblPassengerNames[[#This Row],[P_NSpaces]] = 0,
    tblPassengerNames[[#This Row],[InParenthesesCleaned]],
    LEFT(tblPassengerNames[[#This Row],[InParenthesesCleaned]], tblPassengerNames[[#This Row],[P_FinalSpacePos]] - 1)
)</f>
        <v>Charlotte Annie</v>
      </c>
      <c r="P382" t="str">
        <f>IFERROR(tblPassengerNames[[#This Row],[P_Forenames]], tblPassengerNames[[#This Row],[ConvForenames]])</f>
        <v>Charlotte Annie</v>
      </c>
      <c r="Q382" t="str">
        <f>MID(tblPassengerNames[[#This Row],[Name]], tblPassengerNames[[#This Row],[CommaPos]] + 2, tblPassengerNames[[#This Row],[DotPos]] - tblPassengerNames[[#This Row],[CommaPos]] - 1)</f>
        <v>Mrs.</v>
      </c>
      <c r="R382" t="str">
        <f>LEFT(tblPassengerNames[[#This Row],[Name]], tblPassengerNames[[#This Row],[CommaPos]] - 1)</f>
        <v>Collyer</v>
      </c>
    </row>
    <row r="383" spans="2:18" x14ac:dyDescent="0.25">
      <c r="B383" s="21">
        <v>381</v>
      </c>
      <c r="C383" s="21" t="s">
        <v>517</v>
      </c>
      <c r="D383" s="21" t="s">
        <v>136</v>
      </c>
      <c r="E383">
        <f>FIND(",", tblPassengerNames[[#This Row],[Name]])</f>
        <v>5</v>
      </c>
      <c r="F383">
        <f>FIND(".", tblPassengerNames[[#This Row],[Name]])</f>
        <v>10</v>
      </c>
      <c r="G383">
        <f>FIND("(", tblPassengerNames[[#This Row],[Name]])</f>
        <v>12</v>
      </c>
      <c r="H383">
        <f>FIND(")", tblPassengerNames[[#This Row],[Name]])</f>
        <v>26</v>
      </c>
      <c r="I383">
        <f>IFERROR(tblPassengerNames[[#This Row],[OpenParPos]] - 2, LEN(tblPassengerNames[[#This Row],[Name]]))</f>
        <v>10</v>
      </c>
      <c r="J383" t="e">
        <f>MID(tblPassengerNames[[#This Row],[Name]], tblPassengerNames[[#This Row],[DotPos]] + 2, tblPassengerNames[[#This Row],[EndOfConvFNPos]] - tblPassengerNames[[#This Row],[DotPos]] - 1)</f>
        <v>#VALUE!</v>
      </c>
      <c r="K383" t="str">
        <f>MID(tblPassengerNames[[#This Row],[Name]], tblPassengerNames[[#This Row],[OpenParPos]] + 1, tblPassengerNames[[#This Row],[CloseParPos]] - tblPassengerNames[[#This Row],[OpenParPos]] - 1)</f>
        <v>Selena Rogers</v>
      </c>
      <c r="L383" t="str">
        <f>IF(AND(LEFT(tblPassengerNames[[#This Row],[InParentheses]], 1) = "'", RIGHT(tblPassengerNames[[#This Row],[InParentheses]], 1) = "'"),
    #VALUE!,
    tblPassengerNames[[#This Row],[InParentheses]]
)</f>
        <v>Selena Rogers</v>
      </c>
      <c r="M383">
        <f>LEN(tblPassengerNames[[#This Row],[InParenthesesCleaned]]) - LEN(SUBSTITUTE(tblPassengerNames[[#This Row],[InParenthesesCleaned]], " ", ""))</f>
        <v>1</v>
      </c>
      <c r="N383">
        <f>FIND("@", SUBSTITUTE(tblPassengerNames[[#This Row],[InParenthesesCleaned]], " ", "@", tblPassengerNames[[#This Row],[P_NSpaces]]))</f>
        <v>7</v>
      </c>
      <c r="O383" t="str">
        <f>IF(tblPassengerNames[[#This Row],[P_NSpaces]] = 0,
    tblPassengerNames[[#This Row],[InParenthesesCleaned]],
    LEFT(tblPassengerNames[[#This Row],[InParenthesesCleaned]], tblPassengerNames[[#This Row],[P_FinalSpacePos]] - 1)
)</f>
        <v>Selena</v>
      </c>
      <c r="P383" t="str">
        <f>IFERROR(tblPassengerNames[[#This Row],[P_Forenames]], tblPassengerNames[[#This Row],[ConvForenames]])</f>
        <v>Selena</v>
      </c>
      <c r="Q383" t="str">
        <f>MID(tblPassengerNames[[#This Row],[Name]], tblPassengerNames[[#This Row],[CommaPos]] + 2, tblPassengerNames[[#This Row],[DotPos]] - tblPassengerNames[[#This Row],[CommaPos]] - 1)</f>
        <v>Mrs.</v>
      </c>
      <c r="R383" t="str">
        <f>LEFT(tblPassengerNames[[#This Row],[Name]], tblPassengerNames[[#This Row],[CommaPos]] - 1)</f>
        <v>Cook</v>
      </c>
    </row>
    <row r="384" spans="2:18" x14ac:dyDescent="0.25">
      <c r="B384" s="21">
        <v>382</v>
      </c>
      <c r="C384" s="21" t="s">
        <v>518</v>
      </c>
      <c r="D384" s="21" t="s">
        <v>136</v>
      </c>
      <c r="E384">
        <f>FIND(",", tblPassengerNames[[#This Row],[Name]])</f>
        <v>8</v>
      </c>
      <c r="F384">
        <f>FIND(".", tblPassengerNames[[#This Row],[Name]])</f>
        <v>13</v>
      </c>
      <c r="G384">
        <f>FIND("(", tblPassengerNames[[#This Row],[Name]])</f>
        <v>24</v>
      </c>
      <c r="H384">
        <f>FIND(")", tblPassengerNames[[#This Row],[Name]])</f>
        <v>37</v>
      </c>
      <c r="I384">
        <f>IFERROR(tblPassengerNames[[#This Row],[OpenParPos]] - 2, LEN(tblPassengerNames[[#This Row],[Name]]))</f>
        <v>22</v>
      </c>
      <c r="J384" t="str">
        <f>MID(tblPassengerNames[[#This Row],[Name]], tblPassengerNames[[#This Row],[DotPos]] + 2, tblPassengerNames[[#This Row],[EndOfConvFNPos]] - tblPassengerNames[[#This Row],[DotPos]] - 1)</f>
        <v>Walter H</v>
      </c>
      <c r="K384" t="str">
        <f>MID(tblPassengerNames[[#This Row],[Name]], tblPassengerNames[[#This Row],[OpenParPos]] + 1, tblPassengerNames[[#This Row],[CloseParPos]] - tblPassengerNames[[#This Row],[OpenParPos]] - 1)</f>
        <v>Irene Colvin</v>
      </c>
      <c r="L384" t="str">
        <f>IF(AND(LEFT(tblPassengerNames[[#This Row],[InParentheses]], 1) = "'", RIGHT(tblPassengerNames[[#This Row],[InParentheses]], 1) = "'"),
    #VALUE!,
    tblPassengerNames[[#This Row],[InParentheses]]
)</f>
        <v>Irene Colvin</v>
      </c>
      <c r="M384">
        <f>LEN(tblPassengerNames[[#This Row],[InParenthesesCleaned]]) - LEN(SUBSTITUTE(tblPassengerNames[[#This Row],[InParenthesesCleaned]], " ", ""))</f>
        <v>1</v>
      </c>
      <c r="N384">
        <f>FIND("@", SUBSTITUTE(tblPassengerNames[[#This Row],[InParenthesesCleaned]], " ", "@", tblPassengerNames[[#This Row],[P_NSpaces]]))</f>
        <v>6</v>
      </c>
      <c r="O384" t="str">
        <f>IF(tblPassengerNames[[#This Row],[P_NSpaces]] = 0,
    tblPassengerNames[[#This Row],[InParenthesesCleaned]],
    LEFT(tblPassengerNames[[#This Row],[InParenthesesCleaned]], tblPassengerNames[[#This Row],[P_FinalSpacePos]] - 1)
)</f>
        <v>Irene</v>
      </c>
      <c r="P384" t="str">
        <f>IFERROR(tblPassengerNames[[#This Row],[P_Forenames]], tblPassengerNames[[#This Row],[ConvForenames]])</f>
        <v>Irene</v>
      </c>
      <c r="Q384" t="str">
        <f>MID(tblPassengerNames[[#This Row],[Name]], tblPassengerNames[[#This Row],[CommaPos]] + 2, tblPassengerNames[[#This Row],[DotPos]] - tblPassengerNames[[#This Row],[CommaPos]] - 1)</f>
        <v>Mrs.</v>
      </c>
      <c r="R384" t="str">
        <f>LEFT(tblPassengerNames[[#This Row],[Name]], tblPassengerNames[[#This Row],[CommaPos]] - 1)</f>
        <v>Corbett</v>
      </c>
    </row>
    <row r="385" spans="2:18" x14ac:dyDescent="0.25">
      <c r="B385" s="21">
        <v>383</v>
      </c>
      <c r="C385" s="21" t="s">
        <v>519</v>
      </c>
      <c r="D385" s="21" t="s">
        <v>136</v>
      </c>
      <c r="E385">
        <f>FIND(",", tblPassengerNames[[#This Row],[Name]])</f>
        <v>6</v>
      </c>
      <c r="F385">
        <f>FIND(".", tblPassengerNames[[#This Row],[Name]])</f>
        <v>11</v>
      </c>
      <c r="G385">
        <f>FIND("(", tblPassengerNames[[#This Row],[Name]])</f>
        <v>21</v>
      </c>
      <c r="H385">
        <f>FIND(")", tblPassengerNames[[#This Row],[Name]])</f>
        <v>51</v>
      </c>
      <c r="I385">
        <f>IFERROR(tblPassengerNames[[#This Row],[OpenParPos]] - 2, LEN(tblPassengerNames[[#This Row],[Name]]))</f>
        <v>19</v>
      </c>
      <c r="J385" t="str">
        <f>MID(tblPassengerNames[[#This Row],[Name]], tblPassengerNames[[#This Row],[DotPos]] + 2, tblPassengerNames[[#This Row],[EndOfConvFNPos]] - tblPassengerNames[[#This Row],[DotPos]] - 1)</f>
        <v>Percy C</v>
      </c>
      <c r="K385" t="str">
        <f>MID(tblPassengerNames[[#This Row],[Name]], tblPassengerNames[[#This Row],[OpenParPos]] + 1, tblPassengerNames[[#This Row],[CloseParPos]] - tblPassengerNames[[#This Row],[OpenParPos]] - 1)</f>
        <v>Mary Phyllis Elizabeth Miller</v>
      </c>
      <c r="L385" t="str">
        <f>IF(AND(LEFT(tblPassengerNames[[#This Row],[InParentheses]], 1) = "'", RIGHT(tblPassengerNames[[#This Row],[InParentheses]], 1) = "'"),
    #VALUE!,
    tblPassengerNames[[#This Row],[InParentheses]]
)</f>
        <v>Mary Phyllis Elizabeth Miller</v>
      </c>
      <c r="M385">
        <f>LEN(tblPassengerNames[[#This Row],[InParenthesesCleaned]]) - LEN(SUBSTITUTE(tblPassengerNames[[#This Row],[InParenthesesCleaned]], " ", ""))</f>
        <v>3</v>
      </c>
      <c r="N385">
        <f>FIND("@", SUBSTITUTE(tblPassengerNames[[#This Row],[InParenthesesCleaned]], " ", "@", tblPassengerNames[[#This Row],[P_NSpaces]]))</f>
        <v>23</v>
      </c>
      <c r="O385" t="str">
        <f>IF(tblPassengerNames[[#This Row],[P_NSpaces]] = 0,
    tblPassengerNames[[#This Row],[InParenthesesCleaned]],
    LEFT(tblPassengerNames[[#This Row],[InParenthesesCleaned]], tblPassengerNames[[#This Row],[P_FinalSpacePos]] - 1)
)</f>
        <v>Mary Phyllis Elizabeth</v>
      </c>
      <c r="P385" t="str">
        <f>IFERROR(tblPassengerNames[[#This Row],[P_Forenames]], tblPassengerNames[[#This Row],[ConvForenames]])</f>
        <v>Mary Phyllis Elizabeth</v>
      </c>
      <c r="Q385" t="str">
        <f>MID(tblPassengerNames[[#This Row],[Name]], tblPassengerNames[[#This Row],[CommaPos]] + 2, tblPassengerNames[[#This Row],[DotPos]] - tblPassengerNames[[#This Row],[CommaPos]] - 1)</f>
        <v>Mrs.</v>
      </c>
      <c r="R385" t="str">
        <f>LEFT(tblPassengerNames[[#This Row],[Name]], tblPassengerNames[[#This Row],[CommaPos]] - 1)</f>
        <v>Corey</v>
      </c>
    </row>
    <row r="386" spans="2:18" x14ac:dyDescent="0.25">
      <c r="B386" s="21">
        <v>384</v>
      </c>
      <c r="C386" s="21" t="s">
        <v>520</v>
      </c>
      <c r="D386" s="21" t="s">
        <v>138</v>
      </c>
      <c r="E386">
        <f>FIND(",", tblPassengerNames[[#This Row],[Name]])</f>
        <v>10</v>
      </c>
      <c r="F386">
        <f>FIND(".", tblPassengerNames[[#This Row],[Name]])</f>
        <v>14</v>
      </c>
      <c r="G386" t="e">
        <f>FIND("(", tblPassengerNames[[#This Row],[Name]])</f>
        <v>#VALUE!</v>
      </c>
      <c r="H386" t="e">
        <f>FIND(")", tblPassengerNames[[#This Row],[Name]])</f>
        <v>#VALUE!</v>
      </c>
      <c r="I386">
        <f>IFERROR(tblPassengerNames[[#This Row],[OpenParPos]] - 2, LEN(tblPassengerNames[[#This Row],[Name]]))</f>
        <v>28</v>
      </c>
      <c r="J386" t="str">
        <f>MID(tblPassengerNames[[#This Row],[Name]], tblPassengerNames[[#This Row],[DotPos]] + 2, tblPassengerNames[[#This Row],[EndOfConvFNPos]] - tblPassengerNames[[#This Row],[DotPos]] - 1)</f>
        <v>Henry 'Harry'</v>
      </c>
      <c r="K386" t="e">
        <f>MID(tblPassengerNames[[#This Row],[Name]], tblPassengerNames[[#This Row],[OpenParPos]] + 1, tblPassengerNames[[#This Row],[CloseParPos]] - tblPassengerNames[[#This Row],[OpenParPos]] - 1)</f>
        <v>#VALUE!</v>
      </c>
      <c r="L386" t="e">
        <f>IF(AND(LEFT(tblPassengerNames[[#This Row],[InParentheses]], 1) = "'", RIGHT(tblPassengerNames[[#This Row],[InParentheses]], 1) = "'"),
    #VALUE!,
    tblPassengerNames[[#This Row],[InParentheses]]
)</f>
        <v>#VALUE!</v>
      </c>
      <c r="M386" t="e">
        <f>LEN(tblPassengerNames[[#This Row],[InParenthesesCleaned]]) - LEN(SUBSTITUTE(tblPassengerNames[[#This Row],[InParenthesesCleaned]], " ", ""))</f>
        <v>#VALUE!</v>
      </c>
      <c r="N386" t="e">
        <f>FIND("@", SUBSTITUTE(tblPassengerNames[[#This Row],[InParenthesesCleaned]], " ", "@", tblPassengerNames[[#This Row],[P_NSpaces]]))</f>
        <v>#VALUE!</v>
      </c>
      <c r="O386" t="e">
        <f>IF(tblPassengerNames[[#This Row],[P_NSpaces]] = 0,
    tblPassengerNames[[#This Row],[InParenthesesCleaned]],
    LEFT(tblPassengerNames[[#This Row],[InParenthesesCleaned]], tblPassengerNames[[#This Row],[P_FinalSpacePos]] - 1)
)</f>
        <v>#VALUE!</v>
      </c>
      <c r="P386" t="str">
        <f>IFERROR(tblPassengerNames[[#This Row],[P_Forenames]], tblPassengerNames[[#This Row],[ConvForenames]])</f>
        <v>Henry 'Harry'</v>
      </c>
      <c r="Q386" t="str">
        <f>MID(tblPassengerNames[[#This Row],[Name]], tblPassengerNames[[#This Row],[CommaPos]] + 2, tblPassengerNames[[#This Row],[DotPos]] - tblPassengerNames[[#This Row],[CommaPos]] - 1)</f>
        <v>Mr.</v>
      </c>
      <c r="R386" t="str">
        <f>LEFT(tblPassengerNames[[#This Row],[Name]], tblPassengerNames[[#This Row],[CommaPos]] - 1)</f>
        <v>Cotterill</v>
      </c>
    </row>
    <row r="387" spans="2:18" x14ac:dyDescent="0.25">
      <c r="B387" s="21">
        <v>385</v>
      </c>
      <c r="C387" s="21" t="s">
        <v>521</v>
      </c>
      <c r="D387" s="21" t="s">
        <v>138</v>
      </c>
      <c r="E387">
        <f>FIND(",", tblPassengerNames[[#This Row],[Name]])</f>
        <v>11</v>
      </c>
      <c r="F387">
        <f>FIND(".", tblPassengerNames[[#This Row],[Name]])</f>
        <v>15</v>
      </c>
      <c r="G387" t="e">
        <f>FIND("(", tblPassengerNames[[#This Row],[Name]])</f>
        <v>#VALUE!</v>
      </c>
      <c r="H387" t="e">
        <f>FIND(")", tblPassengerNames[[#This Row],[Name]])</f>
        <v>#VALUE!</v>
      </c>
      <c r="I387">
        <f>IFERROR(tblPassengerNames[[#This Row],[OpenParPos]] - 2, LEN(tblPassengerNames[[#This Row],[Name]]))</f>
        <v>30</v>
      </c>
      <c r="J387" t="str">
        <f>MID(tblPassengerNames[[#This Row],[Name]], tblPassengerNames[[#This Row],[DotPos]] + 2, tblPassengerNames[[#This Row],[EndOfConvFNPos]] - tblPassengerNames[[#This Row],[DotPos]] - 1)</f>
        <v>Alfred Fleming</v>
      </c>
      <c r="K387" t="e">
        <f>MID(tblPassengerNames[[#This Row],[Name]], tblPassengerNames[[#This Row],[OpenParPos]] + 1, tblPassengerNames[[#This Row],[CloseParPos]] - tblPassengerNames[[#This Row],[OpenParPos]] - 1)</f>
        <v>#VALUE!</v>
      </c>
      <c r="L387" t="e">
        <f>IF(AND(LEFT(tblPassengerNames[[#This Row],[InParentheses]], 1) = "'", RIGHT(tblPassengerNames[[#This Row],[InParentheses]], 1) = "'"),
    #VALUE!,
    tblPassengerNames[[#This Row],[InParentheses]]
)</f>
        <v>#VALUE!</v>
      </c>
      <c r="M387" t="e">
        <f>LEN(tblPassengerNames[[#This Row],[InParenthesesCleaned]]) - LEN(SUBSTITUTE(tblPassengerNames[[#This Row],[InParenthesesCleaned]], " ", ""))</f>
        <v>#VALUE!</v>
      </c>
      <c r="N387" t="e">
        <f>FIND("@", SUBSTITUTE(tblPassengerNames[[#This Row],[InParenthesesCleaned]], " ", "@", tblPassengerNames[[#This Row],[P_NSpaces]]))</f>
        <v>#VALUE!</v>
      </c>
      <c r="O387" t="e">
        <f>IF(tblPassengerNames[[#This Row],[P_NSpaces]] = 0,
    tblPassengerNames[[#This Row],[InParenthesesCleaned]],
    LEFT(tblPassengerNames[[#This Row],[InParenthesesCleaned]], tblPassengerNames[[#This Row],[P_FinalSpacePos]] - 1)
)</f>
        <v>#VALUE!</v>
      </c>
      <c r="P387" t="str">
        <f>IFERROR(tblPassengerNames[[#This Row],[P_Forenames]], tblPassengerNames[[#This Row],[ConvForenames]])</f>
        <v>Alfred Fleming</v>
      </c>
      <c r="Q387" t="str">
        <f>MID(tblPassengerNames[[#This Row],[Name]], tblPassengerNames[[#This Row],[CommaPos]] + 2, tblPassengerNames[[#This Row],[DotPos]] - tblPassengerNames[[#This Row],[CommaPos]] - 1)</f>
        <v>Mr.</v>
      </c>
      <c r="R387" t="str">
        <f>LEFT(tblPassengerNames[[#This Row],[Name]], tblPassengerNames[[#This Row],[CommaPos]] - 1)</f>
        <v>Cunningham</v>
      </c>
    </row>
    <row r="388" spans="2:18" x14ac:dyDescent="0.25">
      <c r="B388" s="21">
        <v>386</v>
      </c>
      <c r="C388" s="21" t="s">
        <v>522</v>
      </c>
      <c r="D388" s="21" t="s">
        <v>138</v>
      </c>
      <c r="E388">
        <f>FIND(",", tblPassengerNames[[#This Row],[Name]])</f>
        <v>7</v>
      </c>
      <c r="F388">
        <f>FIND(".", tblPassengerNames[[#This Row],[Name]])</f>
        <v>15</v>
      </c>
      <c r="G388" t="e">
        <f>FIND("(", tblPassengerNames[[#This Row],[Name]])</f>
        <v>#VALUE!</v>
      </c>
      <c r="H388" t="e">
        <f>FIND(")", tblPassengerNames[[#This Row],[Name]])</f>
        <v>#VALUE!</v>
      </c>
      <c r="I388">
        <f>IFERROR(tblPassengerNames[[#This Row],[OpenParPos]] - 2, LEN(tblPassengerNames[[#This Row],[Name]]))</f>
        <v>30</v>
      </c>
      <c r="J388" t="str">
        <f>MID(tblPassengerNames[[#This Row],[Name]], tblPassengerNames[[#This Row],[DotPos]] + 2, tblPassengerNames[[#This Row],[EndOfConvFNPos]] - tblPassengerNames[[#This Row],[DotPos]] - 1)</f>
        <v>John Morgan Jr</v>
      </c>
      <c r="K388" t="e">
        <f>MID(tblPassengerNames[[#This Row],[Name]], tblPassengerNames[[#This Row],[OpenParPos]] + 1, tblPassengerNames[[#This Row],[CloseParPos]] - tblPassengerNames[[#This Row],[OpenParPos]] - 1)</f>
        <v>#VALUE!</v>
      </c>
      <c r="L388" t="e">
        <f>IF(AND(LEFT(tblPassengerNames[[#This Row],[InParentheses]], 1) = "'", RIGHT(tblPassengerNames[[#This Row],[InParentheses]], 1) = "'"),
    #VALUE!,
    tblPassengerNames[[#This Row],[InParentheses]]
)</f>
        <v>#VALUE!</v>
      </c>
      <c r="M388" t="e">
        <f>LEN(tblPassengerNames[[#This Row],[InParenthesesCleaned]]) - LEN(SUBSTITUTE(tblPassengerNames[[#This Row],[InParenthesesCleaned]], " ", ""))</f>
        <v>#VALUE!</v>
      </c>
      <c r="N388" t="e">
        <f>FIND("@", SUBSTITUTE(tblPassengerNames[[#This Row],[InParenthesesCleaned]], " ", "@", tblPassengerNames[[#This Row],[P_NSpaces]]))</f>
        <v>#VALUE!</v>
      </c>
      <c r="O388" t="e">
        <f>IF(tblPassengerNames[[#This Row],[P_NSpaces]] = 0,
    tblPassengerNames[[#This Row],[InParenthesesCleaned]],
    LEFT(tblPassengerNames[[#This Row],[InParenthesesCleaned]], tblPassengerNames[[#This Row],[P_FinalSpacePos]] - 1)
)</f>
        <v>#VALUE!</v>
      </c>
      <c r="P388" t="str">
        <f>IFERROR(tblPassengerNames[[#This Row],[P_Forenames]], tblPassengerNames[[#This Row],[ConvForenames]])</f>
        <v>John Morgan Jr</v>
      </c>
      <c r="Q388" t="str">
        <f>MID(tblPassengerNames[[#This Row],[Name]], tblPassengerNames[[#This Row],[CommaPos]] + 2, tblPassengerNames[[#This Row],[DotPos]] - tblPassengerNames[[#This Row],[CommaPos]] - 1)</f>
        <v>Master.</v>
      </c>
      <c r="R388" t="str">
        <f>LEFT(tblPassengerNames[[#This Row],[Name]], tblPassengerNames[[#This Row],[CommaPos]] - 1)</f>
        <v>Davies</v>
      </c>
    </row>
    <row r="389" spans="2:18" x14ac:dyDescent="0.25">
      <c r="B389" s="21">
        <v>387</v>
      </c>
      <c r="C389" s="21" t="s">
        <v>523</v>
      </c>
      <c r="D389" s="21" t="s">
        <v>138</v>
      </c>
      <c r="E389">
        <f>FIND(",", tblPassengerNames[[#This Row],[Name]])</f>
        <v>7</v>
      </c>
      <c r="F389">
        <f>FIND(".", tblPassengerNames[[#This Row],[Name]])</f>
        <v>11</v>
      </c>
      <c r="G389" t="e">
        <f>FIND("(", tblPassengerNames[[#This Row],[Name]])</f>
        <v>#VALUE!</v>
      </c>
      <c r="H389" t="e">
        <f>FIND(")", tblPassengerNames[[#This Row],[Name]])</f>
        <v>#VALUE!</v>
      </c>
      <c r="I389">
        <f>IFERROR(tblPassengerNames[[#This Row],[OpenParPos]] - 2, LEN(tblPassengerNames[[#This Row],[Name]]))</f>
        <v>25</v>
      </c>
      <c r="J389" t="str">
        <f>MID(tblPassengerNames[[#This Row],[Name]], tblPassengerNames[[#This Row],[DotPos]] + 2, tblPassengerNames[[#This Row],[EndOfConvFNPos]] - tblPassengerNames[[#This Row],[DotPos]] - 1)</f>
        <v>Charles Henry</v>
      </c>
      <c r="K389" t="e">
        <f>MID(tblPassengerNames[[#This Row],[Name]], tblPassengerNames[[#This Row],[OpenParPos]] + 1, tblPassengerNames[[#This Row],[CloseParPos]] - tblPassengerNames[[#This Row],[OpenParPos]] - 1)</f>
        <v>#VALUE!</v>
      </c>
      <c r="L389" t="e">
        <f>IF(AND(LEFT(tblPassengerNames[[#This Row],[InParentheses]], 1) = "'", RIGHT(tblPassengerNames[[#This Row],[InParentheses]], 1) = "'"),
    #VALUE!,
    tblPassengerNames[[#This Row],[InParentheses]]
)</f>
        <v>#VALUE!</v>
      </c>
      <c r="M389" t="e">
        <f>LEN(tblPassengerNames[[#This Row],[InParenthesesCleaned]]) - LEN(SUBSTITUTE(tblPassengerNames[[#This Row],[InParenthesesCleaned]], " ", ""))</f>
        <v>#VALUE!</v>
      </c>
      <c r="N389" t="e">
        <f>FIND("@", SUBSTITUTE(tblPassengerNames[[#This Row],[InParenthesesCleaned]], " ", "@", tblPassengerNames[[#This Row],[P_NSpaces]]))</f>
        <v>#VALUE!</v>
      </c>
      <c r="O389" t="e">
        <f>IF(tblPassengerNames[[#This Row],[P_NSpaces]] = 0,
    tblPassengerNames[[#This Row],[InParenthesesCleaned]],
    LEFT(tblPassengerNames[[#This Row],[InParenthesesCleaned]], tblPassengerNames[[#This Row],[P_FinalSpacePos]] - 1)
)</f>
        <v>#VALUE!</v>
      </c>
      <c r="P389" t="str">
        <f>IFERROR(tblPassengerNames[[#This Row],[P_Forenames]], tblPassengerNames[[#This Row],[ConvForenames]])</f>
        <v>Charles Henry</v>
      </c>
      <c r="Q389" t="str">
        <f>MID(tblPassengerNames[[#This Row],[Name]], tblPassengerNames[[#This Row],[CommaPos]] + 2, tblPassengerNames[[#This Row],[DotPos]] - tblPassengerNames[[#This Row],[CommaPos]] - 1)</f>
        <v>Mr.</v>
      </c>
      <c r="R389" t="str">
        <f>LEFT(tblPassengerNames[[#This Row],[Name]], tblPassengerNames[[#This Row],[CommaPos]] - 1)</f>
        <v>Davies</v>
      </c>
    </row>
    <row r="390" spans="2:18" x14ac:dyDescent="0.25">
      <c r="B390" s="21">
        <v>388</v>
      </c>
      <c r="C390" s="21" t="s">
        <v>524</v>
      </c>
      <c r="D390" s="21" t="s">
        <v>136</v>
      </c>
      <c r="E390">
        <f>FIND(",", tblPassengerNames[[#This Row],[Name]])</f>
        <v>7</v>
      </c>
      <c r="F390">
        <f>FIND(".", tblPassengerNames[[#This Row],[Name]])</f>
        <v>12</v>
      </c>
      <c r="G390">
        <f>FIND("(", tblPassengerNames[[#This Row],[Name]])</f>
        <v>26</v>
      </c>
      <c r="H390">
        <f>FIND(")", tblPassengerNames[[#This Row],[Name]])</f>
        <v>53</v>
      </c>
      <c r="I390">
        <f>IFERROR(tblPassengerNames[[#This Row],[OpenParPos]] - 2, LEN(tblPassengerNames[[#This Row],[Name]]))</f>
        <v>24</v>
      </c>
      <c r="J390" t="str">
        <f>MID(tblPassengerNames[[#This Row],[Name]], tblPassengerNames[[#This Row],[DotPos]] + 2, tblPassengerNames[[#This Row],[EndOfConvFNPos]] - tblPassengerNames[[#This Row],[DotPos]] - 1)</f>
        <v>John Morgan</v>
      </c>
      <c r="K390" t="str">
        <f>MID(tblPassengerNames[[#This Row],[Name]], tblPassengerNames[[#This Row],[OpenParPos]] + 1, tblPassengerNames[[#This Row],[CloseParPos]] - tblPassengerNames[[#This Row],[OpenParPos]] - 1)</f>
        <v>Elizabeth Agnes Mary White</v>
      </c>
      <c r="L390" t="str">
        <f>IF(AND(LEFT(tblPassengerNames[[#This Row],[InParentheses]], 1) = "'", RIGHT(tblPassengerNames[[#This Row],[InParentheses]], 1) = "'"),
    #VALUE!,
    tblPassengerNames[[#This Row],[InParentheses]]
)</f>
        <v>Elizabeth Agnes Mary White</v>
      </c>
      <c r="M390">
        <f>LEN(tblPassengerNames[[#This Row],[InParenthesesCleaned]]) - LEN(SUBSTITUTE(tblPassengerNames[[#This Row],[InParenthesesCleaned]], " ", ""))</f>
        <v>3</v>
      </c>
      <c r="N390">
        <f>FIND("@", SUBSTITUTE(tblPassengerNames[[#This Row],[InParenthesesCleaned]], " ", "@", tblPassengerNames[[#This Row],[P_NSpaces]]))</f>
        <v>21</v>
      </c>
      <c r="O390" t="str">
        <f>IF(tblPassengerNames[[#This Row],[P_NSpaces]] = 0,
    tblPassengerNames[[#This Row],[InParenthesesCleaned]],
    LEFT(tblPassengerNames[[#This Row],[InParenthesesCleaned]], tblPassengerNames[[#This Row],[P_FinalSpacePos]] - 1)
)</f>
        <v>Elizabeth Agnes Mary</v>
      </c>
      <c r="P390" t="str">
        <f>IFERROR(tblPassengerNames[[#This Row],[P_Forenames]], tblPassengerNames[[#This Row],[ConvForenames]])</f>
        <v>Elizabeth Agnes Mary</v>
      </c>
      <c r="Q390" t="str">
        <f>MID(tblPassengerNames[[#This Row],[Name]], tblPassengerNames[[#This Row],[CommaPos]] + 2, tblPassengerNames[[#This Row],[DotPos]] - tblPassengerNames[[#This Row],[CommaPos]] - 1)</f>
        <v>Mrs.</v>
      </c>
      <c r="R390" t="str">
        <f>LEFT(tblPassengerNames[[#This Row],[Name]], tblPassengerNames[[#This Row],[CommaPos]] - 1)</f>
        <v>Davies</v>
      </c>
    </row>
    <row r="391" spans="2:18" x14ac:dyDescent="0.25">
      <c r="B391" s="21">
        <v>389</v>
      </c>
      <c r="C391" s="21" t="s">
        <v>525</v>
      </c>
      <c r="D391" s="21" t="s">
        <v>136</v>
      </c>
      <c r="E391">
        <f>FIND(",", tblPassengerNames[[#This Row],[Name]])</f>
        <v>6</v>
      </c>
      <c r="F391">
        <f>FIND(".", tblPassengerNames[[#This Row],[Name]])</f>
        <v>12</v>
      </c>
      <c r="G391" t="e">
        <f>FIND("(", tblPassengerNames[[#This Row],[Name]])</f>
        <v>#VALUE!</v>
      </c>
      <c r="H391" t="e">
        <f>FIND(")", tblPassengerNames[[#This Row],[Name]])</f>
        <v>#VALUE!</v>
      </c>
      <c r="I391">
        <f>IFERROR(tblPassengerNames[[#This Row],[OpenParPos]] - 2, LEN(tblPassengerNames[[#This Row],[Name]]))</f>
        <v>17</v>
      </c>
      <c r="J391" t="str">
        <f>MID(tblPassengerNames[[#This Row],[Name]], tblPassengerNames[[#This Row],[DotPos]] + 2, tblPassengerNames[[#This Row],[EndOfConvFNPos]] - tblPassengerNames[[#This Row],[DotPos]] - 1)</f>
        <v>Mary</v>
      </c>
      <c r="K391" t="e">
        <f>MID(tblPassengerNames[[#This Row],[Name]], tblPassengerNames[[#This Row],[OpenParPos]] + 1, tblPassengerNames[[#This Row],[CloseParPos]] - tblPassengerNames[[#This Row],[OpenParPos]] - 1)</f>
        <v>#VALUE!</v>
      </c>
      <c r="L391" t="e">
        <f>IF(AND(LEFT(tblPassengerNames[[#This Row],[InParentheses]], 1) = "'", RIGHT(tblPassengerNames[[#This Row],[InParentheses]], 1) = "'"),
    #VALUE!,
    tblPassengerNames[[#This Row],[InParentheses]]
)</f>
        <v>#VALUE!</v>
      </c>
      <c r="M391" t="e">
        <f>LEN(tblPassengerNames[[#This Row],[InParenthesesCleaned]]) - LEN(SUBSTITUTE(tblPassengerNames[[#This Row],[InParenthesesCleaned]], " ", ""))</f>
        <v>#VALUE!</v>
      </c>
      <c r="N391" t="e">
        <f>FIND("@", SUBSTITUTE(tblPassengerNames[[#This Row],[InParenthesesCleaned]], " ", "@", tblPassengerNames[[#This Row],[P_NSpaces]]))</f>
        <v>#VALUE!</v>
      </c>
      <c r="O391" t="e">
        <f>IF(tblPassengerNames[[#This Row],[P_NSpaces]] = 0,
    tblPassengerNames[[#This Row],[InParenthesesCleaned]],
    LEFT(tblPassengerNames[[#This Row],[InParenthesesCleaned]], tblPassengerNames[[#This Row],[P_FinalSpacePos]] - 1)
)</f>
        <v>#VALUE!</v>
      </c>
      <c r="P391" t="str">
        <f>IFERROR(tblPassengerNames[[#This Row],[P_Forenames]], tblPassengerNames[[#This Row],[ConvForenames]])</f>
        <v>Mary</v>
      </c>
      <c r="Q391" t="str">
        <f>MID(tblPassengerNames[[#This Row],[Name]], tblPassengerNames[[#This Row],[CommaPos]] + 2, tblPassengerNames[[#This Row],[DotPos]] - tblPassengerNames[[#This Row],[CommaPos]] - 1)</f>
        <v>Miss.</v>
      </c>
      <c r="R391" t="str">
        <f>LEFT(tblPassengerNames[[#This Row],[Name]], tblPassengerNames[[#This Row],[CommaPos]] - 1)</f>
        <v>Davis</v>
      </c>
    </row>
    <row r="392" spans="2:18" x14ac:dyDescent="0.25">
      <c r="B392" s="21">
        <v>390</v>
      </c>
      <c r="C392" s="21" t="s">
        <v>526</v>
      </c>
      <c r="D392" s="21" t="s">
        <v>138</v>
      </c>
      <c r="E392">
        <f>FIND(",", tblPassengerNames[[#This Row],[Name]])</f>
        <v>9</v>
      </c>
      <c r="F392">
        <f>FIND(".", tblPassengerNames[[#This Row],[Name]])</f>
        <v>13</v>
      </c>
      <c r="G392" t="e">
        <f>FIND("(", tblPassengerNames[[#This Row],[Name]])</f>
        <v>#VALUE!</v>
      </c>
      <c r="H392" t="e">
        <f>FIND(")", tblPassengerNames[[#This Row],[Name]])</f>
        <v>#VALUE!</v>
      </c>
      <c r="I392">
        <f>IFERROR(tblPassengerNames[[#This Row],[OpenParPos]] - 2, LEN(tblPassengerNames[[#This Row],[Name]]))</f>
        <v>26</v>
      </c>
      <c r="J392" t="str">
        <f>MID(tblPassengerNames[[#This Row],[Name]], tblPassengerNames[[#This Row],[DotPos]] + 2, tblPassengerNames[[#This Row],[EndOfConvFNPos]] - tblPassengerNames[[#This Row],[DotPos]] - 1)</f>
        <v>Jose Joaquim</v>
      </c>
      <c r="K392" t="e">
        <f>MID(tblPassengerNames[[#This Row],[Name]], tblPassengerNames[[#This Row],[OpenParPos]] + 1, tblPassengerNames[[#This Row],[CloseParPos]] - tblPassengerNames[[#This Row],[OpenParPos]] - 1)</f>
        <v>#VALUE!</v>
      </c>
      <c r="L392" t="e">
        <f>IF(AND(LEFT(tblPassengerNames[[#This Row],[InParentheses]], 1) = "'", RIGHT(tblPassengerNames[[#This Row],[InParentheses]], 1) = "'"),
    #VALUE!,
    tblPassengerNames[[#This Row],[InParentheses]]
)</f>
        <v>#VALUE!</v>
      </c>
      <c r="M392" t="e">
        <f>LEN(tblPassengerNames[[#This Row],[InParenthesesCleaned]]) - LEN(SUBSTITUTE(tblPassengerNames[[#This Row],[InParenthesesCleaned]], " ", ""))</f>
        <v>#VALUE!</v>
      </c>
      <c r="N392" t="e">
        <f>FIND("@", SUBSTITUTE(tblPassengerNames[[#This Row],[InParenthesesCleaned]], " ", "@", tblPassengerNames[[#This Row],[P_NSpaces]]))</f>
        <v>#VALUE!</v>
      </c>
      <c r="O392" t="e">
        <f>IF(tblPassengerNames[[#This Row],[P_NSpaces]] = 0,
    tblPassengerNames[[#This Row],[InParenthesesCleaned]],
    LEFT(tblPassengerNames[[#This Row],[InParenthesesCleaned]], tblPassengerNames[[#This Row],[P_FinalSpacePos]] - 1)
)</f>
        <v>#VALUE!</v>
      </c>
      <c r="P392" t="str">
        <f>IFERROR(tblPassengerNames[[#This Row],[P_Forenames]], tblPassengerNames[[#This Row],[ConvForenames]])</f>
        <v>Jose Joaquim</v>
      </c>
      <c r="Q392" t="str">
        <f>MID(tblPassengerNames[[#This Row],[Name]], tblPassengerNames[[#This Row],[CommaPos]] + 2, tblPassengerNames[[#This Row],[DotPos]] - tblPassengerNames[[#This Row],[CommaPos]] - 1)</f>
        <v>Mr.</v>
      </c>
      <c r="R392" t="str">
        <f>LEFT(tblPassengerNames[[#This Row],[Name]], tblPassengerNames[[#This Row],[CommaPos]] - 1)</f>
        <v>de Brito</v>
      </c>
    </row>
    <row r="393" spans="2:18" x14ac:dyDescent="0.25">
      <c r="B393" s="21">
        <v>391</v>
      </c>
      <c r="C393" s="21" t="s">
        <v>527</v>
      </c>
      <c r="D393" s="21" t="s">
        <v>138</v>
      </c>
      <c r="E393">
        <f>FIND(",", tblPassengerNames[[#This Row],[Name]])</f>
        <v>7</v>
      </c>
      <c r="F393">
        <f>FIND(".", tblPassengerNames[[#This Row],[Name]])</f>
        <v>11</v>
      </c>
      <c r="G393" t="e">
        <f>FIND("(", tblPassengerNames[[#This Row],[Name]])</f>
        <v>#VALUE!</v>
      </c>
      <c r="H393" t="e">
        <f>FIND(")", tblPassengerNames[[#This Row],[Name]])</f>
        <v>#VALUE!</v>
      </c>
      <c r="I393">
        <f>IFERROR(tblPassengerNames[[#This Row],[OpenParPos]] - 2, LEN(tblPassengerNames[[#This Row],[Name]]))</f>
        <v>25</v>
      </c>
      <c r="J393" t="str">
        <f>MID(tblPassengerNames[[#This Row],[Name]], tblPassengerNames[[#This Row],[DotPos]] + 2, tblPassengerNames[[#This Row],[EndOfConvFNPos]] - tblPassengerNames[[#This Row],[DotPos]] - 1)</f>
        <v>Percy William</v>
      </c>
      <c r="K393" t="e">
        <f>MID(tblPassengerNames[[#This Row],[Name]], tblPassengerNames[[#This Row],[OpenParPos]] + 1, tblPassengerNames[[#This Row],[CloseParPos]] - tblPassengerNames[[#This Row],[OpenParPos]] - 1)</f>
        <v>#VALUE!</v>
      </c>
      <c r="L393" t="e">
        <f>IF(AND(LEFT(tblPassengerNames[[#This Row],[InParentheses]], 1) = "'", RIGHT(tblPassengerNames[[#This Row],[InParentheses]], 1) = "'"),
    #VALUE!,
    tblPassengerNames[[#This Row],[InParentheses]]
)</f>
        <v>#VALUE!</v>
      </c>
      <c r="M393" t="e">
        <f>LEN(tblPassengerNames[[#This Row],[InParenthesesCleaned]]) - LEN(SUBSTITUTE(tblPassengerNames[[#This Row],[InParenthesesCleaned]], " ", ""))</f>
        <v>#VALUE!</v>
      </c>
      <c r="N393" t="e">
        <f>FIND("@", SUBSTITUTE(tblPassengerNames[[#This Row],[InParenthesesCleaned]], " ", "@", tblPassengerNames[[#This Row],[P_NSpaces]]))</f>
        <v>#VALUE!</v>
      </c>
      <c r="O393" t="e">
        <f>IF(tblPassengerNames[[#This Row],[P_NSpaces]] = 0,
    tblPassengerNames[[#This Row],[InParenthesesCleaned]],
    LEFT(tblPassengerNames[[#This Row],[InParenthesesCleaned]], tblPassengerNames[[#This Row],[P_FinalSpacePos]] - 1)
)</f>
        <v>#VALUE!</v>
      </c>
      <c r="P393" t="str">
        <f>IFERROR(tblPassengerNames[[#This Row],[P_Forenames]], tblPassengerNames[[#This Row],[ConvForenames]])</f>
        <v>Percy William</v>
      </c>
      <c r="Q393" t="str">
        <f>MID(tblPassengerNames[[#This Row],[Name]], tblPassengerNames[[#This Row],[CommaPos]] + 2, tblPassengerNames[[#This Row],[DotPos]] - tblPassengerNames[[#This Row],[CommaPos]] - 1)</f>
        <v>Mr.</v>
      </c>
      <c r="R393" t="str">
        <f>LEFT(tblPassengerNames[[#This Row],[Name]], tblPassengerNames[[#This Row],[CommaPos]] - 1)</f>
        <v>Deacon</v>
      </c>
    </row>
    <row r="394" spans="2:18" x14ac:dyDescent="0.25">
      <c r="B394" s="21">
        <v>392</v>
      </c>
      <c r="C394" s="21" t="s">
        <v>528</v>
      </c>
      <c r="D394" s="21" t="s">
        <v>138</v>
      </c>
      <c r="E394">
        <f>FIND(",", tblPassengerNames[[#This Row],[Name]])</f>
        <v>10</v>
      </c>
      <c r="F394">
        <f>FIND(".", tblPassengerNames[[#This Row],[Name]])</f>
        <v>14</v>
      </c>
      <c r="G394" t="e">
        <f>FIND("(", tblPassengerNames[[#This Row],[Name]])</f>
        <v>#VALUE!</v>
      </c>
      <c r="H394" t="e">
        <f>FIND(")", tblPassengerNames[[#This Row],[Name]])</f>
        <v>#VALUE!</v>
      </c>
      <c r="I394">
        <f>IFERROR(tblPassengerNames[[#This Row],[OpenParPos]] - 2, LEN(tblPassengerNames[[#This Row],[Name]]))</f>
        <v>25</v>
      </c>
      <c r="J394" t="str">
        <f>MID(tblPassengerNames[[#This Row],[Name]], tblPassengerNames[[#This Row],[DotPos]] + 2, tblPassengerNames[[#This Row],[EndOfConvFNPos]] - tblPassengerNames[[#This Row],[DotPos]] - 1)</f>
        <v>Sebastiano</v>
      </c>
      <c r="K394" t="e">
        <f>MID(tblPassengerNames[[#This Row],[Name]], tblPassengerNames[[#This Row],[OpenParPos]] + 1, tblPassengerNames[[#This Row],[CloseParPos]] - tblPassengerNames[[#This Row],[OpenParPos]] - 1)</f>
        <v>#VALUE!</v>
      </c>
      <c r="L394" t="e">
        <f>IF(AND(LEFT(tblPassengerNames[[#This Row],[InParentheses]], 1) = "'", RIGHT(tblPassengerNames[[#This Row],[InParentheses]], 1) = "'"),
    #VALUE!,
    tblPassengerNames[[#This Row],[InParentheses]]
)</f>
        <v>#VALUE!</v>
      </c>
      <c r="M394" t="e">
        <f>LEN(tblPassengerNames[[#This Row],[InParenthesesCleaned]]) - LEN(SUBSTITUTE(tblPassengerNames[[#This Row],[InParenthesesCleaned]], " ", ""))</f>
        <v>#VALUE!</v>
      </c>
      <c r="N394" t="e">
        <f>FIND("@", SUBSTITUTE(tblPassengerNames[[#This Row],[InParenthesesCleaned]], " ", "@", tblPassengerNames[[#This Row],[P_NSpaces]]))</f>
        <v>#VALUE!</v>
      </c>
      <c r="O394" t="e">
        <f>IF(tblPassengerNames[[#This Row],[P_NSpaces]] = 0,
    tblPassengerNames[[#This Row],[InParenthesesCleaned]],
    LEFT(tblPassengerNames[[#This Row],[InParenthesesCleaned]], tblPassengerNames[[#This Row],[P_FinalSpacePos]] - 1)
)</f>
        <v>#VALUE!</v>
      </c>
      <c r="P394" t="str">
        <f>IFERROR(tblPassengerNames[[#This Row],[P_Forenames]], tblPassengerNames[[#This Row],[ConvForenames]])</f>
        <v>Sebastiano</v>
      </c>
      <c r="Q394" t="str">
        <f>MID(tblPassengerNames[[#This Row],[Name]], tblPassengerNames[[#This Row],[CommaPos]] + 2, tblPassengerNames[[#This Row],[DotPos]] - tblPassengerNames[[#This Row],[CommaPos]] - 1)</f>
        <v>Mr.</v>
      </c>
      <c r="R394" t="str">
        <f>LEFT(tblPassengerNames[[#This Row],[Name]], tblPassengerNames[[#This Row],[CommaPos]] - 1)</f>
        <v>del Carlo</v>
      </c>
    </row>
    <row r="395" spans="2:18" x14ac:dyDescent="0.25">
      <c r="B395" s="21">
        <v>393</v>
      </c>
      <c r="C395" s="21" t="s">
        <v>529</v>
      </c>
      <c r="D395" s="21" t="s">
        <v>136</v>
      </c>
      <c r="E395">
        <f>FIND(",", tblPassengerNames[[#This Row],[Name]])</f>
        <v>10</v>
      </c>
      <c r="F395">
        <f>FIND(".", tblPassengerNames[[#This Row],[Name]])</f>
        <v>15</v>
      </c>
      <c r="G395">
        <f>FIND("(", tblPassengerNames[[#This Row],[Name]])</f>
        <v>28</v>
      </c>
      <c r="H395">
        <f>FIND(")", tblPassengerNames[[#This Row],[Name]])</f>
        <v>45</v>
      </c>
      <c r="I395">
        <f>IFERROR(tblPassengerNames[[#This Row],[OpenParPos]] - 2, LEN(tblPassengerNames[[#This Row],[Name]]))</f>
        <v>26</v>
      </c>
      <c r="J395" t="str">
        <f>MID(tblPassengerNames[[#This Row],[Name]], tblPassengerNames[[#This Row],[DotPos]] + 2, tblPassengerNames[[#This Row],[EndOfConvFNPos]] - tblPassengerNames[[#This Row],[DotPos]] - 1)</f>
        <v>Sebastiano</v>
      </c>
      <c r="K395" t="str">
        <f>MID(tblPassengerNames[[#This Row],[Name]], tblPassengerNames[[#This Row],[OpenParPos]] + 1, tblPassengerNames[[#This Row],[CloseParPos]] - tblPassengerNames[[#This Row],[OpenParPos]] - 1)</f>
        <v>Argenia Genovesi</v>
      </c>
      <c r="L395" t="str">
        <f>IF(AND(LEFT(tblPassengerNames[[#This Row],[InParentheses]], 1) = "'", RIGHT(tblPassengerNames[[#This Row],[InParentheses]], 1) = "'"),
    #VALUE!,
    tblPassengerNames[[#This Row],[InParentheses]]
)</f>
        <v>Argenia Genovesi</v>
      </c>
      <c r="M395">
        <f>LEN(tblPassengerNames[[#This Row],[InParenthesesCleaned]]) - LEN(SUBSTITUTE(tblPassengerNames[[#This Row],[InParenthesesCleaned]], " ", ""))</f>
        <v>1</v>
      </c>
      <c r="N395">
        <f>FIND("@", SUBSTITUTE(tblPassengerNames[[#This Row],[InParenthesesCleaned]], " ", "@", tblPassengerNames[[#This Row],[P_NSpaces]]))</f>
        <v>8</v>
      </c>
      <c r="O395" t="str">
        <f>IF(tblPassengerNames[[#This Row],[P_NSpaces]] = 0,
    tblPassengerNames[[#This Row],[InParenthesesCleaned]],
    LEFT(tblPassengerNames[[#This Row],[InParenthesesCleaned]], tblPassengerNames[[#This Row],[P_FinalSpacePos]] - 1)
)</f>
        <v>Argenia</v>
      </c>
      <c r="P395" t="str">
        <f>IFERROR(tblPassengerNames[[#This Row],[P_Forenames]], tblPassengerNames[[#This Row],[ConvForenames]])</f>
        <v>Argenia</v>
      </c>
      <c r="Q395" t="str">
        <f>MID(tblPassengerNames[[#This Row],[Name]], tblPassengerNames[[#This Row],[CommaPos]] + 2, tblPassengerNames[[#This Row],[DotPos]] - tblPassengerNames[[#This Row],[CommaPos]] - 1)</f>
        <v>Mrs.</v>
      </c>
      <c r="R395" t="str">
        <f>LEFT(tblPassengerNames[[#This Row],[Name]], tblPassengerNames[[#This Row],[CommaPos]] - 1)</f>
        <v>del Carlo</v>
      </c>
    </row>
    <row r="396" spans="2:18" x14ac:dyDescent="0.25">
      <c r="B396" s="21">
        <v>394</v>
      </c>
      <c r="C396" s="21" t="s">
        <v>530</v>
      </c>
      <c r="D396" s="21" t="s">
        <v>138</v>
      </c>
      <c r="E396">
        <f>FIND(",", tblPassengerNames[[#This Row],[Name]])</f>
        <v>8</v>
      </c>
      <c r="F396">
        <f>FIND(".", tblPassengerNames[[#This Row],[Name]])</f>
        <v>12</v>
      </c>
      <c r="G396" t="e">
        <f>FIND("(", tblPassengerNames[[#This Row],[Name]])</f>
        <v>#VALUE!</v>
      </c>
      <c r="H396" t="e">
        <f>FIND(")", tblPassengerNames[[#This Row],[Name]])</f>
        <v>#VALUE!</v>
      </c>
      <c r="I396">
        <f>IFERROR(tblPassengerNames[[#This Row],[OpenParPos]] - 2, LEN(tblPassengerNames[[#This Row],[Name]]))</f>
        <v>20</v>
      </c>
      <c r="J396" t="str">
        <f>MID(tblPassengerNames[[#This Row],[Name]], tblPassengerNames[[#This Row],[DotPos]] + 2, tblPassengerNames[[#This Row],[EndOfConvFNPos]] - tblPassengerNames[[#This Row],[DotPos]] - 1)</f>
        <v>Herbert</v>
      </c>
      <c r="K396" t="e">
        <f>MID(tblPassengerNames[[#This Row],[Name]], tblPassengerNames[[#This Row],[OpenParPos]] + 1, tblPassengerNames[[#This Row],[CloseParPos]] - tblPassengerNames[[#This Row],[OpenParPos]] - 1)</f>
        <v>#VALUE!</v>
      </c>
      <c r="L396" t="e">
        <f>IF(AND(LEFT(tblPassengerNames[[#This Row],[InParentheses]], 1) = "'", RIGHT(tblPassengerNames[[#This Row],[InParentheses]], 1) = "'"),
    #VALUE!,
    tblPassengerNames[[#This Row],[InParentheses]]
)</f>
        <v>#VALUE!</v>
      </c>
      <c r="M396" t="e">
        <f>LEN(tblPassengerNames[[#This Row],[InParenthesesCleaned]]) - LEN(SUBSTITUTE(tblPassengerNames[[#This Row],[InParenthesesCleaned]], " ", ""))</f>
        <v>#VALUE!</v>
      </c>
      <c r="N396" t="e">
        <f>FIND("@", SUBSTITUTE(tblPassengerNames[[#This Row],[InParenthesesCleaned]], " ", "@", tblPassengerNames[[#This Row],[P_NSpaces]]))</f>
        <v>#VALUE!</v>
      </c>
      <c r="O396" t="e">
        <f>IF(tblPassengerNames[[#This Row],[P_NSpaces]] = 0,
    tblPassengerNames[[#This Row],[InParenthesesCleaned]],
    LEFT(tblPassengerNames[[#This Row],[InParenthesesCleaned]], tblPassengerNames[[#This Row],[P_FinalSpacePos]] - 1)
)</f>
        <v>#VALUE!</v>
      </c>
      <c r="P396" t="str">
        <f>IFERROR(tblPassengerNames[[#This Row],[P_Forenames]], tblPassengerNames[[#This Row],[ConvForenames]])</f>
        <v>Herbert</v>
      </c>
      <c r="Q396" t="str">
        <f>MID(tblPassengerNames[[#This Row],[Name]], tblPassengerNames[[#This Row],[CommaPos]] + 2, tblPassengerNames[[#This Row],[DotPos]] - tblPassengerNames[[#This Row],[CommaPos]] - 1)</f>
        <v>Mr.</v>
      </c>
      <c r="R396" t="str">
        <f>LEFT(tblPassengerNames[[#This Row],[Name]], tblPassengerNames[[#This Row],[CommaPos]] - 1)</f>
        <v>Denbury</v>
      </c>
    </row>
    <row r="397" spans="2:18" x14ac:dyDescent="0.25">
      <c r="B397" s="21">
        <v>395</v>
      </c>
      <c r="C397" s="21" t="s">
        <v>531</v>
      </c>
      <c r="D397" s="21" t="s">
        <v>138</v>
      </c>
      <c r="E397">
        <f>FIND(",", tblPassengerNames[[#This Row],[Name]])</f>
        <v>7</v>
      </c>
      <c r="F397">
        <f>FIND(".", tblPassengerNames[[#This Row],[Name]])</f>
        <v>11</v>
      </c>
      <c r="G397" t="e">
        <f>FIND("(", tblPassengerNames[[#This Row],[Name]])</f>
        <v>#VALUE!</v>
      </c>
      <c r="H397" t="e">
        <f>FIND(")", tblPassengerNames[[#This Row],[Name]])</f>
        <v>#VALUE!</v>
      </c>
      <c r="I397">
        <f>IFERROR(tblPassengerNames[[#This Row],[OpenParPos]] - 2, LEN(tblPassengerNames[[#This Row],[Name]]))</f>
        <v>19</v>
      </c>
      <c r="J397" t="str">
        <f>MID(tblPassengerNames[[#This Row],[Name]], tblPassengerNames[[#This Row],[DotPos]] + 2, tblPassengerNames[[#This Row],[EndOfConvFNPos]] - tblPassengerNames[[#This Row],[DotPos]] - 1)</f>
        <v>William</v>
      </c>
      <c r="K397" t="e">
        <f>MID(tblPassengerNames[[#This Row],[Name]], tblPassengerNames[[#This Row],[OpenParPos]] + 1, tblPassengerNames[[#This Row],[CloseParPos]] - tblPassengerNames[[#This Row],[OpenParPos]] - 1)</f>
        <v>#VALUE!</v>
      </c>
      <c r="L397" t="e">
        <f>IF(AND(LEFT(tblPassengerNames[[#This Row],[InParentheses]], 1) = "'", RIGHT(tblPassengerNames[[#This Row],[InParentheses]], 1) = "'"),
    #VALUE!,
    tblPassengerNames[[#This Row],[InParentheses]]
)</f>
        <v>#VALUE!</v>
      </c>
      <c r="M397" t="e">
        <f>LEN(tblPassengerNames[[#This Row],[InParenthesesCleaned]]) - LEN(SUBSTITUTE(tblPassengerNames[[#This Row],[InParenthesesCleaned]], " ", ""))</f>
        <v>#VALUE!</v>
      </c>
      <c r="N397" t="e">
        <f>FIND("@", SUBSTITUTE(tblPassengerNames[[#This Row],[InParenthesesCleaned]], " ", "@", tblPassengerNames[[#This Row],[P_NSpaces]]))</f>
        <v>#VALUE!</v>
      </c>
      <c r="O397" t="e">
        <f>IF(tblPassengerNames[[#This Row],[P_NSpaces]] = 0,
    tblPassengerNames[[#This Row],[InParenthesesCleaned]],
    LEFT(tblPassengerNames[[#This Row],[InParenthesesCleaned]], tblPassengerNames[[#This Row],[P_FinalSpacePos]] - 1)
)</f>
        <v>#VALUE!</v>
      </c>
      <c r="P397" t="str">
        <f>IFERROR(tblPassengerNames[[#This Row],[P_Forenames]], tblPassengerNames[[#This Row],[ConvForenames]])</f>
        <v>William</v>
      </c>
      <c r="Q397" t="str">
        <f>MID(tblPassengerNames[[#This Row],[Name]], tblPassengerNames[[#This Row],[CommaPos]] + 2, tblPassengerNames[[#This Row],[DotPos]] - tblPassengerNames[[#This Row],[CommaPos]] - 1)</f>
        <v>Mr.</v>
      </c>
      <c r="R397" t="str">
        <f>LEFT(tblPassengerNames[[#This Row],[Name]], tblPassengerNames[[#This Row],[CommaPos]] - 1)</f>
        <v>Dibden</v>
      </c>
    </row>
    <row r="398" spans="2:18" x14ac:dyDescent="0.25">
      <c r="B398" s="21">
        <v>396</v>
      </c>
      <c r="C398" s="21" t="s">
        <v>532</v>
      </c>
      <c r="D398" s="21" t="s">
        <v>136</v>
      </c>
      <c r="E398">
        <f>FIND(",", tblPassengerNames[[#This Row],[Name]])</f>
        <v>7</v>
      </c>
      <c r="F398">
        <f>FIND(".", tblPassengerNames[[#This Row],[Name]])</f>
        <v>13</v>
      </c>
      <c r="G398" t="e">
        <f>FIND("(", tblPassengerNames[[#This Row],[Name]])</f>
        <v>#VALUE!</v>
      </c>
      <c r="H398" t="e">
        <f>FIND(")", tblPassengerNames[[#This Row],[Name]])</f>
        <v>#VALUE!</v>
      </c>
      <c r="I398">
        <f>IFERROR(tblPassengerNames[[#This Row],[OpenParPos]] - 2, LEN(tblPassengerNames[[#This Row],[Name]]))</f>
        <v>19</v>
      </c>
      <c r="J398" t="str">
        <f>MID(tblPassengerNames[[#This Row],[Name]], tblPassengerNames[[#This Row],[DotPos]] + 2, tblPassengerNames[[#This Row],[EndOfConvFNPos]] - tblPassengerNames[[#This Row],[DotPos]] - 1)</f>
        <v>Elsie</v>
      </c>
      <c r="K398" t="e">
        <f>MID(tblPassengerNames[[#This Row],[Name]], tblPassengerNames[[#This Row],[OpenParPos]] + 1, tblPassengerNames[[#This Row],[CloseParPos]] - tblPassengerNames[[#This Row],[OpenParPos]] - 1)</f>
        <v>#VALUE!</v>
      </c>
      <c r="L398" t="e">
        <f>IF(AND(LEFT(tblPassengerNames[[#This Row],[InParentheses]], 1) = "'", RIGHT(tblPassengerNames[[#This Row],[InParentheses]], 1) = "'"),
    #VALUE!,
    tblPassengerNames[[#This Row],[InParentheses]]
)</f>
        <v>#VALUE!</v>
      </c>
      <c r="M398" t="e">
        <f>LEN(tblPassengerNames[[#This Row],[InParenthesesCleaned]]) - LEN(SUBSTITUTE(tblPassengerNames[[#This Row],[InParenthesesCleaned]], " ", ""))</f>
        <v>#VALUE!</v>
      </c>
      <c r="N398" t="e">
        <f>FIND("@", SUBSTITUTE(tblPassengerNames[[#This Row],[InParenthesesCleaned]], " ", "@", tblPassengerNames[[#This Row],[P_NSpaces]]))</f>
        <v>#VALUE!</v>
      </c>
      <c r="O398" t="e">
        <f>IF(tblPassengerNames[[#This Row],[P_NSpaces]] = 0,
    tblPassengerNames[[#This Row],[InParenthesesCleaned]],
    LEFT(tblPassengerNames[[#This Row],[InParenthesesCleaned]], tblPassengerNames[[#This Row],[P_FinalSpacePos]] - 1)
)</f>
        <v>#VALUE!</v>
      </c>
      <c r="P398" t="str">
        <f>IFERROR(tblPassengerNames[[#This Row],[P_Forenames]], tblPassengerNames[[#This Row],[ConvForenames]])</f>
        <v>Elsie</v>
      </c>
      <c r="Q398" t="str">
        <f>MID(tblPassengerNames[[#This Row],[Name]], tblPassengerNames[[#This Row],[CommaPos]] + 2, tblPassengerNames[[#This Row],[DotPos]] - tblPassengerNames[[#This Row],[CommaPos]] - 1)</f>
        <v>Miss.</v>
      </c>
      <c r="R398" t="str">
        <f>LEFT(tblPassengerNames[[#This Row],[Name]], tblPassengerNames[[#This Row],[CommaPos]] - 1)</f>
        <v>Doling</v>
      </c>
    </row>
    <row r="399" spans="2:18" x14ac:dyDescent="0.25">
      <c r="B399" s="21">
        <v>397</v>
      </c>
      <c r="C399" s="21" t="s">
        <v>533</v>
      </c>
      <c r="D399" s="21" t="s">
        <v>136</v>
      </c>
      <c r="E399">
        <f>FIND(",", tblPassengerNames[[#This Row],[Name]])</f>
        <v>7</v>
      </c>
      <c r="F399">
        <f>FIND(".", tblPassengerNames[[#This Row],[Name]])</f>
        <v>12</v>
      </c>
      <c r="G399">
        <f>FIND("(", tblPassengerNames[[#This Row],[Name]])</f>
        <v>21</v>
      </c>
      <c r="H399">
        <f>FIND(")", tblPassengerNames[[#This Row],[Name]])</f>
        <v>36</v>
      </c>
      <c r="I399">
        <f>IFERROR(tblPassengerNames[[#This Row],[OpenParPos]] - 2, LEN(tblPassengerNames[[#This Row],[Name]]))</f>
        <v>19</v>
      </c>
      <c r="J399" t="str">
        <f>MID(tblPassengerNames[[#This Row],[Name]], tblPassengerNames[[#This Row],[DotPos]] + 2, tblPassengerNames[[#This Row],[EndOfConvFNPos]] - tblPassengerNames[[#This Row],[DotPos]] - 1)</f>
        <v>John T</v>
      </c>
      <c r="K399" t="str">
        <f>MID(tblPassengerNames[[#This Row],[Name]], tblPassengerNames[[#This Row],[OpenParPos]] + 1, tblPassengerNames[[#This Row],[CloseParPos]] - tblPassengerNames[[#This Row],[OpenParPos]] - 1)</f>
        <v>Ada Julia Bone</v>
      </c>
      <c r="L399" t="str">
        <f>IF(AND(LEFT(tblPassengerNames[[#This Row],[InParentheses]], 1) = "'", RIGHT(tblPassengerNames[[#This Row],[InParentheses]], 1) = "'"),
    #VALUE!,
    tblPassengerNames[[#This Row],[InParentheses]]
)</f>
        <v>Ada Julia Bone</v>
      </c>
      <c r="M399">
        <f>LEN(tblPassengerNames[[#This Row],[InParenthesesCleaned]]) - LEN(SUBSTITUTE(tblPassengerNames[[#This Row],[InParenthesesCleaned]], " ", ""))</f>
        <v>2</v>
      </c>
      <c r="N399">
        <f>FIND("@", SUBSTITUTE(tblPassengerNames[[#This Row],[InParenthesesCleaned]], " ", "@", tblPassengerNames[[#This Row],[P_NSpaces]]))</f>
        <v>10</v>
      </c>
      <c r="O399" t="str">
        <f>IF(tblPassengerNames[[#This Row],[P_NSpaces]] = 0,
    tblPassengerNames[[#This Row],[InParenthesesCleaned]],
    LEFT(tblPassengerNames[[#This Row],[InParenthesesCleaned]], tblPassengerNames[[#This Row],[P_FinalSpacePos]] - 1)
)</f>
        <v>Ada Julia</v>
      </c>
      <c r="P399" t="str">
        <f>IFERROR(tblPassengerNames[[#This Row],[P_Forenames]], tblPassengerNames[[#This Row],[ConvForenames]])</f>
        <v>Ada Julia</v>
      </c>
      <c r="Q399" t="str">
        <f>MID(tblPassengerNames[[#This Row],[Name]], tblPassengerNames[[#This Row],[CommaPos]] + 2, tblPassengerNames[[#This Row],[DotPos]] - tblPassengerNames[[#This Row],[CommaPos]] - 1)</f>
        <v>Mrs.</v>
      </c>
      <c r="R399" t="str">
        <f>LEFT(tblPassengerNames[[#This Row],[Name]], tblPassengerNames[[#This Row],[CommaPos]] - 1)</f>
        <v>Doling</v>
      </c>
    </row>
    <row r="400" spans="2:18" x14ac:dyDescent="0.25">
      <c r="B400" s="21">
        <v>398</v>
      </c>
      <c r="C400" s="21" t="s">
        <v>534</v>
      </c>
      <c r="D400" s="21" t="s">
        <v>138</v>
      </c>
      <c r="E400">
        <f>FIND(",", tblPassengerNames[[#This Row],[Name]])</f>
        <v>8</v>
      </c>
      <c r="F400">
        <f>FIND(".", tblPassengerNames[[#This Row],[Name]])</f>
        <v>12</v>
      </c>
      <c r="G400" t="e">
        <f>FIND("(", tblPassengerNames[[#This Row],[Name]])</f>
        <v>#VALUE!</v>
      </c>
      <c r="H400" t="e">
        <f>FIND(")", tblPassengerNames[[#This Row],[Name]])</f>
        <v>#VALUE!</v>
      </c>
      <c r="I400">
        <f>IFERROR(tblPassengerNames[[#This Row],[OpenParPos]] - 2, LEN(tblPassengerNames[[#This Row],[Name]]))</f>
        <v>26</v>
      </c>
      <c r="J400" t="str">
        <f>MID(tblPassengerNames[[#This Row],[Name]], tblPassengerNames[[#This Row],[DotPos]] + 2, tblPassengerNames[[#This Row],[EndOfConvFNPos]] - tblPassengerNames[[#This Row],[DotPos]] - 1)</f>
        <v>William James</v>
      </c>
      <c r="K400" t="e">
        <f>MID(tblPassengerNames[[#This Row],[Name]], tblPassengerNames[[#This Row],[OpenParPos]] + 1, tblPassengerNames[[#This Row],[CloseParPos]] - tblPassengerNames[[#This Row],[OpenParPos]] - 1)</f>
        <v>#VALUE!</v>
      </c>
      <c r="L400" t="e">
        <f>IF(AND(LEFT(tblPassengerNames[[#This Row],[InParentheses]], 1) = "'", RIGHT(tblPassengerNames[[#This Row],[InParentheses]], 1) = "'"),
    #VALUE!,
    tblPassengerNames[[#This Row],[InParentheses]]
)</f>
        <v>#VALUE!</v>
      </c>
      <c r="M400" t="e">
        <f>LEN(tblPassengerNames[[#This Row],[InParenthesesCleaned]]) - LEN(SUBSTITUTE(tblPassengerNames[[#This Row],[InParenthesesCleaned]], " ", ""))</f>
        <v>#VALUE!</v>
      </c>
      <c r="N400" t="e">
        <f>FIND("@", SUBSTITUTE(tblPassengerNames[[#This Row],[InParenthesesCleaned]], " ", "@", tblPassengerNames[[#This Row],[P_NSpaces]]))</f>
        <v>#VALUE!</v>
      </c>
      <c r="O400" t="e">
        <f>IF(tblPassengerNames[[#This Row],[P_NSpaces]] = 0,
    tblPassengerNames[[#This Row],[InParenthesesCleaned]],
    LEFT(tblPassengerNames[[#This Row],[InParenthesesCleaned]], tblPassengerNames[[#This Row],[P_FinalSpacePos]] - 1)
)</f>
        <v>#VALUE!</v>
      </c>
      <c r="P400" t="str">
        <f>IFERROR(tblPassengerNames[[#This Row],[P_Forenames]], tblPassengerNames[[#This Row],[ConvForenames]])</f>
        <v>William James</v>
      </c>
      <c r="Q400" t="str">
        <f>MID(tblPassengerNames[[#This Row],[Name]], tblPassengerNames[[#This Row],[CommaPos]] + 2, tblPassengerNames[[#This Row],[DotPos]] - tblPassengerNames[[#This Row],[CommaPos]] - 1)</f>
        <v>Mr.</v>
      </c>
      <c r="R400" t="str">
        <f>LEFT(tblPassengerNames[[#This Row],[Name]], tblPassengerNames[[#This Row],[CommaPos]] - 1)</f>
        <v>Downton</v>
      </c>
    </row>
    <row r="401" spans="2:18" x14ac:dyDescent="0.25">
      <c r="B401" s="21">
        <v>399</v>
      </c>
      <c r="C401" s="21" t="s">
        <v>535</v>
      </c>
      <c r="D401" s="21" t="s">
        <v>138</v>
      </c>
      <c r="E401">
        <f>FIND(",", tblPassengerNames[[#This Row],[Name]])</f>
        <v>5</v>
      </c>
      <c r="F401">
        <f>FIND(".", tblPassengerNames[[#This Row],[Name]])</f>
        <v>13</v>
      </c>
      <c r="G401" t="e">
        <f>FIND("(", tblPassengerNames[[#This Row],[Name]])</f>
        <v>#VALUE!</v>
      </c>
      <c r="H401" t="e">
        <f>FIND(")", tblPassengerNames[[#This Row],[Name]])</f>
        <v>#VALUE!</v>
      </c>
      <c r="I401">
        <f>IFERROR(tblPassengerNames[[#This Row],[OpenParPos]] - 2, LEN(tblPassengerNames[[#This Row],[Name]]))</f>
        <v>29</v>
      </c>
      <c r="J401" t="str">
        <f>MID(tblPassengerNames[[#This Row],[Name]], tblPassengerNames[[#This Row],[DotPos]] + 2, tblPassengerNames[[#This Row],[EndOfConvFNPos]] - tblPassengerNames[[#This Row],[DotPos]] - 1)</f>
        <v>Marshall Brines</v>
      </c>
      <c r="K401" t="e">
        <f>MID(tblPassengerNames[[#This Row],[Name]], tblPassengerNames[[#This Row],[OpenParPos]] + 1, tblPassengerNames[[#This Row],[CloseParPos]] - tblPassengerNames[[#This Row],[OpenParPos]] - 1)</f>
        <v>#VALUE!</v>
      </c>
      <c r="L401" t="e">
        <f>IF(AND(LEFT(tblPassengerNames[[#This Row],[InParentheses]], 1) = "'", RIGHT(tblPassengerNames[[#This Row],[InParentheses]], 1) = "'"),
    #VALUE!,
    tblPassengerNames[[#This Row],[InParentheses]]
)</f>
        <v>#VALUE!</v>
      </c>
      <c r="M401" t="e">
        <f>LEN(tblPassengerNames[[#This Row],[InParenthesesCleaned]]) - LEN(SUBSTITUTE(tblPassengerNames[[#This Row],[InParenthesesCleaned]], " ", ""))</f>
        <v>#VALUE!</v>
      </c>
      <c r="N401" t="e">
        <f>FIND("@", SUBSTITUTE(tblPassengerNames[[#This Row],[InParenthesesCleaned]], " ", "@", tblPassengerNames[[#This Row],[P_NSpaces]]))</f>
        <v>#VALUE!</v>
      </c>
      <c r="O401" t="e">
        <f>IF(tblPassengerNames[[#This Row],[P_NSpaces]] = 0,
    tblPassengerNames[[#This Row],[InParenthesesCleaned]],
    LEFT(tblPassengerNames[[#This Row],[InParenthesesCleaned]], tblPassengerNames[[#This Row],[P_FinalSpacePos]] - 1)
)</f>
        <v>#VALUE!</v>
      </c>
      <c r="P401" t="str">
        <f>IFERROR(tblPassengerNames[[#This Row],[P_Forenames]], tblPassengerNames[[#This Row],[ConvForenames]])</f>
        <v>Marshall Brines</v>
      </c>
      <c r="Q401" t="str">
        <f>MID(tblPassengerNames[[#This Row],[Name]], tblPassengerNames[[#This Row],[CommaPos]] + 2, tblPassengerNames[[#This Row],[DotPos]] - tblPassengerNames[[#This Row],[CommaPos]] - 1)</f>
        <v>Master.</v>
      </c>
      <c r="R401" t="str">
        <f>LEFT(tblPassengerNames[[#This Row],[Name]], tblPassengerNames[[#This Row],[CommaPos]] - 1)</f>
        <v>Drew</v>
      </c>
    </row>
    <row r="402" spans="2:18" x14ac:dyDescent="0.25">
      <c r="B402" s="21">
        <v>400</v>
      </c>
      <c r="C402" s="21" t="s">
        <v>536</v>
      </c>
      <c r="D402" s="21" t="s">
        <v>138</v>
      </c>
      <c r="E402">
        <f>FIND(",", tblPassengerNames[[#This Row],[Name]])</f>
        <v>5</v>
      </c>
      <c r="F402">
        <f>FIND(".", tblPassengerNames[[#This Row],[Name]])</f>
        <v>9</v>
      </c>
      <c r="G402" t="e">
        <f>FIND("(", tblPassengerNames[[#This Row],[Name]])</f>
        <v>#VALUE!</v>
      </c>
      <c r="H402" t="e">
        <f>FIND(")", tblPassengerNames[[#This Row],[Name]])</f>
        <v>#VALUE!</v>
      </c>
      <c r="I402">
        <f>IFERROR(tblPassengerNames[[#This Row],[OpenParPos]] - 2, LEN(tblPassengerNames[[#This Row],[Name]]))</f>
        <v>22</v>
      </c>
      <c r="J402" t="str">
        <f>MID(tblPassengerNames[[#This Row],[Name]], tblPassengerNames[[#This Row],[DotPos]] + 2, tblPassengerNames[[#This Row],[EndOfConvFNPos]] - tblPassengerNames[[#This Row],[DotPos]] - 1)</f>
        <v>James Vivian</v>
      </c>
      <c r="K402" t="e">
        <f>MID(tblPassengerNames[[#This Row],[Name]], tblPassengerNames[[#This Row],[OpenParPos]] + 1, tblPassengerNames[[#This Row],[CloseParPos]] - tblPassengerNames[[#This Row],[OpenParPos]] - 1)</f>
        <v>#VALUE!</v>
      </c>
      <c r="L402" t="e">
        <f>IF(AND(LEFT(tblPassengerNames[[#This Row],[InParentheses]], 1) = "'", RIGHT(tblPassengerNames[[#This Row],[InParentheses]], 1) = "'"),
    #VALUE!,
    tblPassengerNames[[#This Row],[InParentheses]]
)</f>
        <v>#VALUE!</v>
      </c>
      <c r="M402" t="e">
        <f>LEN(tblPassengerNames[[#This Row],[InParenthesesCleaned]]) - LEN(SUBSTITUTE(tblPassengerNames[[#This Row],[InParenthesesCleaned]], " ", ""))</f>
        <v>#VALUE!</v>
      </c>
      <c r="N402" t="e">
        <f>FIND("@", SUBSTITUTE(tblPassengerNames[[#This Row],[InParenthesesCleaned]], " ", "@", tblPassengerNames[[#This Row],[P_NSpaces]]))</f>
        <v>#VALUE!</v>
      </c>
      <c r="O402" t="e">
        <f>IF(tblPassengerNames[[#This Row],[P_NSpaces]] = 0,
    tblPassengerNames[[#This Row],[InParenthesesCleaned]],
    LEFT(tblPassengerNames[[#This Row],[InParenthesesCleaned]], tblPassengerNames[[#This Row],[P_FinalSpacePos]] - 1)
)</f>
        <v>#VALUE!</v>
      </c>
      <c r="P402" t="str">
        <f>IFERROR(tblPassengerNames[[#This Row],[P_Forenames]], tblPassengerNames[[#This Row],[ConvForenames]])</f>
        <v>James Vivian</v>
      </c>
      <c r="Q402" t="str">
        <f>MID(tblPassengerNames[[#This Row],[Name]], tblPassengerNames[[#This Row],[CommaPos]] + 2, tblPassengerNames[[#This Row],[DotPos]] - tblPassengerNames[[#This Row],[CommaPos]] - 1)</f>
        <v>Mr.</v>
      </c>
      <c r="R402" t="str">
        <f>LEFT(tblPassengerNames[[#This Row],[Name]], tblPassengerNames[[#This Row],[CommaPos]] - 1)</f>
        <v>Drew</v>
      </c>
    </row>
    <row r="403" spans="2:18" x14ac:dyDescent="0.25">
      <c r="B403" s="21">
        <v>401</v>
      </c>
      <c r="C403" s="21" t="s">
        <v>537</v>
      </c>
      <c r="D403" s="21" t="s">
        <v>136</v>
      </c>
      <c r="E403">
        <f>FIND(",", tblPassengerNames[[#This Row],[Name]])</f>
        <v>5</v>
      </c>
      <c r="F403">
        <f>FIND(".", tblPassengerNames[[#This Row],[Name]])</f>
        <v>10</v>
      </c>
      <c r="G403">
        <f>FIND("(", tblPassengerNames[[#This Row],[Name]])</f>
        <v>25</v>
      </c>
      <c r="H403">
        <f>FIND(")", tblPassengerNames[[#This Row],[Name]])</f>
        <v>47</v>
      </c>
      <c r="I403">
        <f>IFERROR(tblPassengerNames[[#This Row],[OpenParPos]] - 2, LEN(tblPassengerNames[[#This Row],[Name]]))</f>
        <v>23</v>
      </c>
      <c r="J403" t="str">
        <f>MID(tblPassengerNames[[#This Row],[Name]], tblPassengerNames[[#This Row],[DotPos]] + 2, tblPassengerNames[[#This Row],[EndOfConvFNPos]] - tblPassengerNames[[#This Row],[DotPos]] - 1)</f>
        <v>James Vivian</v>
      </c>
      <c r="K403" t="str">
        <f>MID(tblPassengerNames[[#This Row],[Name]], tblPassengerNames[[#This Row],[OpenParPos]] + 1, tblPassengerNames[[#This Row],[CloseParPos]] - tblPassengerNames[[#This Row],[OpenParPos]] - 1)</f>
        <v>Lulu Thorne Christian</v>
      </c>
      <c r="L403" t="str">
        <f>IF(AND(LEFT(tblPassengerNames[[#This Row],[InParentheses]], 1) = "'", RIGHT(tblPassengerNames[[#This Row],[InParentheses]], 1) = "'"),
    #VALUE!,
    tblPassengerNames[[#This Row],[InParentheses]]
)</f>
        <v>Lulu Thorne Christian</v>
      </c>
      <c r="M403">
        <f>LEN(tblPassengerNames[[#This Row],[InParenthesesCleaned]]) - LEN(SUBSTITUTE(tblPassengerNames[[#This Row],[InParenthesesCleaned]], " ", ""))</f>
        <v>2</v>
      </c>
      <c r="N403">
        <f>FIND("@", SUBSTITUTE(tblPassengerNames[[#This Row],[InParenthesesCleaned]], " ", "@", tblPassengerNames[[#This Row],[P_NSpaces]]))</f>
        <v>12</v>
      </c>
      <c r="O403" t="str">
        <f>IF(tblPassengerNames[[#This Row],[P_NSpaces]] = 0,
    tblPassengerNames[[#This Row],[InParenthesesCleaned]],
    LEFT(tblPassengerNames[[#This Row],[InParenthesesCleaned]], tblPassengerNames[[#This Row],[P_FinalSpacePos]] - 1)
)</f>
        <v>Lulu Thorne</v>
      </c>
      <c r="P403" t="str">
        <f>IFERROR(tblPassengerNames[[#This Row],[P_Forenames]], tblPassengerNames[[#This Row],[ConvForenames]])</f>
        <v>Lulu Thorne</v>
      </c>
      <c r="Q403" t="str">
        <f>MID(tblPassengerNames[[#This Row],[Name]], tblPassengerNames[[#This Row],[CommaPos]] + 2, tblPassengerNames[[#This Row],[DotPos]] - tblPassengerNames[[#This Row],[CommaPos]] - 1)</f>
        <v>Mrs.</v>
      </c>
      <c r="R403" t="str">
        <f>LEFT(tblPassengerNames[[#This Row],[Name]], tblPassengerNames[[#This Row],[CommaPos]] - 1)</f>
        <v>Drew</v>
      </c>
    </row>
    <row r="404" spans="2:18" x14ac:dyDescent="0.25">
      <c r="B404" s="21">
        <v>402</v>
      </c>
      <c r="C404" s="21" t="s">
        <v>538</v>
      </c>
      <c r="D404" s="21" t="s">
        <v>136</v>
      </c>
      <c r="E404">
        <f>FIND(",", tblPassengerNames[[#This Row],[Name]])</f>
        <v>13</v>
      </c>
      <c r="F404">
        <f>FIND(".", tblPassengerNames[[#This Row],[Name]])</f>
        <v>19</v>
      </c>
      <c r="G404" t="e">
        <f>FIND("(", tblPassengerNames[[#This Row],[Name]])</f>
        <v>#VALUE!</v>
      </c>
      <c r="H404" t="e">
        <f>FIND(")", tblPassengerNames[[#This Row],[Name]])</f>
        <v>#VALUE!</v>
      </c>
      <c r="I404">
        <f>IFERROR(tblPassengerNames[[#This Row],[OpenParPos]] - 2, LEN(tblPassengerNames[[#This Row],[Name]]))</f>
        <v>28</v>
      </c>
      <c r="J404" t="str">
        <f>MID(tblPassengerNames[[#This Row],[Name]], tblPassengerNames[[#This Row],[DotPos]] + 2, tblPassengerNames[[#This Row],[EndOfConvFNPos]] - tblPassengerNames[[#This Row],[DotPos]] - 1)</f>
        <v>Asuncion</v>
      </c>
      <c r="K404" t="e">
        <f>MID(tblPassengerNames[[#This Row],[Name]], tblPassengerNames[[#This Row],[OpenParPos]] + 1, tblPassengerNames[[#This Row],[CloseParPos]] - tblPassengerNames[[#This Row],[OpenParPos]] - 1)</f>
        <v>#VALUE!</v>
      </c>
      <c r="L404" t="e">
        <f>IF(AND(LEFT(tblPassengerNames[[#This Row],[InParentheses]], 1) = "'", RIGHT(tblPassengerNames[[#This Row],[InParentheses]], 1) = "'"),
    #VALUE!,
    tblPassengerNames[[#This Row],[InParentheses]]
)</f>
        <v>#VALUE!</v>
      </c>
      <c r="M404" t="e">
        <f>LEN(tblPassengerNames[[#This Row],[InParenthesesCleaned]]) - LEN(SUBSTITUTE(tblPassengerNames[[#This Row],[InParenthesesCleaned]], " ", ""))</f>
        <v>#VALUE!</v>
      </c>
      <c r="N404" t="e">
        <f>FIND("@", SUBSTITUTE(tblPassengerNames[[#This Row],[InParenthesesCleaned]], " ", "@", tblPassengerNames[[#This Row],[P_NSpaces]]))</f>
        <v>#VALUE!</v>
      </c>
      <c r="O404" t="e">
        <f>IF(tblPassengerNames[[#This Row],[P_NSpaces]] = 0,
    tblPassengerNames[[#This Row],[InParenthesesCleaned]],
    LEFT(tblPassengerNames[[#This Row],[InParenthesesCleaned]], tblPassengerNames[[#This Row],[P_FinalSpacePos]] - 1)
)</f>
        <v>#VALUE!</v>
      </c>
      <c r="P404" t="str">
        <f>IFERROR(tblPassengerNames[[#This Row],[P_Forenames]], tblPassengerNames[[#This Row],[ConvForenames]])</f>
        <v>Asuncion</v>
      </c>
      <c r="Q404" t="str">
        <f>MID(tblPassengerNames[[#This Row],[Name]], tblPassengerNames[[#This Row],[CommaPos]] + 2, tblPassengerNames[[#This Row],[DotPos]] - tblPassengerNames[[#This Row],[CommaPos]] - 1)</f>
        <v>Miss.</v>
      </c>
      <c r="R404" t="str">
        <f>LEFT(tblPassengerNames[[#This Row],[Name]], tblPassengerNames[[#This Row],[CommaPos]] - 1)</f>
        <v>Duran y More</v>
      </c>
    </row>
    <row r="405" spans="2:18" x14ac:dyDescent="0.25">
      <c r="B405" s="21">
        <v>403</v>
      </c>
      <c r="C405" s="21" t="s">
        <v>539</v>
      </c>
      <c r="D405" s="21" t="s">
        <v>136</v>
      </c>
      <c r="E405">
        <f>FIND(",", tblPassengerNames[[#This Row],[Name]])</f>
        <v>13</v>
      </c>
      <c r="F405">
        <f>FIND(".", tblPassengerNames[[#This Row],[Name]])</f>
        <v>19</v>
      </c>
      <c r="G405" t="e">
        <f>FIND("(", tblPassengerNames[[#This Row],[Name]])</f>
        <v>#VALUE!</v>
      </c>
      <c r="H405" t="e">
        <f>FIND(")", tblPassengerNames[[#This Row],[Name]])</f>
        <v>#VALUE!</v>
      </c>
      <c r="I405">
        <f>IFERROR(tblPassengerNames[[#This Row],[OpenParPos]] - 2, LEN(tblPassengerNames[[#This Row],[Name]]))</f>
        <v>30</v>
      </c>
      <c r="J405" t="str">
        <f>MID(tblPassengerNames[[#This Row],[Name]], tblPassengerNames[[#This Row],[DotPos]] + 2, tblPassengerNames[[#This Row],[EndOfConvFNPos]] - tblPassengerNames[[#This Row],[DotPos]] - 1)</f>
        <v>Florentina</v>
      </c>
      <c r="K405" t="e">
        <f>MID(tblPassengerNames[[#This Row],[Name]], tblPassengerNames[[#This Row],[OpenParPos]] + 1, tblPassengerNames[[#This Row],[CloseParPos]] - tblPassengerNames[[#This Row],[OpenParPos]] - 1)</f>
        <v>#VALUE!</v>
      </c>
      <c r="L405" t="e">
        <f>IF(AND(LEFT(tblPassengerNames[[#This Row],[InParentheses]], 1) = "'", RIGHT(tblPassengerNames[[#This Row],[InParentheses]], 1) = "'"),
    #VALUE!,
    tblPassengerNames[[#This Row],[InParentheses]]
)</f>
        <v>#VALUE!</v>
      </c>
      <c r="M405" t="e">
        <f>LEN(tblPassengerNames[[#This Row],[InParenthesesCleaned]]) - LEN(SUBSTITUTE(tblPassengerNames[[#This Row],[InParenthesesCleaned]], " ", ""))</f>
        <v>#VALUE!</v>
      </c>
      <c r="N405" t="e">
        <f>FIND("@", SUBSTITUTE(tblPassengerNames[[#This Row],[InParenthesesCleaned]], " ", "@", tblPassengerNames[[#This Row],[P_NSpaces]]))</f>
        <v>#VALUE!</v>
      </c>
      <c r="O405" t="e">
        <f>IF(tblPassengerNames[[#This Row],[P_NSpaces]] = 0,
    tblPassengerNames[[#This Row],[InParenthesesCleaned]],
    LEFT(tblPassengerNames[[#This Row],[InParenthesesCleaned]], tblPassengerNames[[#This Row],[P_FinalSpacePos]] - 1)
)</f>
        <v>#VALUE!</v>
      </c>
      <c r="P405" t="str">
        <f>IFERROR(tblPassengerNames[[#This Row],[P_Forenames]], tblPassengerNames[[#This Row],[ConvForenames]])</f>
        <v>Florentina</v>
      </c>
      <c r="Q405" t="str">
        <f>MID(tblPassengerNames[[#This Row],[Name]], tblPassengerNames[[#This Row],[CommaPos]] + 2, tblPassengerNames[[#This Row],[DotPos]] - tblPassengerNames[[#This Row],[CommaPos]] - 1)</f>
        <v>Miss.</v>
      </c>
      <c r="R405" t="str">
        <f>LEFT(tblPassengerNames[[#This Row],[Name]], tblPassengerNames[[#This Row],[CommaPos]] - 1)</f>
        <v>Duran y More</v>
      </c>
    </row>
    <row r="406" spans="2:18" x14ac:dyDescent="0.25">
      <c r="B406" s="21">
        <v>404</v>
      </c>
      <c r="C406" s="21" t="s">
        <v>540</v>
      </c>
      <c r="D406" s="21" t="s">
        <v>138</v>
      </c>
      <c r="E406">
        <f>FIND(",", tblPassengerNames[[#This Row],[Name]])</f>
        <v>11</v>
      </c>
      <c r="F406">
        <f>FIND(".", tblPassengerNames[[#This Row],[Name]])</f>
        <v>15</v>
      </c>
      <c r="G406" t="e">
        <f>FIND("(", tblPassengerNames[[#This Row],[Name]])</f>
        <v>#VALUE!</v>
      </c>
      <c r="H406" t="e">
        <f>FIND(")", tblPassengerNames[[#This Row],[Name]])</f>
        <v>#VALUE!</v>
      </c>
      <c r="I406">
        <f>IFERROR(tblPassengerNames[[#This Row],[OpenParPos]] - 2, LEN(tblPassengerNames[[#This Row],[Name]]))</f>
        <v>28</v>
      </c>
      <c r="J406" t="str">
        <f>MID(tblPassengerNames[[#This Row],[Name]], tblPassengerNames[[#This Row],[DotPos]] + 2, tblPassengerNames[[#This Row],[EndOfConvFNPos]] - tblPassengerNames[[#This Row],[DotPos]] - 1)</f>
        <v>George Floyd</v>
      </c>
      <c r="K406" t="e">
        <f>MID(tblPassengerNames[[#This Row],[Name]], tblPassengerNames[[#This Row],[OpenParPos]] + 1, tblPassengerNames[[#This Row],[CloseParPos]] - tblPassengerNames[[#This Row],[OpenParPos]] - 1)</f>
        <v>#VALUE!</v>
      </c>
      <c r="L406" t="e">
        <f>IF(AND(LEFT(tblPassengerNames[[#This Row],[InParentheses]], 1) = "'", RIGHT(tblPassengerNames[[#This Row],[InParentheses]], 1) = "'"),
    #VALUE!,
    tblPassengerNames[[#This Row],[InParentheses]]
)</f>
        <v>#VALUE!</v>
      </c>
      <c r="M406" t="e">
        <f>LEN(tblPassengerNames[[#This Row],[InParenthesesCleaned]]) - LEN(SUBSTITUTE(tblPassengerNames[[#This Row],[InParenthesesCleaned]], " ", ""))</f>
        <v>#VALUE!</v>
      </c>
      <c r="N406" t="e">
        <f>FIND("@", SUBSTITUTE(tblPassengerNames[[#This Row],[InParenthesesCleaned]], " ", "@", tblPassengerNames[[#This Row],[P_NSpaces]]))</f>
        <v>#VALUE!</v>
      </c>
      <c r="O406" t="e">
        <f>IF(tblPassengerNames[[#This Row],[P_NSpaces]] = 0,
    tblPassengerNames[[#This Row],[InParenthesesCleaned]],
    LEFT(tblPassengerNames[[#This Row],[InParenthesesCleaned]], tblPassengerNames[[#This Row],[P_FinalSpacePos]] - 1)
)</f>
        <v>#VALUE!</v>
      </c>
      <c r="P406" t="str">
        <f>IFERROR(tblPassengerNames[[#This Row],[P_Forenames]], tblPassengerNames[[#This Row],[ConvForenames]])</f>
        <v>George Floyd</v>
      </c>
      <c r="Q406" t="str">
        <f>MID(tblPassengerNames[[#This Row],[Name]], tblPassengerNames[[#This Row],[CommaPos]] + 2, tblPassengerNames[[#This Row],[DotPos]] - tblPassengerNames[[#This Row],[CommaPos]] - 1)</f>
        <v>Mr.</v>
      </c>
      <c r="R406" t="str">
        <f>LEFT(tblPassengerNames[[#This Row],[Name]], tblPassengerNames[[#This Row],[CommaPos]] - 1)</f>
        <v>Eitemiller</v>
      </c>
    </row>
    <row r="407" spans="2:18" x14ac:dyDescent="0.25">
      <c r="B407" s="21">
        <v>405</v>
      </c>
      <c r="C407" s="21" t="s">
        <v>541</v>
      </c>
      <c r="D407" s="21" t="s">
        <v>138</v>
      </c>
      <c r="E407">
        <f>FIND(",", tblPassengerNames[[#This Row],[Name]])</f>
        <v>8</v>
      </c>
      <c r="F407">
        <f>FIND(".", tblPassengerNames[[#This Row],[Name]])</f>
        <v>12</v>
      </c>
      <c r="G407" t="e">
        <f>FIND("(", tblPassengerNames[[#This Row],[Name]])</f>
        <v>#VALUE!</v>
      </c>
      <c r="H407" t="e">
        <f>FIND(")", tblPassengerNames[[#This Row],[Name]])</f>
        <v>#VALUE!</v>
      </c>
      <c r="I407">
        <f>IFERROR(tblPassengerNames[[#This Row],[OpenParPos]] - 2, LEN(tblPassengerNames[[#This Row],[Name]]))</f>
        <v>19</v>
      </c>
      <c r="J407" t="str">
        <f>MID(tblPassengerNames[[#This Row],[Name]], tblPassengerNames[[#This Row],[DotPos]] + 2, tblPassengerNames[[#This Row],[EndOfConvFNPos]] - tblPassengerNames[[#This Row],[DotPos]] - 1)</f>
        <v>Ingvar</v>
      </c>
      <c r="K407" t="e">
        <f>MID(tblPassengerNames[[#This Row],[Name]], tblPassengerNames[[#This Row],[OpenParPos]] + 1, tblPassengerNames[[#This Row],[CloseParPos]] - tblPassengerNames[[#This Row],[OpenParPos]] - 1)</f>
        <v>#VALUE!</v>
      </c>
      <c r="L407" t="e">
        <f>IF(AND(LEFT(tblPassengerNames[[#This Row],[InParentheses]], 1) = "'", RIGHT(tblPassengerNames[[#This Row],[InParentheses]], 1) = "'"),
    #VALUE!,
    tblPassengerNames[[#This Row],[InParentheses]]
)</f>
        <v>#VALUE!</v>
      </c>
      <c r="M407" t="e">
        <f>LEN(tblPassengerNames[[#This Row],[InParenthesesCleaned]]) - LEN(SUBSTITUTE(tblPassengerNames[[#This Row],[InParenthesesCleaned]], " ", ""))</f>
        <v>#VALUE!</v>
      </c>
      <c r="N407" t="e">
        <f>FIND("@", SUBSTITUTE(tblPassengerNames[[#This Row],[InParenthesesCleaned]], " ", "@", tblPassengerNames[[#This Row],[P_NSpaces]]))</f>
        <v>#VALUE!</v>
      </c>
      <c r="O407" t="e">
        <f>IF(tblPassengerNames[[#This Row],[P_NSpaces]] = 0,
    tblPassengerNames[[#This Row],[InParenthesesCleaned]],
    LEFT(tblPassengerNames[[#This Row],[InParenthesesCleaned]], tblPassengerNames[[#This Row],[P_FinalSpacePos]] - 1)
)</f>
        <v>#VALUE!</v>
      </c>
      <c r="P407" t="str">
        <f>IFERROR(tblPassengerNames[[#This Row],[P_Forenames]], tblPassengerNames[[#This Row],[ConvForenames]])</f>
        <v>Ingvar</v>
      </c>
      <c r="Q407" t="str">
        <f>MID(tblPassengerNames[[#This Row],[Name]], tblPassengerNames[[#This Row],[CommaPos]] + 2, tblPassengerNames[[#This Row],[DotPos]] - tblPassengerNames[[#This Row],[CommaPos]] - 1)</f>
        <v>Mr.</v>
      </c>
      <c r="R407" t="str">
        <f>LEFT(tblPassengerNames[[#This Row],[Name]], tblPassengerNames[[#This Row],[CommaPos]] - 1)</f>
        <v>Enander</v>
      </c>
    </row>
    <row r="408" spans="2:18" x14ac:dyDescent="0.25">
      <c r="B408" s="21">
        <v>406</v>
      </c>
      <c r="C408" s="21" t="s">
        <v>542</v>
      </c>
      <c r="D408" s="21" t="s">
        <v>138</v>
      </c>
      <c r="E408">
        <f>FIND(",", tblPassengerNames[[#This Row],[Name]])</f>
        <v>10</v>
      </c>
      <c r="F408">
        <f>FIND(".", tblPassengerNames[[#This Row],[Name]])</f>
        <v>14</v>
      </c>
      <c r="G408" t="e">
        <f>FIND("(", tblPassengerNames[[#This Row],[Name]])</f>
        <v>#VALUE!</v>
      </c>
      <c r="H408" t="e">
        <f>FIND(")", tblPassengerNames[[#This Row],[Name]])</f>
        <v>#VALUE!</v>
      </c>
      <c r="I408">
        <f>IFERROR(tblPassengerNames[[#This Row],[OpenParPos]] - 2, LEN(tblPassengerNames[[#This Row],[Name]]))</f>
        <v>25</v>
      </c>
      <c r="J408" t="str">
        <f>MID(tblPassengerNames[[#This Row],[Name]], tblPassengerNames[[#This Row],[DotPos]] + 2, tblPassengerNames[[#This Row],[EndOfConvFNPos]] - tblPassengerNames[[#This Row],[DotPos]] - 1)</f>
        <v>Arne Jonas</v>
      </c>
      <c r="K408" t="e">
        <f>MID(tblPassengerNames[[#This Row],[Name]], tblPassengerNames[[#This Row],[OpenParPos]] + 1, tblPassengerNames[[#This Row],[CloseParPos]] - tblPassengerNames[[#This Row],[OpenParPos]] - 1)</f>
        <v>#VALUE!</v>
      </c>
      <c r="L408" t="e">
        <f>IF(AND(LEFT(tblPassengerNames[[#This Row],[InParentheses]], 1) = "'", RIGHT(tblPassengerNames[[#This Row],[InParentheses]], 1) = "'"),
    #VALUE!,
    tblPassengerNames[[#This Row],[InParentheses]]
)</f>
        <v>#VALUE!</v>
      </c>
      <c r="M408" t="e">
        <f>LEN(tblPassengerNames[[#This Row],[InParenthesesCleaned]]) - LEN(SUBSTITUTE(tblPassengerNames[[#This Row],[InParenthesesCleaned]], " ", ""))</f>
        <v>#VALUE!</v>
      </c>
      <c r="N408" t="e">
        <f>FIND("@", SUBSTITUTE(tblPassengerNames[[#This Row],[InParenthesesCleaned]], " ", "@", tblPassengerNames[[#This Row],[P_NSpaces]]))</f>
        <v>#VALUE!</v>
      </c>
      <c r="O408" t="e">
        <f>IF(tblPassengerNames[[#This Row],[P_NSpaces]] = 0,
    tblPassengerNames[[#This Row],[InParenthesesCleaned]],
    LEFT(tblPassengerNames[[#This Row],[InParenthesesCleaned]], tblPassengerNames[[#This Row],[P_FinalSpacePos]] - 1)
)</f>
        <v>#VALUE!</v>
      </c>
      <c r="P408" t="str">
        <f>IFERROR(tblPassengerNames[[#This Row],[P_Forenames]], tblPassengerNames[[#This Row],[ConvForenames]])</f>
        <v>Arne Jonas</v>
      </c>
      <c r="Q408" t="str">
        <f>MID(tblPassengerNames[[#This Row],[Name]], tblPassengerNames[[#This Row],[CommaPos]] + 2, tblPassengerNames[[#This Row],[DotPos]] - tblPassengerNames[[#This Row],[CommaPos]] - 1)</f>
        <v>Mr.</v>
      </c>
      <c r="R408" t="str">
        <f>LEFT(tblPassengerNames[[#This Row],[Name]], tblPassengerNames[[#This Row],[CommaPos]] - 1)</f>
        <v>Fahlstrom</v>
      </c>
    </row>
    <row r="409" spans="2:18" x14ac:dyDescent="0.25">
      <c r="B409" s="21">
        <v>407</v>
      </c>
      <c r="C409" s="21" t="s">
        <v>543</v>
      </c>
      <c r="D409" s="21" t="s">
        <v>138</v>
      </c>
      <c r="E409">
        <f>FIND(",", tblPassengerNames[[#This Row],[Name]])</f>
        <v>11</v>
      </c>
      <c r="F409">
        <f>FIND(".", tblPassengerNames[[#This Row],[Name]])</f>
        <v>15</v>
      </c>
      <c r="G409" t="e">
        <f>FIND("(", tblPassengerNames[[#This Row],[Name]])</f>
        <v>#VALUE!</v>
      </c>
      <c r="H409" t="e">
        <f>FIND(")", tblPassengerNames[[#This Row],[Name]])</f>
        <v>#VALUE!</v>
      </c>
      <c r="I409">
        <f>IFERROR(tblPassengerNames[[#This Row],[OpenParPos]] - 2, LEN(tblPassengerNames[[#This Row],[Name]]))</f>
        <v>21</v>
      </c>
      <c r="J409" t="str">
        <f>MID(tblPassengerNames[[#This Row],[Name]], tblPassengerNames[[#This Row],[DotPos]] + 2, tblPassengerNames[[#This Row],[EndOfConvFNPos]] - tblPassengerNames[[#This Row],[DotPos]] - 1)</f>
        <v>Harry</v>
      </c>
      <c r="K409" t="e">
        <f>MID(tblPassengerNames[[#This Row],[Name]], tblPassengerNames[[#This Row],[OpenParPos]] + 1, tblPassengerNames[[#This Row],[CloseParPos]] - tblPassengerNames[[#This Row],[OpenParPos]] - 1)</f>
        <v>#VALUE!</v>
      </c>
      <c r="L409" t="e">
        <f>IF(AND(LEFT(tblPassengerNames[[#This Row],[InParentheses]], 1) = "'", RIGHT(tblPassengerNames[[#This Row],[InParentheses]], 1) = "'"),
    #VALUE!,
    tblPassengerNames[[#This Row],[InParentheses]]
)</f>
        <v>#VALUE!</v>
      </c>
      <c r="M409" t="e">
        <f>LEN(tblPassengerNames[[#This Row],[InParenthesesCleaned]]) - LEN(SUBSTITUTE(tblPassengerNames[[#This Row],[InParenthesesCleaned]], " ", ""))</f>
        <v>#VALUE!</v>
      </c>
      <c r="N409" t="e">
        <f>FIND("@", SUBSTITUTE(tblPassengerNames[[#This Row],[InParenthesesCleaned]], " ", "@", tblPassengerNames[[#This Row],[P_NSpaces]]))</f>
        <v>#VALUE!</v>
      </c>
      <c r="O409" t="e">
        <f>IF(tblPassengerNames[[#This Row],[P_NSpaces]] = 0,
    tblPassengerNames[[#This Row],[InParenthesesCleaned]],
    LEFT(tblPassengerNames[[#This Row],[InParenthesesCleaned]], tblPassengerNames[[#This Row],[P_FinalSpacePos]] - 1)
)</f>
        <v>#VALUE!</v>
      </c>
      <c r="P409" t="str">
        <f>IFERROR(tblPassengerNames[[#This Row],[P_Forenames]], tblPassengerNames[[#This Row],[ConvForenames]])</f>
        <v>Harry</v>
      </c>
      <c r="Q409" t="str">
        <f>MID(tblPassengerNames[[#This Row],[Name]], tblPassengerNames[[#This Row],[CommaPos]] + 2, tblPassengerNames[[#This Row],[DotPos]] - tblPassengerNames[[#This Row],[CommaPos]] - 1)</f>
        <v>Mr.</v>
      </c>
      <c r="R409" t="str">
        <f>LEFT(tblPassengerNames[[#This Row],[Name]], tblPassengerNames[[#This Row],[CommaPos]] - 1)</f>
        <v>Faunthorpe</v>
      </c>
    </row>
    <row r="410" spans="2:18" x14ac:dyDescent="0.25">
      <c r="B410" s="21">
        <v>408</v>
      </c>
      <c r="C410" s="21" t="s">
        <v>544</v>
      </c>
      <c r="D410" s="21" t="s">
        <v>136</v>
      </c>
      <c r="E410">
        <f>FIND(",", tblPassengerNames[[#This Row],[Name]])</f>
        <v>11</v>
      </c>
      <c r="F410">
        <f>FIND(".", tblPassengerNames[[#This Row],[Name]])</f>
        <v>16</v>
      </c>
      <c r="G410">
        <f>FIND("(", tblPassengerNames[[#This Row],[Name]])</f>
        <v>25</v>
      </c>
      <c r="H410">
        <f>FIND(")", tblPassengerNames[[#This Row],[Name]])</f>
        <v>50</v>
      </c>
      <c r="I410">
        <f>IFERROR(tblPassengerNames[[#This Row],[OpenParPos]] - 2, LEN(tblPassengerNames[[#This Row],[Name]]))</f>
        <v>23</v>
      </c>
      <c r="J410" t="str">
        <f>MID(tblPassengerNames[[#This Row],[Name]], tblPassengerNames[[#This Row],[DotPos]] + 2, tblPassengerNames[[#This Row],[EndOfConvFNPos]] - tblPassengerNames[[#This Row],[DotPos]] - 1)</f>
        <v>Lizzie</v>
      </c>
      <c r="K410" t="str">
        <f>MID(tblPassengerNames[[#This Row],[Name]], tblPassengerNames[[#This Row],[OpenParPos]] + 1, tblPassengerNames[[#This Row],[CloseParPos]] - tblPassengerNames[[#This Row],[OpenParPos]] - 1)</f>
        <v>Elizabeth Anne Wilkinson</v>
      </c>
      <c r="L410" t="str">
        <f>IF(AND(LEFT(tblPassengerNames[[#This Row],[InParentheses]], 1) = "'", RIGHT(tblPassengerNames[[#This Row],[InParentheses]], 1) = "'"),
    #VALUE!,
    tblPassengerNames[[#This Row],[InParentheses]]
)</f>
        <v>Elizabeth Anne Wilkinson</v>
      </c>
      <c r="M410">
        <f>LEN(tblPassengerNames[[#This Row],[InParenthesesCleaned]]) - LEN(SUBSTITUTE(tblPassengerNames[[#This Row],[InParenthesesCleaned]], " ", ""))</f>
        <v>2</v>
      </c>
      <c r="N410">
        <f>FIND("@", SUBSTITUTE(tblPassengerNames[[#This Row],[InParenthesesCleaned]], " ", "@", tblPassengerNames[[#This Row],[P_NSpaces]]))</f>
        <v>15</v>
      </c>
      <c r="O410" t="str">
        <f>IF(tblPassengerNames[[#This Row],[P_NSpaces]] = 0,
    tblPassengerNames[[#This Row],[InParenthesesCleaned]],
    LEFT(tblPassengerNames[[#This Row],[InParenthesesCleaned]], tblPassengerNames[[#This Row],[P_FinalSpacePos]] - 1)
)</f>
        <v>Elizabeth Anne</v>
      </c>
      <c r="P410" t="str">
        <f>IFERROR(tblPassengerNames[[#This Row],[P_Forenames]], tblPassengerNames[[#This Row],[ConvForenames]])</f>
        <v>Elizabeth Anne</v>
      </c>
      <c r="Q410" t="str">
        <f>MID(tblPassengerNames[[#This Row],[Name]], tblPassengerNames[[#This Row],[CommaPos]] + 2, tblPassengerNames[[#This Row],[DotPos]] - tblPassengerNames[[#This Row],[CommaPos]] - 1)</f>
        <v>Mrs.</v>
      </c>
      <c r="R410" t="str">
        <f>LEFT(tblPassengerNames[[#This Row],[Name]], tblPassengerNames[[#This Row],[CommaPos]] - 1)</f>
        <v>Faunthorpe</v>
      </c>
    </row>
    <row r="411" spans="2:18" x14ac:dyDescent="0.25">
      <c r="B411" s="21">
        <v>409</v>
      </c>
      <c r="C411" s="21" t="s">
        <v>545</v>
      </c>
      <c r="D411" s="21" t="s">
        <v>138</v>
      </c>
      <c r="E411">
        <f>FIND(",", tblPassengerNames[[#This Row],[Name]])</f>
        <v>10</v>
      </c>
      <c r="F411">
        <f>FIND(".", tblPassengerNames[[#This Row],[Name]])</f>
        <v>14</v>
      </c>
      <c r="G411" t="e">
        <f>FIND("(", tblPassengerNames[[#This Row],[Name]])</f>
        <v>#VALUE!</v>
      </c>
      <c r="H411" t="e">
        <f>FIND(")", tblPassengerNames[[#This Row],[Name]])</f>
        <v>#VALUE!</v>
      </c>
      <c r="I411">
        <f>IFERROR(tblPassengerNames[[#This Row],[OpenParPos]] - 2, LEN(tblPassengerNames[[#This Row],[Name]]))</f>
        <v>29</v>
      </c>
      <c r="J411" t="str">
        <f>MID(tblPassengerNames[[#This Row],[Name]], tblPassengerNames[[#This Row],[DotPos]] + 2, tblPassengerNames[[#This Row],[EndOfConvFNPos]] - tblPassengerNames[[#This Row],[DotPos]] - 1)</f>
        <v>Joseph Charles</v>
      </c>
      <c r="K411" t="e">
        <f>MID(tblPassengerNames[[#This Row],[Name]], tblPassengerNames[[#This Row],[OpenParPos]] + 1, tblPassengerNames[[#This Row],[CloseParPos]] - tblPassengerNames[[#This Row],[OpenParPos]] - 1)</f>
        <v>#VALUE!</v>
      </c>
      <c r="L411" t="e">
        <f>IF(AND(LEFT(tblPassengerNames[[#This Row],[InParentheses]], 1) = "'", RIGHT(tblPassengerNames[[#This Row],[InParentheses]], 1) = "'"),
    #VALUE!,
    tblPassengerNames[[#This Row],[InParentheses]]
)</f>
        <v>#VALUE!</v>
      </c>
      <c r="M411" t="e">
        <f>LEN(tblPassengerNames[[#This Row],[InParenthesesCleaned]]) - LEN(SUBSTITUTE(tblPassengerNames[[#This Row],[InParenthesesCleaned]], " ", ""))</f>
        <v>#VALUE!</v>
      </c>
      <c r="N411" t="e">
        <f>FIND("@", SUBSTITUTE(tblPassengerNames[[#This Row],[InParenthesesCleaned]], " ", "@", tblPassengerNames[[#This Row],[P_NSpaces]]))</f>
        <v>#VALUE!</v>
      </c>
      <c r="O411" t="e">
        <f>IF(tblPassengerNames[[#This Row],[P_NSpaces]] = 0,
    tblPassengerNames[[#This Row],[InParenthesesCleaned]],
    LEFT(tblPassengerNames[[#This Row],[InParenthesesCleaned]], tblPassengerNames[[#This Row],[P_FinalSpacePos]] - 1)
)</f>
        <v>#VALUE!</v>
      </c>
      <c r="P411" t="str">
        <f>IFERROR(tblPassengerNames[[#This Row],[P_Forenames]], tblPassengerNames[[#This Row],[ConvForenames]])</f>
        <v>Joseph Charles</v>
      </c>
      <c r="Q411" t="str">
        <f>MID(tblPassengerNames[[#This Row],[Name]], tblPassengerNames[[#This Row],[CommaPos]] + 2, tblPassengerNames[[#This Row],[DotPos]] - tblPassengerNames[[#This Row],[CommaPos]] - 1)</f>
        <v>Mr.</v>
      </c>
      <c r="R411" t="str">
        <f>LEFT(tblPassengerNames[[#This Row],[Name]], tblPassengerNames[[#This Row],[CommaPos]] - 1)</f>
        <v>Fillbrook</v>
      </c>
    </row>
    <row r="412" spans="2:18" x14ac:dyDescent="0.25">
      <c r="B412" s="21">
        <v>410</v>
      </c>
      <c r="C412" s="21" t="s">
        <v>546</v>
      </c>
      <c r="D412" s="21" t="s">
        <v>138</v>
      </c>
      <c r="E412">
        <f>FIND(",", tblPassengerNames[[#This Row],[Name]])</f>
        <v>4</v>
      </c>
      <c r="F412">
        <f>FIND(".", tblPassengerNames[[#This Row],[Name]])</f>
        <v>8</v>
      </c>
      <c r="G412" t="e">
        <f>FIND("(", tblPassengerNames[[#This Row],[Name]])</f>
        <v>#VALUE!</v>
      </c>
      <c r="H412" t="e">
        <f>FIND(")", tblPassengerNames[[#This Row],[Name]])</f>
        <v>#VALUE!</v>
      </c>
      <c r="I412">
        <f>IFERROR(tblPassengerNames[[#This Row],[OpenParPos]] - 2, LEN(tblPassengerNames[[#This Row],[Name]]))</f>
        <v>23</v>
      </c>
      <c r="J412" t="str">
        <f>MID(tblPassengerNames[[#This Row],[Name]], tblPassengerNames[[#This Row],[DotPos]] + 2, tblPassengerNames[[#This Row],[EndOfConvFNPos]] - tblPassengerNames[[#This Row],[DotPos]] - 1)</f>
        <v>Stanley Hubert</v>
      </c>
      <c r="K412" t="e">
        <f>MID(tblPassengerNames[[#This Row],[Name]], tblPassengerNames[[#This Row],[OpenParPos]] + 1, tblPassengerNames[[#This Row],[CloseParPos]] - tblPassengerNames[[#This Row],[OpenParPos]] - 1)</f>
        <v>#VALUE!</v>
      </c>
      <c r="L412" t="e">
        <f>IF(AND(LEFT(tblPassengerNames[[#This Row],[InParentheses]], 1) = "'", RIGHT(tblPassengerNames[[#This Row],[InParentheses]], 1) = "'"),
    #VALUE!,
    tblPassengerNames[[#This Row],[InParentheses]]
)</f>
        <v>#VALUE!</v>
      </c>
      <c r="M412" t="e">
        <f>LEN(tblPassengerNames[[#This Row],[InParenthesesCleaned]]) - LEN(SUBSTITUTE(tblPassengerNames[[#This Row],[InParenthesesCleaned]], " ", ""))</f>
        <v>#VALUE!</v>
      </c>
      <c r="N412" t="e">
        <f>FIND("@", SUBSTITUTE(tblPassengerNames[[#This Row],[InParenthesesCleaned]], " ", "@", tblPassengerNames[[#This Row],[P_NSpaces]]))</f>
        <v>#VALUE!</v>
      </c>
      <c r="O412" t="e">
        <f>IF(tblPassengerNames[[#This Row],[P_NSpaces]] = 0,
    tblPassengerNames[[#This Row],[InParenthesesCleaned]],
    LEFT(tblPassengerNames[[#This Row],[InParenthesesCleaned]], tblPassengerNames[[#This Row],[P_FinalSpacePos]] - 1)
)</f>
        <v>#VALUE!</v>
      </c>
      <c r="P412" t="str">
        <f>IFERROR(tblPassengerNames[[#This Row],[P_Forenames]], tblPassengerNames[[#This Row],[ConvForenames]])</f>
        <v>Stanley Hubert</v>
      </c>
      <c r="Q412" t="str">
        <f>MID(tblPassengerNames[[#This Row],[Name]], tblPassengerNames[[#This Row],[CommaPos]] + 2, tblPassengerNames[[#This Row],[DotPos]] - tblPassengerNames[[#This Row],[CommaPos]] - 1)</f>
        <v>Mr.</v>
      </c>
      <c r="R412" t="str">
        <f>LEFT(tblPassengerNames[[#This Row],[Name]], tblPassengerNames[[#This Row],[CommaPos]] - 1)</f>
        <v>Fox</v>
      </c>
    </row>
    <row r="413" spans="2:18" x14ac:dyDescent="0.25">
      <c r="B413" s="21">
        <v>411</v>
      </c>
      <c r="C413" s="21" t="s">
        <v>547</v>
      </c>
      <c r="D413" s="21" t="s">
        <v>138</v>
      </c>
      <c r="E413">
        <f>FIND(",", tblPassengerNames[[#This Row],[Name]])</f>
        <v>6</v>
      </c>
      <c r="F413">
        <f>FIND(".", tblPassengerNames[[#This Row],[Name]])</f>
        <v>10</v>
      </c>
      <c r="G413" t="e">
        <f>FIND("(", tblPassengerNames[[#This Row],[Name]])</f>
        <v>#VALUE!</v>
      </c>
      <c r="H413" t="e">
        <f>FIND(")", tblPassengerNames[[#This Row],[Name]])</f>
        <v>#VALUE!</v>
      </c>
      <c r="I413">
        <f>IFERROR(tblPassengerNames[[#This Row],[OpenParPos]] - 2, LEN(tblPassengerNames[[#This Row],[Name]]))</f>
        <v>32</v>
      </c>
      <c r="J413" t="str">
        <f>MID(tblPassengerNames[[#This Row],[Name]], tblPassengerNames[[#This Row],[DotPos]] + 2, tblPassengerNames[[#This Row],[EndOfConvFNPos]] - tblPassengerNames[[#This Row],[DotPos]] - 1)</f>
        <v>Anthony Wood 'Archie'</v>
      </c>
      <c r="K413" t="e">
        <f>MID(tblPassengerNames[[#This Row],[Name]], tblPassengerNames[[#This Row],[OpenParPos]] + 1, tblPassengerNames[[#This Row],[CloseParPos]] - tblPassengerNames[[#This Row],[OpenParPos]] - 1)</f>
        <v>#VALUE!</v>
      </c>
      <c r="L413" t="e">
        <f>IF(AND(LEFT(tblPassengerNames[[#This Row],[InParentheses]], 1) = "'", RIGHT(tblPassengerNames[[#This Row],[InParentheses]], 1) = "'"),
    #VALUE!,
    tblPassengerNames[[#This Row],[InParentheses]]
)</f>
        <v>#VALUE!</v>
      </c>
      <c r="M413" t="e">
        <f>LEN(tblPassengerNames[[#This Row],[InParenthesesCleaned]]) - LEN(SUBSTITUTE(tblPassengerNames[[#This Row],[InParenthesesCleaned]], " ", ""))</f>
        <v>#VALUE!</v>
      </c>
      <c r="N413" t="e">
        <f>FIND("@", SUBSTITUTE(tblPassengerNames[[#This Row],[InParenthesesCleaned]], " ", "@", tblPassengerNames[[#This Row],[P_NSpaces]]))</f>
        <v>#VALUE!</v>
      </c>
      <c r="O413" t="e">
        <f>IF(tblPassengerNames[[#This Row],[P_NSpaces]] = 0,
    tblPassengerNames[[#This Row],[InParenthesesCleaned]],
    LEFT(tblPassengerNames[[#This Row],[InParenthesesCleaned]], tblPassengerNames[[#This Row],[P_FinalSpacePos]] - 1)
)</f>
        <v>#VALUE!</v>
      </c>
      <c r="P413" t="str">
        <f>IFERROR(tblPassengerNames[[#This Row],[P_Forenames]], tblPassengerNames[[#This Row],[ConvForenames]])</f>
        <v>Anthony Wood 'Archie'</v>
      </c>
      <c r="Q413" t="str">
        <f>MID(tblPassengerNames[[#This Row],[Name]], tblPassengerNames[[#This Row],[CommaPos]] + 2, tblPassengerNames[[#This Row],[DotPos]] - tblPassengerNames[[#This Row],[CommaPos]] - 1)</f>
        <v>Mr.</v>
      </c>
      <c r="R413" t="str">
        <f>LEFT(tblPassengerNames[[#This Row],[Name]], tblPassengerNames[[#This Row],[CommaPos]] - 1)</f>
        <v>Frost</v>
      </c>
    </row>
    <row r="414" spans="2:18" x14ac:dyDescent="0.25">
      <c r="B414" s="21">
        <v>412</v>
      </c>
      <c r="C414" s="21" t="s">
        <v>548</v>
      </c>
      <c r="D414" s="21" t="s">
        <v>136</v>
      </c>
      <c r="E414">
        <f>FIND(",", tblPassengerNames[[#This Row],[Name]])</f>
        <v>5</v>
      </c>
      <c r="F414">
        <f>FIND(".", tblPassengerNames[[#This Row],[Name]])</f>
        <v>11</v>
      </c>
      <c r="G414" t="e">
        <f>FIND("(", tblPassengerNames[[#This Row],[Name]])</f>
        <v>#VALUE!</v>
      </c>
      <c r="H414" t="e">
        <f>FIND(")", tblPassengerNames[[#This Row],[Name]])</f>
        <v>#VALUE!</v>
      </c>
      <c r="I414">
        <f>IFERROR(tblPassengerNames[[#This Row],[OpenParPos]] - 2, LEN(tblPassengerNames[[#This Row],[Name]]))</f>
        <v>25</v>
      </c>
      <c r="J414" t="str">
        <f>MID(tblPassengerNames[[#This Row],[Name]], tblPassengerNames[[#This Row],[DotPos]] + 2, tblPassengerNames[[#This Row],[EndOfConvFNPos]] - tblPassengerNames[[#This Row],[DotPos]] - 1)</f>
        <v>Annie Clemmer</v>
      </c>
      <c r="K414" t="e">
        <f>MID(tblPassengerNames[[#This Row],[Name]], tblPassengerNames[[#This Row],[OpenParPos]] + 1, tblPassengerNames[[#This Row],[CloseParPos]] - tblPassengerNames[[#This Row],[OpenParPos]] - 1)</f>
        <v>#VALUE!</v>
      </c>
      <c r="L414" t="e">
        <f>IF(AND(LEFT(tblPassengerNames[[#This Row],[InParentheses]], 1) = "'", RIGHT(tblPassengerNames[[#This Row],[InParentheses]], 1) = "'"),
    #VALUE!,
    tblPassengerNames[[#This Row],[InParentheses]]
)</f>
        <v>#VALUE!</v>
      </c>
      <c r="M414" t="e">
        <f>LEN(tblPassengerNames[[#This Row],[InParenthesesCleaned]]) - LEN(SUBSTITUTE(tblPassengerNames[[#This Row],[InParenthesesCleaned]], " ", ""))</f>
        <v>#VALUE!</v>
      </c>
      <c r="N414" t="e">
        <f>FIND("@", SUBSTITUTE(tblPassengerNames[[#This Row],[InParenthesesCleaned]], " ", "@", tblPassengerNames[[#This Row],[P_NSpaces]]))</f>
        <v>#VALUE!</v>
      </c>
      <c r="O414" t="e">
        <f>IF(tblPassengerNames[[#This Row],[P_NSpaces]] = 0,
    tblPassengerNames[[#This Row],[InParenthesesCleaned]],
    LEFT(tblPassengerNames[[#This Row],[InParenthesesCleaned]], tblPassengerNames[[#This Row],[P_FinalSpacePos]] - 1)
)</f>
        <v>#VALUE!</v>
      </c>
      <c r="P414" t="str">
        <f>IFERROR(tblPassengerNames[[#This Row],[P_Forenames]], tblPassengerNames[[#This Row],[ConvForenames]])</f>
        <v>Annie Clemmer</v>
      </c>
      <c r="Q414" t="str">
        <f>MID(tblPassengerNames[[#This Row],[Name]], tblPassengerNames[[#This Row],[CommaPos]] + 2, tblPassengerNames[[#This Row],[DotPos]] - tblPassengerNames[[#This Row],[CommaPos]] - 1)</f>
        <v>Miss.</v>
      </c>
      <c r="R414" t="str">
        <f>LEFT(tblPassengerNames[[#This Row],[Name]], tblPassengerNames[[#This Row],[CommaPos]] - 1)</f>
        <v>Funk</v>
      </c>
    </row>
    <row r="415" spans="2:18" x14ac:dyDescent="0.25">
      <c r="B415" s="21">
        <v>413</v>
      </c>
      <c r="C415" s="21" t="s">
        <v>549</v>
      </c>
      <c r="D415" s="21" t="s">
        <v>138</v>
      </c>
      <c r="E415">
        <f>FIND(",", tblPassengerNames[[#This Row],[Name]])</f>
        <v>7</v>
      </c>
      <c r="F415">
        <f>FIND(".", tblPassengerNames[[#This Row],[Name]])</f>
        <v>11</v>
      </c>
      <c r="G415" t="e">
        <f>FIND("(", tblPassengerNames[[#This Row],[Name]])</f>
        <v>#VALUE!</v>
      </c>
      <c r="H415" t="e">
        <f>FIND(")", tblPassengerNames[[#This Row],[Name]])</f>
        <v>#VALUE!</v>
      </c>
      <c r="I415">
        <f>IFERROR(tblPassengerNames[[#This Row],[OpenParPos]] - 2, LEN(tblPassengerNames[[#This Row],[Name]]))</f>
        <v>20</v>
      </c>
      <c r="J415" t="str">
        <f>MID(tblPassengerNames[[#This Row],[Name]], tblPassengerNames[[#This Row],[DotPos]] + 2, tblPassengerNames[[#This Row],[EndOfConvFNPos]] - tblPassengerNames[[#This Row],[DotPos]] - 1)</f>
        <v>Joseph J</v>
      </c>
      <c r="K415" t="e">
        <f>MID(tblPassengerNames[[#This Row],[Name]], tblPassengerNames[[#This Row],[OpenParPos]] + 1, tblPassengerNames[[#This Row],[CloseParPos]] - tblPassengerNames[[#This Row],[OpenParPos]] - 1)</f>
        <v>#VALUE!</v>
      </c>
      <c r="L415" t="e">
        <f>IF(AND(LEFT(tblPassengerNames[[#This Row],[InParentheses]], 1) = "'", RIGHT(tblPassengerNames[[#This Row],[InParentheses]], 1) = "'"),
    #VALUE!,
    tblPassengerNames[[#This Row],[InParentheses]]
)</f>
        <v>#VALUE!</v>
      </c>
      <c r="M415" t="e">
        <f>LEN(tblPassengerNames[[#This Row],[InParenthesesCleaned]]) - LEN(SUBSTITUTE(tblPassengerNames[[#This Row],[InParenthesesCleaned]], " ", ""))</f>
        <v>#VALUE!</v>
      </c>
      <c r="N415" t="e">
        <f>FIND("@", SUBSTITUTE(tblPassengerNames[[#This Row],[InParenthesesCleaned]], " ", "@", tblPassengerNames[[#This Row],[P_NSpaces]]))</f>
        <v>#VALUE!</v>
      </c>
      <c r="O415" t="e">
        <f>IF(tblPassengerNames[[#This Row],[P_NSpaces]] = 0,
    tblPassengerNames[[#This Row],[InParenthesesCleaned]],
    LEFT(tblPassengerNames[[#This Row],[InParenthesesCleaned]], tblPassengerNames[[#This Row],[P_FinalSpacePos]] - 1)
)</f>
        <v>#VALUE!</v>
      </c>
      <c r="P415" t="str">
        <f>IFERROR(tblPassengerNames[[#This Row],[P_Forenames]], tblPassengerNames[[#This Row],[ConvForenames]])</f>
        <v>Joseph J</v>
      </c>
      <c r="Q415" t="str">
        <f>MID(tblPassengerNames[[#This Row],[Name]], tblPassengerNames[[#This Row],[CommaPos]] + 2, tblPassengerNames[[#This Row],[DotPos]] - tblPassengerNames[[#This Row],[CommaPos]] - 1)</f>
        <v>Mr.</v>
      </c>
      <c r="R415" t="str">
        <f>LEFT(tblPassengerNames[[#This Row],[Name]], tblPassengerNames[[#This Row],[CommaPos]] - 1)</f>
        <v>Fynney</v>
      </c>
    </row>
    <row r="416" spans="2:18" x14ac:dyDescent="0.25">
      <c r="B416" s="21">
        <v>414</v>
      </c>
      <c r="C416" s="21" t="s">
        <v>550</v>
      </c>
      <c r="D416" s="21" t="s">
        <v>138</v>
      </c>
      <c r="E416">
        <f>FIND(",", tblPassengerNames[[#This Row],[Name]])</f>
        <v>5</v>
      </c>
      <c r="F416">
        <f>FIND(".", tblPassengerNames[[#This Row],[Name]])</f>
        <v>9</v>
      </c>
      <c r="G416" t="e">
        <f>FIND("(", tblPassengerNames[[#This Row],[Name]])</f>
        <v>#VALUE!</v>
      </c>
      <c r="H416" t="e">
        <f>FIND(")", tblPassengerNames[[#This Row],[Name]])</f>
        <v>#VALUE!</v>
      </c>
      <c r="I416">
        <f>IFERROR(tblPassengerNames[[#This Row],[OpenParPos]] - 2, LEN(tblPassengerNames[[#This Row],[Name]]))</f>
        <v>15</v>
      </c>
      <c r="J416" t="str">
        <f>MID(tblPassengerNames[[#This Row],[Name]], tblPassengerNames[[#This Row],[DotPos]] + 2, tblPassengerNames[[#This Row],[EndOfConvFNPos]] - tblPassengerNames[[#This Row],[DotPos]] - 1)</f>
        <v>Harry</v>
      </c>
      <c r="K416" t="e">
        <f>MID(tblPassengerNames[[#This Row],[Name]], tblPassengerNames[[#This Row],[OpenParPos]] + 1, tblPassengerNames[[#This Row],[CloseParPos]] - tblPassengerNames[[#This Row],[OpenParPos]] - 1)</f>
        <v>#VALUE!</v>
      </c>
      <c r="L416" t="e">
        <f>IF(AND(LEFT(tblPassengerNames[[#This Row],[InParentheses]], 1) = "'", RIGHT(tblPassengerNames[[#This Row],[InParentheses]], 1) = "'"),
    #VALUE!,
    tblPassengerNames[[#This Row],[InParentheses]]
)</f>
        <v>#VALUE!</v>
      </c>
      <c r="M416" t="e">
        <f>LEN(tblPassengerNames[[#This Row],[InParenthesesCleaned]]) - LEN(SUBSTITUTE(tblPassengerNames[[#This Row],[InParenthesesCleaned]], " ", ""))</f>
        <v>#VALUE!</v>
      </c>
      <c r="N416" t="e">
        <f>FIND("@", SUBSTITUTE(tblPassengerNames[[#This Row],[InParenthesesCleaned]], " ", "@", tblPassengerNames[[#This Row],[P_NSpaces]]))</f>
        <v>#VALUE!</v>
      </c>
      <c r="O416" t="e">
        <f>IF(tblPassengerNames[[#This Row],[P_NSpaces]] = 0,
    tblPassengerNames[[#This Row],[InParenthesesCleaned]],
    LEFT(tblPassengerNames[[#This Row],[InParenthesesCleaned]], tblPassengerNames[[#This Row],[P_FinalSpacePos]] - 1)
)</f>
        <v>#VALUE!</v>
      </c>
      <c r="P416" t="str">
        <f>IFERROR(tblPassengerNames[[#This Row],[P_Forenames]], tblPassengerNames[[#This Row],[ConvForenames]])</f>
        <v>Harry</v>
      </c>
      <c r="Q416" t="str">
        <f>MID(tblPassengerNames[[#This Row],[Name]], tblPassengerNames[[#This Row],[CommaPos]] + 2, tblPassengerNames[[#This Row],[DotPos]] - tblPassengerNames[[#This Row],[CommaPos]] - 1)</f>
        <v>Mr.</v>
      </c>
      <c r="R416" t="str">
        <f>LEFT(tblPassengerNames[[#This Row],[Name]], tblPassengerNames[[#This Row],[CommaPos]] - 1)</f>
        <v>Gale</v>
      </c>
    </row>
    <row r="417" spans="2:18" x14ac:dyDescent="0.25">
      <c r="B417" s="21">
        <v>415</v>
      </c>
      <c r="C417" s="21" t="s">
        <v>551</v>
      </c>
      <c r="D417" s="21" t="s">
        <v>138</v>
      </c>
      <c r="E417">
        <f>FIND(",", tblPassengerNames[[#This Row],[Name]])</f>
        <v>5</v>
      </c>
      <c r="F417">
        <f>FIND(".", tblPassengerNames[[#This Row],[Name]])</f>
        <v>9</v>
      </c>
      <c r="G417" t="e">
        <f>FIND("(", tblPassengerNames[[#This Row],[Name]])</f>
        <v>#VALUE!</v>
      </c>
      <c r="H417" t="e">
        <f>FIND(")", tblPassengerNames[[#This Row],[Name]])</f>
        <v>#VALUE!</v>
      </c>
      <c r="I417">
        <f>IFERROR(tblPassengerNames[[#This Row],[OpenParPos]] - 2, LEN(tblPassengerNames[[#This Row],[Name]]))</f>
        <v>18</v>
      </c>
      <c r="J417" t="str">
        <f>MID(tblPassengerNames[[#This Row],[Name]], tblPassengerNames[[#This Row],[DotPos]] + 2, tblPassengerNames[[#This Row],[EndOfConvFNPos]] - tblPassengerNames[[#This Row],[DotPos]] - 1)</f>
        <v>Shadrach</v>
      </c>
      <c r="K417" t="e">
        <f>MID(tblPassengerNames[[#This Row],[Name]], tblPassengerNames[[#This Row],[OpenParPos]] + 1, tblPassengerNames[[#This Row],[CloseParPos]] - tblPassengerNames[[#This Row],[OpenParPos]] - 1)</f>
        <v>#VALUE!</v>
      </c>
      <c r="L417" t="e">
        <f>IF(AND(LEFT(tblPassengerNames[[#This Row],[InParentheses]], 1) = "'", RIGHT(tblPassengerNames[[#This Row],[InParentheses]], 1) = "'"),
    #VALUE!,
    tblPassengerNames[[#This Row],[InParentheses]]
)</f>
        <v>#VALUE!</v>
      </c>
      <c r="M417" t="e">
        <f>LEN(tblPassengerNames[[#This Row],[InParenthesesCleaned]]) - LEN(SUBSTITUTE(tblPassengerNames[[#This Row],[InParenthesesCleaned]], " ", ""))</f>
        <v>#VALUE!</v>
      </c>
      <c r="N417" t="e">
        <f>FIND("@", SUBSTITUTE(tblPassengerNames[[#This Row],[InParenthesesCleaned]], " ", "@", tblPassengerNames[[#This Row],[P_NSpaces]]))</f>
        <v>#VALUE!</v>
      </c>
      <c r="O417" t="e">
        <f>IF(tblPassengerNames[[#This Row],[P_NSpaces]] = 0,
    tblPassengerNames[[#This Row],[InParenthesesCleaned]],
    LEFT(tblPassengerNames[[#This Row],[InParenthesesCleaned]], tblPassengerNames[[#This Row],[P_FinalSpacePos]] - 1)
)</f>
        <v>#VALUE!</v>
      </c>
      <c r="P417" t="str">
        <f>IFERROR(tblPassengerNames[[#This Row],[P_Forenames]], tblPassengerNames[[#This Row],[ConvForenames]])</f>
        <v>Shadrach</v>
      </c>
      <c r="Q417" t="str">
        <f>MID(tblPassengerNames[[#This Row],[Name]], tblPassengerNames[[#This Row],[CommaPos]] + 2, tblPassengerNames[[#This Row],[DotPos]] - tblPassengerNames[[#This Row],[CommaPos]] - 1)</f>
        <v>Mr.</v>
      </c>
      <c r="R417" t="str">
        <f>LEFT(tblPassengerNames[[#This Row],[Name]], tblPassengerNames[[#This Row],[CommaPos]] - 1)</f>
        <v>Gale</v>
      </c>
    </row>
    <row r="418" spans="2:18" x14ac:dyDescent="0.25">
      <c r="B418" s="21">
        <v>416</v>
      </c>
      <c r="C418" s="21" t="s">
        <v>552</v>
      </c>
      <c r="D418" s="21" t="s">
        <v>136</v>
      </c>
      <c r="E418">
        <f>FIND(",", tblPassengerNames[[#This Row],[Name]])</f>
        <v>8</v>
      </c>
      <c r="F418">
        <f>FIND(".", tblPassengerNames[[#This Row],[Name]])</f>
        <v>14</v>
      </c>
      <c r="G418" t="e">
        <f>FIND("(", tblPassengerNames[[#This Row],[Name]])</f>
        <v>#VALUE!</v>
      </c>
      <c r="H418" t="e">
        <f>FIND(")", tblPassengerNames[[#This Row],[Name]])</f>
        <v>#VALUE!</v>
      </c>
      <c r="I418">
        <f>IFERROR(tblPassengerNames[[#This Row],[OpenParPos]] - 2, LEN(tblPassengerNames[[#This Row],[Name]]))</f>
        <v>20</v>
      </c>
      <c r="J418" t="str">
        <f>MID(tblPassengerNames[[#This Row],[Name]], tblPassengerNames[[#This Row],[DotPos]] + 2, tblPassengerNames[[#This Row],[EndOfConvFNPos]] - tblPassengerNames[[#This Row],[DotPos]] - 1)</f>
        <v>Ethel</v>
      </c>
      <c r="K418" t="e">
        <f>MID(tblPassengerNames[[#This Row],[Name]], tblPassengerNames[[#This Row],[OpenParPos]] + 1, tblPassengerNames[[#This Row],[CloseParPos]] - tblPassengerNames[[#This Row],[OpenParPos]] - 1)</f>
        <v>#VALUE!</v>
      </c>
      <c r="L418" t="e">
        <f>IF(AND(LEFT(tblPassengerNames[[#This Row],[InParentheses]], 1) = "'", RIGHT(tblPassengerNames[[#This Row],[InParentheses]], 1) = "'"),
    #VALUE!,
    tblPassengerNames[[#This Row],[InParentheses]]
)</f>
        <v>#VALUE!</v>
      </c>
      <c r="M418" t="e">
        <f>LEN(tblPassengerNames[[#This Row],[InParenthesesCleaned]]) - LEN(SUBSTITUTE(tblPassengerNames[[#This Row],[InParenthesesCleaned]], " ", ""))</f>
        <v>#VALUE!</v>
      </c>
      <c r="N418" t="e">
        <f>FIND("@", SUBSTITUTE(tblPassengerNames[[#This Row],[InParenthesesCleaned]], " ", "@", tblPassengerNames[[#This Row],[P_NSpaces]]))</f>
        <v>#VALUE!</v>
      </c>
      <c r="O418" t="e">
        <f>IF(tblPassengerNames[[#This Row],[P_NSpaces]] = 0,
    tblPassengerNames[[#This Row],[InParenthesesCleaned]],
    LEFT(tblPassengerNames[[#This Row],[InParenthesesCleaned]], tblPassengerNames[[#This Row],[P_FinalSpacePos]] - 1)
)</f>
        <v>#VALUE!</v>
      </c>
      <c r="P418" t="str">
        <f>IFERROR(tblPassengerNames[[#This Row],[P_Forenames]], tblPassengerNames[[#This Row],[ConvForenames]])</f>
        <v>Ethel</v>
      </c>
      <c r="Q418" t="str">
        <f>MID(tblPassengerNames[[#This Row],[Name]], tblPassengerNames[[#This Row],[CommaPos]] + 2, tblPassengerNames[[#This Row],[DotPos]] - tblPassengerNames[[#This Row],[CommaPos]] - 1)</f>
        <v>Miss.</v>
      </c>
      <c r="R418" t="str">
        <f>LEFT(tblPassengerNames[[#This Row],[Name]], tblPassengerNames[[#This Row],[CommaPos]] - 1)</f>
        <v>Garside</v>
      </c>
    </row>
    <row r="419" spans="2:18" x14ac:dyDescent="0.25">
      <c r="B419" s="21">
        <v>417</v>
      </c>
      <c r="C419" s="21" t="s">
        <v>553</v>
      </c>
      <c r="D419" s="21" t="s">
        <v>138</v>
      </c>
      <c r="E419">
        <f>FIND(",", tblPassengerNames[[#This Row],[Name]])</f>
        <v>8</v>
      </c>
      <c r="F419">
        <f>FIND(".", tblPassengerNames[[#This Row],[Name]])</f>
        <v>12</v>
      </c>
      <c r="G419" t="e">
        <f>FIND("(", tblPassengerNames[[#This Row],[Name]])</f>
        <v>#VALUE!</v>
      </c>
      <c r="H419" t="e">
        <f>FIND(")", tblPassengerNames[[#This Row],[Name]])</f>
        <v>#VALUE!</v>
      </c>
      <c r="I419">
        <f>IFERROR(tblPassengerNames[[#This Row],[OpenParPos]] - 2, LEN(tblPassengerNames[[#This Row],[Name]]))</f>
        <v>19</v>
      </c>
      <c r="J419" t="str">
        <f>MID(tblPassengerNames[[#This Row],[Name]], tblPassengerNames[[#This Row],[DotPos]] + 2, tblPassengerNames[[#This Row],[EndOfConvFNPos]] - tblPassengerNames[[#This Row],[DotPos]] - 1)</f>
        <v>Alfred</v>
      </c>
      <c r="K419" t="e">
        <f>MID(tblPassengerNames[[#This Row],[Name]], tblPassengerNames[[#This Row],[OpenParPos]] + 1, tblPassengerNames[[#This Row],[CloseParPos]] - tblPassengerNames[[#This Row],[OpenParPos]] - 1)</f>
        <v>#VALUE!</v>
      </c>
      <c r="L419" t="e">
        <f>IF(AND(LEFT(tblPassengerNames[[#This Row],[InParentheses]], 1) = "'", RIGHT(tblPassengerNames[[#This Row],[InParentheses]], 1) = "'"),
    #VALUE!,
    tblPassengerNames[[#This Row],[InParentheses]]
)</f>
        <v>#VALUE!</v>
      </c>
      <c r="M419" t="e">
        <f>LEN(tblPassengerNames[[#This Row],[InParenthesesCleaned]]) - LEN(SUBSTITUTE(tblPassengerNames[[#This Row],[InParenthesesCleaned]], " ", ""))</f>
        <v>#VALUE!</v>
      </c>
      <c r="N419" t="e">
        <f>FIND("@", SUBSTITUTE(tblPassengerNames[[#This Row],[InParenthesesCleaned]], " ", "@", tblPassengerNames[[#This Row],[P_NSpaces]]))</f>
        <v>#VALUE!</v>
      </c>
      <c r="O419" t="e">
        <f>IF(tblPassengerNames[[#This Row],[P_NSpaces]] = 0,
    tblPassengerNames[[#This Row],[InParenthesesCleaned]],
    LEFT(tblPassengerNames[[#This Row],[InParenthesesCleaned]], tblPassengerNames[[#This Row],[P_FinalSpacePos]] - 1)
)</f>
        <v>#VALUE!</v>
      </c>
      <c r="P419" t="str">
        <f>IFERROR(tblPassengerNames[[#This Row],[P_Forenames]], tblPassengerNames[[#This Row],[ConvForenames]])</f>
        <v>Alfred</v>
      </c>
      <c r="Q419" t="str">
        <f>MID(tblPassengerNames[[#This Row],[Name]], tblPassengerNames[[#This Row],[CommaPos]] + 2, tblPassengerNames[[#This Row],[DotPos]] - tblPassengerNames[[#This Row],[CommaPos]] - 1)</f>
        <v>Mr.</v>
      </c>
      <c r="R419" t="str">
        <f>LEFT(tblPassengerNames[[#This Row],[Name]], tblPassengerNames[[#This Row],[CommaPos]] - 1)</f>
        <v>Gaskell</v>
      </c>
    </row>
    <row r="420" spans="2:18" x14ac:dyDescent="0.25">
      <c r="B420" s="21">
        <v>418</v>
      </c>
      <c r="C420" s="21" t="s">
        <v>554</v>
      </c>
      <c r="D420" s="21" t="s">
        <v>138</v>
      </c>
      <c r="E420">
        <f>FIND(",", tblPassengerNames[[#This Row],[Name]])</f>
        <v>6</v>
      </c>
      <c r="F420">
        <f>FIND(".", tblPassengerNames[[#This Row],[Name]])</f>
        <v>10</v>
      </c>
      <c r="G420" t="e">
        <f>FIND("(", tblPassengerNames[[#This Row],[Name]])</f>
        <v>#VALUE!</v>
      </c>
      <c r="H420" t="e">
        <f>FIND(")", tblPassengerNames[[#This Row],[Name]])</f>
        <v>#VALUE!</v>
      </c>
      <c r="I420">
        <f>IFERROR(tblPassengerNames[[#This Row],[OpenParPos]] - 2, LEN(tblPassengerNames[[#This Row],[Name]]))</f>
        <v>19</v>
      </c>
      <c r="J420" t="str">
        <f>MID(tblPassengerNames[[#This Row],[Name]], tblPassengerNames[[#This Row],[DotPos]] + 2, tblPassengerNames[[#This Row],[EndOfConvFNPos]] - tblPassengerNames[[#This Row],[DotPos]] - 1)</f>
        <v>Lawrence</v>
      </c>
      <c r="K420" t="e">
        <f>MID(tblPassengerNames[[#This Row],[Name]], tblPassengerNames[[#This Row],[OpenParPos]] + 1, tblPassengerNames[[#This Row],[CloseParPos]] - tblPassengerNames[[#This Row],[OpenParPos]] - 1)</f>
        <v>#VALUE!</v>
      </c>
      <c r="L420" t="e">
        <f>IF(AND(LEFT(tblPassengerNames[[#This Row],[InParentheses]], 1) = "'", RIGHT(tblPassengerNames[[#This Row],[InParentheses]], 1) = "'"),
    #VALUE!,
    tblPassengerNames[[#This Row],[InParentheses]]
)</f>
        <v>#VALUE!</v>
      </c>
      <c r="M420" t="e">
        <f>LEN(tblPassengerNames[[#This Row],[InParenthesesCleaned]]) - LEN(SUBSTITUTE(tblPassengerNames[[#This Row],[InParenthesesCleaned]], " ", ""))</f>
        <v>#VALUE!</v>
      </c>
      <c r="N420" t="e">
        <f>FIND("@", SUBSTITUTE(tblPassengerNames[[#This Row],[InParenthesesCleaned]], " ", "@", tblPassengerNames[[#This Row],[P_NSpaces]]))</f>
        <v>#VALUE!</v>
      </c>
      <c r="O420" t="e">
        <f>IF(tblPassengerNames[[#This Row],[P_NSpaces]] = 0,
    tblPassengerNames[[#This Row],[InParenthesesCleaned]],
    LEFT(tblPassengerNames[[#This Row],[InParenthesesCleaned]], tblPassengerNames[[#This Row],[P_FinalSpacePos]] - 1)
)</f>
        <v>#VALUE!</v>
      </c>
      <c r="P420" t="str">
        <f>IFERROR(tblPassengerNames[[#This Row],[P_Forenames]], tblPassengerNames[[#This Row],[ConvForenames]])</f>
        <v>Lawrence</v>
      </c>
      <c r="Q420" t="str">
        <f>MID(tblPassengerNames[[#This Row],[Name]], tblPassengerNames[[#This Row],[CommaPos]] + 2, tblPassengerNames[[#This Row],[DotPos]] - tblPassengerNames[[#This Row],[CommaPos]] - 1)</f>
        <v>Mr.</v>
      </c>
      <c r="R420" t="str">
        <f>LEFT(tblPassengerNames[[#This Row],[Name]], tblPassengerNames[[#This Row],[CommaPos]] - 1)</f>
        <v>Gavey</v>
      </c>
    </row>
    <row r="421" spans="2:18" x14ac:dyDescent="0.25">
      <c r="B421" s="21">
        <v>419</v>
      </c>
      <c r="C421" s="21" t="s">
        <v>555</v>
      </c>
      <c r="D421" s="21" t="s">
        <v>138</v>
      </c>
      <c r="E421">
        <f>FIND(",", tblPassengerNames[[#This Row],[Name]])</f>
        <v>8</v>
      </c>
      <c r="F421">
        <f>FIND(".", tblPassengerNames[[#This Row],[Name]])</f>
        <v>12</v>
      </c>
      <c r="G421" t="e">
        <f>FIND("(", tblPassengerNames[[#This Row],[Name]])</f>
        <v>#VALUE!</v>
      </c>
      <c r="H421" t="e">
        <f>FIND(")", tblPassengerNames[[#This Row],[Name]])</f>
        <v>#VALUE!</v>
      </c>
      <c r="I421">
        <f>IFERROR(tblPassengerNames[[#This Row],[OpenParPos]] - 2, LEN(tblPassengerNames[[#This Row],[Name]]))</f>
        <v>20</v>
      </c>
      <c r="J421" t="str">
        <f>MID(tblPassengerNames[[#This Row],[Name]], tblPassengerNames[[#This Row],[DotPos]] + 2, tblPassengerNames[[#This Row],[EndOfConvFNPos]] - tblPassengerNames[[#This Row],[DotPos]] - 1)</f>
        <v>William</v>
      </c>
      <c r="K421" t="e">
        <f>MID(tblPassengerNames[[#This Row],[Name]], tblPassengerNames[[#This Row],[OpenParPos]] + 1, tblPassengerNames[[#This Row],[CloseParPos]] - tblPassengerNames[[#This Row],[OpenParPos]] - 1)</f>
        <v>#VALUE!</v>
      </c>
      <c r="L421" t="e">
        <f>IF(AND(LEFT(tblPassengerNames[[#This Row],[InParentheses]], 1) = "'", RIGHT(tblPassengerNames[[#This Row],[InParentheses]], 1) = "'"),
    #VALUE!,
    tblPassengerNames[[#This Row],[InParentheses]]
)</f>
        <v>#VALUE!</v>
      </c>
      <c r="M421" t="e">
        <f>LEN(tblPassengerNames[[#This Row],[InParenthesesCleaned]]) - LEN(SUBSTITUTE(tblPassengerNames[[#This Row],[InParenthesesCleaned]], " ", ""))</f>
        <v>#VALUE!</v>
      </c>
      <c r="N421" t="e">
        <f>FIND("@", SUBSTITUTE(tblPassengerNames[[#This Row],[InParenthesesCleaned]], " ", "@", tblPassengerNames[[#This Row],[P_NSpaces]]))</f>
        <v>#VALUE!</v>
      </c>
      <c r="O421" t="e">
        <f>IF(tblPassengerNames[[#This Row],[P_NSpaces]] = 0,
    tblPassengerNames[[#This Row],[InParenthesesCleaned]],
    LEFT(tblPassengerNames[[#This Row],[InParenthesesCleaned]], tblPassengerNames[[#This Row],[P_FinalSpacePos]] - 1)
)</f>
        <v>#VALUE!</v>
      </c>
      <c r="P421" t="str">
        <f>IFERROR(tblPassengerNames[[#This Row],[P_Forenames]], tblPassengerNames[[#This Row],[ConvForenames]])</f>
        <v>William</v>
      </c>
      <c r="Q421" t="str">
        <f>MID(tblPassengerNames[[#This Row],[Name]], tblPassengerNames[[#This Row],[CommaPos]] + 2, tblPassengerNames[[#This Row],[DotPos]] - tblPassengerNames[[#This Row],[CommaPos]] - 1)</f>
        <v>Mr.</v>
      </c>
      <c r="R421" t="str">
        <f>LEFT(tblPassengerNames[[#This Row],[Name]], tblPassengerNames[[#This Row],[CommaPos]] - 1)</f>
        <v>Gilbert</v>
      </c>
    </row>
    <row r="422" spans="2:18" x14ac:dyDescent="0.25">
      <c r="B422" s="21">
        <v>420</v>
      </c>
      <c r="C422" s="21" t="s">
        <v>556</v>
      </c>
      <c r="D422" s="21" t="s">
        <v>138</v>
      </c>
      <c r="E422">
        <f>FIND(",", tblPassengerNames[[#This Row],[Name]])</f>
        <v>6</v>
      </c>
      <c r="F422">
        <f>FIND(".", tblPassengerNames[[#This Row],[Name]])</f>
        <v>10</v>
      </c>
      <c r="G422" t="e">
        <f>FIND("(", tblPassengerNames[[#This Row],[Name]])</f>
        <v>#VALUE!</v>
      </c>
      <c r="H422" t="e">
        <f>FIND(")", tblPassengerNames[[#This Row],[Name]])</f>
        <v>#VALUE!</v>
      </c>
      <c r="I422">
        <f>IFERROR(tblPassengerNames[[#This Row],[OpenParPos]] - 2, LEN(tblPassengerNames[[#This Row],[Name]]))</f>
        <v>16</v>
      </c>
      <c r="J422" t="str">
        <f>MID(tblPassengerNames[[#This Row],[Name]], tblPassengerNames[[#This Row],[DotPos]] + 2, tblPassengerNames[[#This Row],[EndOfConvFNPos]] - tblPassengerNames[[#This Row],[DotPos]] - 1)</f>
        <v>Edgar</v>
      </c>
      <c r="K422" t="e">
        <f>MID(tblPassengerNames[[#This Row],[Name]], tblPassengerNames[[#This Row],[OpenParPos]] + 1, tblPassengerNames[[#This Row],[CloseParPos]] - tblPassengerNames[[#This Row],[OpenParPos]] - 1)</f>
        <v>#VALUE!</v>
      </c>
      <c r="L422" t="e">
        <f>IF(AND(LEFT(tblPassengerNames[[#This Row],[InParentheses]], 1) = "'", RIGHT(tblPassengerNames[[#This Row],[InParentheses]], 1) = "'"),
    #VALUE!,
    tblPassengerNames[[#This Row],[InParentheses]]
)</f>
        <v>#VALUE!</v>
      </c>
      <c r="M422" t="e">
        <f>LEN(tblPassengerNames[[#This Row],[InParenthesesCleaned]]) - LEN(SUBSTITUTE(tblPassengerNames[[#This Row],[InParenthesesCleaned]], " ", ""))</f>
        <v>#VALUE!</v>
      </c>
      <c r="N422" t="e">
        <f>FIND("@", SUBSTITUTE(tblPassengerNames[[#This Row],[InParenthesesCleaned]], " ", "@", tblPassengerNames[[#This Row],[P_NSpaces]]))</f>
        <v>#VALUE!</v>
      </c>
      <c r="O422" t="e">
        <f>IF(tblPassengerNames[[#This Row],[P_NSpaces]] = 0,
    tblPassengerNames[[#This Row],[InParenthesesCleaned]],
    LEFT(tblPassengerNames[[#This Row],[InParenthesesCleaned]], tblPassengerNames[[#This Row],[P_FinalSpacePos]] - 1)
)</f>
        <v>#VALUE!</v>
      </c>
      <c r="P422" t="str">
        <f>IFERROR(tblPassengerNames[[#This Row],[P_Forenames]], tblPassengerNames[[#This Row],[ConvForenames]])</f>
        <v>Edgar</v>
      </c>
      <c r="Q422" t="str">
        <f>MID(tblPassengerNames[[#This Row],[Name]], tblPassengerNames[[#This Row],[CommaPos]] + 2, tblPassengerNames[[#This Row],[DotPos]] - tblPassengerNames[[#This Row],[CommaPos]] - 1)</f>
        <v>Mr.</v>
      </c>
      <c r="R422" t="str">
        <f>LEFT(tblPassengerNames[[#This Row],[Name]], tblPassengerNames[[#This Row],[CommaPos]] - 1)</f>
        <v>Giles</v>
      </c>
    </row>
    <row r="423" spans="2:18" x14ac:dyDescent="0.25">
      <c r="B423" s="21">
        <v>421</v>
      </c>
      <c r="C423" s="21" t="s">
        <v>557</v>
      </c>
      <c r="D423" s="21" t="s">
        <v>138</v>
      </c>
      <c r="E423">
        <f>FIND(",", tblPassengerNames[[#This Row],[Name]])</f>
        <v>6</v>
      </c>
      <c r="F423">
        <f>FIND(".", tblPassengerNames[[#This Row],[Name]])</f>
        <v>10</v>
      </c>
      <c r="G423" t="e">
        <f>FIND("(", tblPassengerNames[[#This Row],[Name]])</f>
        <v>#VALUE!</v>
      </c>
      <c r="H423" t="e">
        <f>FIND(")", tblPassengerNames[[#This Row],[Name]])</f>
        <v>#VALUE!</v>
      </c>
      <c r="I423">
        <f>IFERROR(tblPassengerNames[[#This Row],[OpenParPos]] - 2, LEN(tblPassengerNames[[#This Row],[Name]]))</f>
        <v>27</v>
      </c>
      <c r="J423" t="str">
        <f>MID(tblPassengerNames[[#This Row],[Name]], tblPassengerNames[[#This Row],[DotPos]] + 2, tblPassengerNames[[#This Row],[EndOfConvFNPos]] - tblPassengerNames[[#This Row],[DotPos]] - 1)</f>
        <v>Frederick Edward</v>
      </c>
      <c r="K423" t="e">
        <f>MID(tblPassengerNames[[#This Row],[Name]], tblPassengerNames[[#This Row],[OpenParPos]] + 1, tblPassengerNames[[#This Row],[CloseParPos]] - tblPassengerNames[[#This Row],[OpenParPos]] - 1)</f>
        <v>#VALUE!</v>
      </c>
      <c r="L423" t="e">
        <f>IF(AND(LEFT(tblPassengerNames[[#This Row],[InParentheses]], 1) = "'", RIGHT(tblPassengerNames[[#This Row],[InParentheses]], 1) = "'"),
    #VALUE!,
    tblPassengerNames[[#This Row],[InParentheses]]
)</f>
        <v>#VALUE!</v>
      </c>
      <c r="M423" t="e">
        <f>LEN(tblPassengerNames[[#This Row],[InParenthesesCleaned]]) - LEN(SUBSTITUTE(tblPassengerNames[[#This Row],[InParenthesesCleaned]], " ", ""))</f>
        <v>#VALUE!</v>
      </c>
      <c r="N423" t="e">
        <f>FIND("@", SUBSTITUTE(tblPassengerNames[[#This Row],[InParenthesesCleaned]], " ", "@", tblPassengerNames[[#This Row],[P_NSpaces]]))</f>
        <v>#VALUE!</v>
      </c>
      <c r="O423" t="e">
        <f>IF(tblPassengerNames[[#This Row],[P_NSpaces]] = 0,
    tblPassengerNames[[#This Row],[InParenthesesCleaned]],
    LEFT(tblPassengerNames[[#This Row],[InParenthesesCleaned]], tblPassengerNames[[#This Row],[P_FinalSpacePos]] - 1)
)</f>
        <v>#VALUE!</v>
      </c>
      <c r="P423" t="str">
        <f>IFERROR(tblPassengerNames[[#This Row],[P_Forenames]], tblPassengerNames[[#This Row],[ConvForenames]])</f>
        <v>Frederick Edward</v>
      </c>
      <c r="Q423" t="str">
        <f>MID(tblPassengerNames[[#This Row],[Name]], tblPassengerNames[[#This Row],[CommaPos]] + 2, tblPassengerNames[[#This Row],[DotPos]] - tblPassengerNames[[#This Row],[CommaPos]] - 1)</f>
        <v>Mr.</v>
      </c>
      <c r="R423" t="str">
        <f>LEFT(tblPassengerNames[[#This Row],[Name]], tblPassengerNames[[#This Row],[CommaPos]] - 1)</f>
        <v>Giles</v>
      </c>
    </row>
    <row r="424" spans="2:18" x14ac:dyDescent="0.25">
      <c r="B424" s="21">
        <v>422</v>
      </c>
      <c r="C424" s="21" t="s">
        <v>558</v>
      </c>
      <c r="D424" s="21" t="s">
        <v>138</v>
      </c>
      <c r="E424">
        <f>FIND(",", tblPassengerNames[[#This Row],[Name]])</f>
        <v>6</v>
      </c>
      <c r="F424">
        <f>FIND(".", tblPassengerNames[[#This Row],[Name]])</f>
        <v>10</v>
      </c>
      <c r="G424" t="e">
        <f>FIND("(", tblPassengerNames[[#This Row],[Name]])</f>
        <v>#VALUE!</v>
      </c>
      <c r="H424" t="e">
        <f>FIND(")", tblPassengerNames[[#This Row],[Name]])</f>
        <v>#VALUE!</v>
      </c>
      <c r="I424">
        <f>IFERROR(tblPassengerNames[[#This Row],[OpenParPos]] - 2, LEN(tblPassengerNames[[#This Row],[Name]]))</f>
        <v>16</v>
      </c>
      <c r="J424" t="str">
        <f>MID(tblPassengerNames[[#This Row],[Name]], tblPassengerNames[[#This Row],[DotPos]] + 2, tblPassengerNames[[#This Row],[EndOfConvFNPos]] - tblPassengerNames[[#This Row],[DotPos]] - 1)</f>
        <v>Ralph</v>
      </c>
      <c r="K424" t="e">
        <f>MID(tblPassengerNames[[#This Row],[Name]], tblPassengerNames[[#This Row],[OpenParPos]] + 1, tblPassengerNames[[#This Row],[CloseParPos]] - tblPassengerNames[[#This Row],[OpenParPos]] - 1)</f>
        <v>#VALUE!</v>
      </c>
      <c r="L424" t="e">
        <f>IF(AND(LEFT(tblPassengerNames[[#This Row],[InParentheses]], 1) = "'", RIGHT(tblPassengerNames[[#This Row],[InParentheses]], 1) = "'"),
    #VALUE!,
    tblPassengerNames[[#This Row],[InParentheses]]
)</f>
        <v>#VALUE!</v>
      </c>
      <c r="M424" t="e">
        <f>LEN(tblPassengerNames[[#This Row],[InParenthesesCleaned]]) - LEN(SUBSTITUTE(tblPassengerNames[[#This Row],[InParenthesesCleaned]], " ", ""))</f>
        <v>#VALUE!</v>
      </c>
      <c r="N424" t="e">
        <f>FIND("@", SUBSTITUTE(tblPassengerNames[[#This Row],[InParenthesesCleaned]], " ", "@", tblPassengerNames[[#This Row],[P_NSpaces]]))</f>
        <v>#VALUE!</v>
      </c>
      <c r="O424" t="e">
        <f>IF(tblPassengerNames[[#This Row],[P_NSpaces]] = 0,
    tblPassengerNames[[#This Row],[InParenthesesCleaned]],
    LEFT(tblPassengerNames[[#This Row],[InParenthesesCleaned]], tblPassengerNames[[#This Row],[P_FinalSpacePos]] - 1)
)</f>
        <v>#VALUE!</v>
      </c>
      <c r="P424" t="str">
        <f>IFERROR(tblPassengerNames[[#This Row],[P_Forenames]], tblPassengerNames[[#This Row],[ConvForenames]])</f>
        <v>Ralph</v>
      </c>
      <c r="Q424" t="str">
        <f>MID(tblPassengerNames[[#This Row],[Name]], tblPassengerNames[[#This Row],[CommaPos]] + 2, tblPassengerNames[[#This Row],[DotPos]] - tblPassengerNames[[#This Row],[CommaPos]] - 1)</f>
        <v>Mr.</v>
      </c>
      <c r="R424" t="str">
        <f>LEFT(tblPassengerNames[[#This Row],[Name]], tblPassengerNames[[#This Row],[CommaPos]] - 1)</f>
        <v>Giles</v>
      </c>
    </row>
    <row r="425" spans="2:18" x14ac:dyDescent="0.25">
      <c r="B425" s="21">
        <v>423</v>
      </c>
      <c r="C425" s="21" t="s">
        <v>559</v>
      </c>
      <c r="D425" s="21" t="s">
        <v>138</v>
      </c>
      <c r="E425">
        <f>FIND(",", tblPassengerNames[[#This Row],[Name]])</f>
        <v>5</v>
      </c>
      <c r="F425">
        <f>FIND(".", tblPassengerNames[[#This Row],[Name]])</f>
        <v>9</v>
      </c>
      <c r="G425" t="e">
        <f>FIND("(", tblPassengerNames[[#This Row],[Name]])</f>
        <v>#VALUE!</v>
      </c>
      <c r="H425" t="e">
        <f>FIND(")", tblPassengerNames[[#This Row],[Name]])</f>
        <v>#VALUE!</v>
      </c>
      <c r="I425">
        <f>IFERROR(tblPassengerNames[[#This Row],[OpenParPos]] - 2, LEN(tblPassengerNames[[#This Row],[Name]]))</f>
        <v>22</v>
      </c>
      <c r="J425" t="str">
        <f>MID(tblPassengerNames[[#This Row],[Name]], tblPassengerNames[[#This Row],[DotPos]] + 2, tblPassengerNames[[#This Row],[EndOfConvFNPos]] - tblPassengerNames[[#This Row],[DotPos]] - 1)</f>
        <v>John William</v>
      </c>
      <c r="K425" t="e">
        <f>MID(tblPassengerNames[[#This Row],[Name]], tblPassengerNames[[#This Row],[OpenParPos]] + 1, tblPassengerNames[[#This Row],[CloseParPos]] - tblPassengerNames[[#This Row],[OpenParPos]] - 1)</f>
        <v>#VALUE!</v>
      </c>
      <c r="L425" t="e">
        <f>IF(AND(LEFT(tblPassengerNames[[#This Row],[InParentheses]], 1) = "'", RIGHT(tblPassengerNames[[#This Row],[InParentheses]], 1) = "'"),
    #VALUE!,
    tblPassengerNames[[#This Row],[InParentheses]]
)</f>
        <v>#VALUE!</v>
      </c>
      <c r="M425" t="e">
        <f>LEN(tblPassengerNames[[#This Row],[InParenthesesCleaned]]) - LEN(SUBSTITUTE(tblPassengerNames[[#This Row],[InParenthesesCleaned]], " ", ""))</f>
        <v>#VALUE!</v>
      </c>
      <c r="N425" t="e">
        <f>FIND("@", SUBSTITUTE(tblPassengerNames[[#This Row],[InParenthesesCleaned]], " ", "@", tblPassengerNames[[#This Row],[P_NSpaces]]))</f>
        <v>#VALUE!</v>
      </c>
      <c r="O425" t="e">
        <f>IF(tblPassengerNames[[#This Row],[P_NSpaces]] = 0,
    tblPassengerNames[[#This Row],[InParenthesesCleaned]],
    LEFT(tblPassengerNames[[#This Row],[InParenthesesCleaned]], tblPassengerNames[[#This Row],[P_FinalSpacePos]] - 1)
)</f>
        <v>#VALUE!</v>
      </c>
      <c r="P425" t="str">
        <f>IFERROR(tblPassengerNames[[#This Row],[P_Forenames]], tblPassengerNames[[#This Row],[ConvForenames]])</f>
        <v>John William</v>
      </c>
      <c r="Q425" t="str">
        <f>MID(tblPassengerNames[[#This Row],[Name]], tblPassengerNames[[#This Row],[CommaPos]] + 2, tblPassengerNames[[#This Row],[DotPos]] - tblPassengerNames[[#This Row],[CommaPos]] - 1)</f>
        <v>Mr.</v>
      </c>
      <c r="R425" t="str">
        <f>LEFT(tblPassengerNames[[#This Row],[Name]], tblPassengerNames[[#This Row],[CommaPos]] - 1)</f>
        <v>Gill</v>
      </c>
    </row>
    <row r="426" spans="2:18" x14ac:dyDescent="0.25">
      <c r="B426" s="21">
        <v>424</v>
      </c>
      <c r="C426" s="21" t="s">
        <v>560</v>
      </c>
      <c r="D426" s="21" t="s">
        <v>138</v>
      </c>
      <c r="E426">
        <f>FIND(",", tblPassengerNames[[#This Row],[Name]])</f>
        <v>10</v>
      </c>
      <c r="F426">
        <f>FIND(".", tblPassengerNames[[#This Row],[Name]])</f>
        <v>14</v>
      </c>
      <c r="G426" t="e">
        <f>FIND("(", tblPassengerNames[[#This Row],[Name]])</f>
        <v>#VALUE!</v>
      </c>
      <c r="H426" t="e">
        <f>FIND(")", tblPassengerNames[[#This Row],[Name]])</f>
        <v>#VALUE!</v>
      </c>
      <c r="I426">
        <f>IFERROR(tblPassengerNames[[#This Row],[OpenParPos]] - 2, LEN(tblPassengerNames[[#This Row],[Name]]))</f>
        <v>28</v>
      </c>
      <c r="J426" t="str">
        <f>MID(tblPassengerNames[[#This Row],[Name]], tblPassengerNames[[#This Row],[DotPos]] + 2, tblPassengerNames[[#This Row],[EndOfConvFNPos]] - tblPassengerNames[[#This Row],[DotPos]] - 1)</f>
        <v>William Henry</v>
      </c>
      <c r="K426" t="e">
        <f>MID(tblPassengerNames[[#This Row],[Name]], tblPassengerNames[[#This Row],[OpenParPos]] + 1, tblPassengerNames[[#This Row],[CloseParPos]] - tblPassengerNames[[#This Row],[OpenParPos]] - 1)</f>
        <v>#VALUE!</v>
      </c>
      <c r="L426" t="e">
        <f>IF(AND(LEFT(tblPassengerNames[[#This Row],[InParentheses]], 1) = "'", RIGHT(tblPassengerNames[[#This Row],[InParentheses]], 1) = "'"),
    #VALUE!,
    tblPassengerNames[[#This Row],[InParentheses]]
)</f>
        <v>#VALUE!</v>
      </c>
      <c r="M426" t="e">
        <f>LEN(tblPassengerNames[[#This Row],[InParenthesesCleaned]]) - LEN(SUBSTITUTE(tblPassengerNames[[#This Row],[InParenthesesCleaned]], " ", ""))</f>
        <v>#VALUE!</v>
      </c>
      <c r="N426" t="e">
        <f>FIND("@", SUBSTITUTE(tblPassengerNames[[#This Row],[InParenthesesCleaned]], " ", "@", tblPassengerNames[[#This Row],[P_NSpaces]]))</f>
        <v>#VALUE!</v>
      </c>
      <c r="O426" t="e">
        <f>IF(tblPassengerNames[[#This Row],[P_NSpaces]] = 0,
    tblPassengerNames[[#This Row],[InParenthesesCleaned]],
    LEFT(tblPassengerNames[[#This Row],[InParenthesesCleaned]], tblPassengerNames[[#This Row],[P_FinalSpacePos]] - 1)
)</f>
        <v>#VALUE!</v>
      </c>
      <c r="P426" t="str">
        <f>IFERROR(tblPassengerNames[[#This Row],[P_Forenames]], tblPassengerNames[[#This Row],[ConvForenames]])</f>
        <v>William Henry</v>
      </c>
      <c r="Q426" t="str">
        <f>MID(tblPassengerNames[[#This Row],[Name]], tblPassengerNames[[#This Row],[CommaPos]] + 2, tblPassengerNames[[#This Row],[DotPos]] - tblPassengerNames[[#This Row],[CommaPos]] - 1)</f>
        <v>Mr.</v>
      </c>
      <c r="R426" t="str">
        <f>LEFT(tblPassengerNames[[#This Row],[Name]], tblPassengerNames[[#This Row],[CommaPos]] - 1)</f>
        <v>Gillespie</v>
      </c>
    </row>
    <row r="427" spans="2:18" x14ac:dyDescent="0.25">
      <c r="B427" s="21">
        <v>425</v>
      </c>
      <c r="C427" s="21" t="s">
        <v>561</v>
      </c>
      <c r="D427" s="21" t="s">
        <v>138</v>
      </c>
      <c r="E427">
        <f>FIND(",", tblPassengerNames[[#This Row],[Name]])</f>
        <v>7</v>
      </c>
      <c r="F427">
        <f>FIND(".", tblPassengerNames[[#This Row],[Name]])</f>
        <v>11</v>
      </c>
      <c r="G427" t="e">
        <f>FIND("(", tblPassengerNames[[#This Row],[Name]])</f>
        <v>#VALUE!</v>
      </c>
      <c r="H427" t="e">
        <f>FIND(")", tblPassengerNames[[#This Row],[Name]])</f>
        <v>#VALUE!</v>
      </c>
      <c r="I427">
        <f>IFERROR(tblPassengerNames[[#This Row],[OpenParPos]] - 2, LEN(tblPassengerNames[[#This Row],[Name]]))</f>
        <v>27</v>
      </c>
      <c r="J427" t="str">
        <f>MID(tblPassengerNames[[#This Row],[Name]], tblPassengerNames[[#This Row],[DotPos]] + 2, tblPassengerNames[[#This Row],[EndOfConvFNPos]] - tblPassengerNames[[#This Row],[DotPos]] - 1)</f>
        <v>Hans Kristensen</v>
      </c>
      <c r="K427" t="e">
        <f>MID(tblPassengerNames[[#This Row],[Name]], tblPassengerNames[[#This Row],[OpenParPos]] + 1, tblPassengerNames[[#This Row],[CloseParPos]] - tblPassengerNames[[#This Row],[OpenParPos]] - 1)</f>
        <v>#VALUE!</v>
      </c>
      <c r="L427" t="e">
        <f>IF(AND(LEFT(tblPassengerNames[[#This Row],[InParentheses]], 1) = "'", RIGHT(tblPassengerNames[[#This Row],[InParentheses]], 1) = "'"),
    #VALUE!,
    tblPassengerNames[[#This Row],[InParentheses]]
)</f>
        <v>#VALUE!</v>
      </c>
      <c r="M427" t="e">
        <f>LEN(tblPassengerNames[[#This Row],[InParenthesesCleaned]]) - LEN(SUBSTITUTE(tblPassengerNames[[#This Row],[InParenthesesCleaned]], " ", ""))</f>
        <v>#VALUE!</v>
      </c>
      <c r="N427" t="e">
        <f>FIND("@", SUBSTITUTE(tblPassengerNames[[#This Row],[InParenthesesCleaned]], " ", "@", tblPassengerNames[[#This Row],[P_NSpaces]]))</f>
        <v>#VALUE!</v>
      </c>
      <c r="O427" t="e">
        <f>IF(tblPassengerNames[[#This Row],[P_NSpaces]] = 0,
    tblPassengerNames[[#This Row],[InParenthesesCleaned]],
    LEFT(tblPassengerNames[[#This Row],[InParenthesesCleaned]], tblPassengerNames[[#This Row],[P_FinalSpacePos]] - 1)
)</f>
        <v>#VALUE!</v>
      </c>
      <c r="P427" t="str">
        <f>IFERROR(tblPassengerNames[[#This Row],[P_Forenames]], tblPassengerNames[[#This Row],[ConvForenames]])</f>
        <v>Hans Kristensen</v>
      </c>
      <c r="Q427" t="str">
        <f>MID(tblPassengerNames[[#This Row],[Name]], tblPassengerNames[[#This Row],[CommaPos]] + 2, tblPassengerNames[[#This Row],[DotPos]] - tblPassengerNames[[#This Row],[CommaPos]] - 1)</f>
        <v>Mr.</v>
      </c>
      <c r="R427" t="str">
        <f>LEFT(tblPassengerNames[[#This Row],[Name]], tblPassengerNames[[#This Row],[CommaPos]] - 1)</f>
        <v>Givard</v>
      </c>
    </row>
    <row r="428" spans="2:18" x14ac:dyDescent="0.25">
      <c r="B428" s="21">
        <v>426</v>
      </c>
      <c r="C428" s="21" t="s">
        <v>562</v>
      </c>
      <c r="D428" s="21" t="s">
        <v>138</v>
      </c>
      <c r="E428">
        <f>FIND(",", tblPassengerNames[[#This Row],[Name]])</f>
        <v>10</v>
      </c>
      <c r="F428">
        <f>FIND(".", tblPassengerNames[[#This Row],[Name]])</f>
        <v>14</v>
      </c>
      <c r="G428" t="e">
        <f>FIND("(", tblPassengerNames[[#This Row],[Name]])</f>
        <v>#VALUE!</v>
      </c>
      <c r="H428" t="e">
        <f>FIND(")", tblPassengerNames[[#This Row],[Name]])</f>
        <v>#VALUE!</v>
      </c>
      <c r="I428">
        <f>IFERROR(tblPassengerNames[[#This Row],[OpenParPos]] - 2, LEN(tblPassengerNames[[#This Row],[Name]]))</f>
        <v>21</v>
      </c>
      <c r="J428" t="str">
        <f>MID(tblPassengerNames[[#This Row],[Name]], tblPassengerNames[[#This Row],[DotPos]] + 2, tblPassengerNames[[#This Row],[EndOfConvFNPos]] - tblPassengerNames[[#This Row],[DotPos]] - 1)</f>
        <v>Samuel</v>
      </c>
      <c r="K428" t="e">
        <f>MID(tblPassengerNames[[#This Row],[Name]], tblPassengerNames[[#This Row],[OpenParPos]] + 1, tblPassengerNames[[#This Row],[CloseParPos]] - tblPassengerNames[[#This Row],[OpenParPos]] - 1)</f>
        <v>#VALUE!</v>
      </c>
      <c r="L428" t="e">
        <f>IF(AND(LEFT(tblPassengerNames[[#This Row],[InParentheses]], 1) = "'", RIGHT(tblPassengerNames[[#This Row],[InParentheses]], 1) = "'"),
    #VALUE!,
    tblPassengerNames[[#This Row],[InParentheses]]
)</f>
        <v>#VALUE!</v>
      </c>
      <c r="M428" t="e">
        <f>LEN(tblPassengerNames[[#This Row],[InParenthesesCleaned]]) - LEN(SUBSTITUTE(tblPassengerNames[[#This Row],[InParenthesesCleaned]], " ", ""))</f>
        <v>#VALUE!</v>
      </c>
      <c r="N428" t="e">
        <f>FIND("@", SUBSTITUTE(tblPassengerNames[[#This Row],[InParenthesesCleaned]], " ", "@", tblPassengerNames[[#This Row],[P_NSpaces]]))</f>
        <v>#VALUE!</v>
      </c>
      <c r="O428" t="e">
        <f>IF(tblPassengerNames[[#This Row],[P_NSpaces]] = 0,
    tblPassengerNames[[#This Row],[InParenthesesCleaned]],
    LEFT(tblPassengerNames[[#This Row],[InParenthesesCleaned]], tblPassengerNames[[#This Row],[P_FinalSpacePos]] - 1)
)</f>
        <v>#VALUE!</v>
      </c>
      <c r="P428" t="str">
        <f>IFERROR(tblPassengerNames[[#This Row],[P_Forenames]], tblPassengerNames[[#This Row],[ConvForenames]])</f>
        <v>Samuel</v>
      </c>
      <c r="Q428" t="str">
        <f>MID(tblPassengerNames[[#This Row],[Name]], tblPassengerNames[[#This Row],[CommaPos]] + 2, tblPassengerNames[[#This Row],[DotPos]] - tblPassengerNames[[#This Row],[CommaPos]] - 1)</f>
        <v>Mr.</v>
      </c>
      <c r="R428" t="str">
        <f>LEFT(tblPassengerNames[[#This Row],[Name]], tblPassengerNames[[#This Row],[CommaPos]] - 1)</f>
        <v>Greenberg</v>
      </c>
    </row>
    <row r="429" spans="2:18" x14ac:dyDescent="0.25">
      <c r="B429" s="21">
        <v>427</v>
      </c>
      <c r="C429" s="21" t="s">
        <v>563</v>
      </c>
      <c r="D429" s="21" t="s">
        <v>138</v>
      </c>
      <c r="E429">
        <f>FIND(",", tblPassengerNames[[#This Row],[Name]])</f>
        <v>5</v>
      </c>
      <c r="F429">
        <f>FIND(".", tblPassengerNames[[#This Row],[Name]])</f>
        <v>9</v>
      </c>
      <c r="G429" t="e">
        <f>FIND("(", tblPassengerNames[[#This Row],[Name]])</f>
        <v>#VALUE!</v>
      </c>
      <c r="H429" t="e">
        <f>FIND(")", tblPassengerNames[[#This Row],[Name]])</f>
        <v>#VALUE!</v>
      </c>
      <c r="I429">
        <f>IFERROR(tblPassengerNames[[#This Row],[OpenParPos]] - 2, LEN(tblPassengerNames[[#This Row],[Name]]))</f>
        <v>18</v>
      </c>
      <c r="J429" t="str">
        <f>MID(tblPassengerNames[[#This Row],[Name]], tblPassengerNames[[#This Row],[DotPos]] + 2, tblPassengerNames[[#This Row],[EndOfConvFNPos]] - tblPassengerNames[[#This Row],[DotPos]] - 1)</f>
        <v>Reginald</v>
      </c>
      <c r="K429" t="e">
        <f>MID(tblPassengerNames[[#This Row],[Name]], tblPassengerNames[[#This Row],[OpenParPos]] + 1, tblPassengerNames[[#This Row],[CloseParPos]] - tblPassengerNames[[#This Row],[OpenParPos]] - 1)</f>
        <v>#VALUE!</v>
      </c>
      <c r="L429" t="e">
        <f>IF(AND(LEFT(tblPassengerNames[[#This Row],[InParentheses]], 1) = "'", RIGHT(tblPassengerNames[[#This Row],[InParentheses]], 1) = "'"),
    #VALUE!,
    tblPassengerNames[[#This Row],[InParentheses]]
)</f>
        <v>#VALUE!</v>
      </c>
      <c r="M429" t="e">
        <f>LEN(tblPassengerNames[[#This Row],[InParenthesesCleaned]]) - LEN(SUBSTITUTE(tblPassengerNames[[#This Row],[InParenthesesCleaned]], " ", ""))</f>
        <v>#VALUE!</v>
      </c>
      <c r="N429" t="e">
        <f>FIND("@", SUBSTITUTE(tblPassengerNames[[#This Row],[InParenthesesCleaned]], " ", "@", tblPassengerNames[[#This Row],[P_NSpaces]]))</f>
        <v>#VALUE!</v>
      </c>
      <c r="O429" t="e">
        <f>IF(tblPassengerNames[[#This Row],[P_NSpaces]] = 0,
    tblPassengerNames[[#This Row],[InParenthesesCleaned]],
    LEFT(tblPassengerNames[[#This Row],[InParenthesesCleaned]], tblPassengerNames[[#This Row],[P_FinalSpacePos]] - 1)
)</f>
        <v>#VALUE!</v>
      </c>
      <c r="P429" t="str">
        <f>IFERROR(tblPassengerNames[[#This Row],[P_Forenames]], tblPassengerNames[[#This Row],[ConvForenames]])</f>
        <v>Reginald</v>
      </c>
      <c r="Q429" t="str">
        <f>MID(tblPassengerNames[[#This Row],[Name]], tblPassengerNames[[#This Row],[CommaPos]] + 2, tblPassengerNames[[#This Row],[DotPos]] - tblPassengerNames[[#This Row],[CommaPos]] - 1)</f>
        <v>Mr.</v>
      </c>
      <c r="R429" t="str">
        <f>LEFT(tblPassengerNames[[#This Row],[Name]], tblPassengerNames[[#This Row],[CommaPos]] - 1)</f>
        <v>Hale</v>
      </c>
    </row>
    <row r="430" spans="2:18" x14ac:dyDescent="0.25">
      <c r="B430" s="21">
        <v>428</v>
      </c>
      <c r="C430" s="21" t="s">
        <v>564</v>
      </c>
      <c r="D430" s="21" t="s">
        <v>138</v>
      </c>
      <c r="E430">
        <f>FIND(",", tblPassengerNames[[#This Row],[Name]])</f>
        <v>11</v>
      </c>
      <c r="F430">
        <f>FIND(".", tblPassengerNames[[#This Row],[Name]])</f>
        <v>19</v>
      </c>
      <c r="G430" t="e">
        <f>FIND("(", tblPassengerNames[[#This Row],[Name]])</f>
        <v>#VALUE!</v>
      </c>
      <c r="H430" t="e">
        <f>FIND(")", tblPassengerNames[[#This Row],[Name]])</f>
        <v>#VALUE!</v>
      </c>
      <c r="I430">
        <f>IFERROR(tblPassengerNames[[#This Row],[OpenParPos]] - 2, LEN(tblPassengerNames[[#This Row],[Name]]))</f>
        <v>25</v>
      </c>
      <c r="J430" t="str">
        <f>MID(tblPassengerNames[[#This Row],[Name]], tblPassengerNames[[#This Row],[DotPos]] + 2, tblPassengerNames[[#This Row],[EndOfConvFNPos]] - tblPassengerNames[[#This Row],[DotPos]] - 1)</f>
        <v>Viljo</v>
      </c>
      <c r="K430" t="e">
        <f>MID(tblPassengerNames[[#This Row],[Name]], tblPassengerNames[[#This Row],[OpenParPos]] + 1, tblPassengerNames[[#This Row],[CloseParPos]] - tblPassengerNames[[#This Row],[OpenParPos]] - 1)</f>
        <v>#VALUE!</v>
      </c>
      <c r="L430" t="e">
        <f>IF(AND(LEFT(tblPassengerNames[[#This Row],[InParentheses]], 1) = "'", RIGHT(tblPassengerNames[[#This Row],[InParentheses]], 1) = "'"),
    #VALUE!,
    tblPassengerNames[[#This Row],[InParentheses]]
)</f>
        <v>#VALUE!</v>
      </c>
      <c r="M430" t="e">
        <f>LEN(tblPassengerNames[[#This Row],[InParenthesesCleaned]]) - LEN(SUBSTITUTE(tblPassengerNames[[#This Row],[InParenthesesCleaned]], " ", ""))</f>
        <v>#VALUE!</v>
      </c>
      <c r="N430" t="e">
        <f>FIND("@", SUBSTITUTE(tblPassengerNames[[#This Row],[InParenthesesCleaned]], " ", "@", tblPassengerNames[[#This Row],[P_NSpaces]]))</f>
        <v>#VALUE!</v>
      </c>
      <c r="O430" t="e">
        <f>IF(tblPassengerNames[[#This Row],[P_NSpaces]] = 0,
    tblPassengerNames[[#This Row],[InParenthesesCleaned]],
    LEFT(tblPassengerNames[[#This Row],[InParenthesesCleaned]], tblPassengerNames[[#This Row],[P_FinalSpacePos]] - 1)
)</f>
        <v>#VALUE!</v>
      </c>
      <c r="P430" t="str">
        <f>IFERROR(tblPassengerNames[[#This Row],[P_Forenames]], tblPassengerNames[[#This Row],[ConvForenames]])</f>
        <v>Viljo</v>
      </c>
      <c r="Q430" t="str">
        <f>MID(tblPassengerNames[[#This Row],[Name]], tblPassengerNames[[#This Row],[CommaPos]] + 2, tblPassengerNames[[#This Row],[DotPos]] - tblPassengerNames[[#This Row],[CommaPos]] - 1)</f>
        <v>Master.</v>
      </c>
      <c r="R430" t="str">
        <f>LEFT(tblPassengerNames[[#This Row],[Name]], tblPassengerNames[[#This Row],[CommaPos]] - 1)</f>
        <v>Hamalainen</v>
      </c>
    </row>
    <row r="431" spans="2:18" x14ac:dyDescent="0.25">
      <c r="B431" s="21">
        <v>429</v>
      </c>
      <c r="C431" s="21" t="s">
        <v>565</v>
      </c>
      <c r="D431" s="21" t="s">
        <v>136</v>
      </c>
      <c r="E431">
        <f>FIND(",", tblPassengerNames[[#This Row],[Name]])</f>
        <v>11</v>
      </c>
      <c r="F431">
        <f>FIND(".", tblPassengerNames[[#This Row],[Name]])</f>
        <v>16</v>
      </c>
      <c r="G431">
        <f>FIND("(", tblPassengerNames[[#This Row],[Name]])</f>
        <v>26</v>
      </c>
      <c r="H431">
        <f>FIND(")", tblPassengerNames[[#This Row],[Name]])</f>
        <v>31</v>
      </c>
      <c r="I431">
        <f>IFERROR(tblPassengerNames[[#This Row],[OpenParPos]] - 2, LEN(tblPassengerNames[[#This Row],[Name]]))</f>
        <v>24</v>
      </c>
      <c r="J431" t="str">
        <f>MID(tblPassengerNames[[#This Row],[Name]], tblPassengerNames[[#This Row],[DotPos]] + 2, tblPassengerNames[[#This Row],[EndOfConvFNPos]] - tblPassengerNames[[#This Row],[DotPos]] - 1)</f>
        <v>William</v>
      </c>
      <c r="K431" t="str">
        <f>MID(tblPassengerNames[[#This Row],[Name]], tblPassengerNames[[#This Row],[OpenParPos]] + 1, tblPassengerNames[[#This Row],[CloseParPos]] - tblPassengerNames[[#This Row],[OpenParPos]] - 1)</f>
        <v>Anna</v>
      </c>
      <c r="L431" t="str">
        <f>IF(AND(LEFT(tblPassengerNames[[#This Row],[InParentheses]], 1) = "'", RIGHT(tblPassengerNames[[#This Row],[InParentheses]], 1) = "'"),
    #VALUE!,
    tblPassengerNames[[#This Row],[InParentheses]]
)</f>
        <v>Anna</v>
      </c>
      <c r="M431">
        <f>LEN(tblPassengerNames[[#This Row],[InParenthesesCleaned]]) - LEN(SUBSTITUTE(tblPassengerNames[[#This Row],[InParenthesesCleaned]], " ", ""))</f>
        <v>0</v>
      </c>
      <c r="N431" t="e">
        <f>FIND("@", SUBSTITUTE(tblPassengerNames[[#This Row],[InParenthesesCleaned]], " ", "@", tblPassengerNames[[#This Row],[P_NSpaces]]))</f>
        <v>#VALUE!</v>
      </c>
      <c r="O431" t="str">
        <f>IF(tblPassengerNames[[#This Row],[P_NSpaces]] = 0,
    tblPassengerNames[[#This Row],[InParenthesesCleaned]],
    LEFT(tblPassengerNames[[#This Row],[InParenthesesCleaned]], tblPassengerNames[[#This Row],[P_FinalSpacePos]] - 1)
)</f>
        <v>Anna</v>
      </c>
      <c r="P431" t="str">
        <f>IFERROR(tblPassengerNames[[#This Row],[P_Forenames]], tblPassengerNames[[#This Row],[ConvForenames]])</f>
        <v>Anna</v>
      </c>
      <c r="Q431" t="str">
        <f>MID(tblPassengerNames[[#This Row],[Name]], tblPassengerNames[[#This Row],[CommaPos]] + 2, tblPassengerNames[[#This Row],[DotPos]] - tblPassengerNames[[#This Row],[CommaPos]] - 1)</f>
        <v>Mrs.</v>
      </c>
      <c r="R431" t="str">
        <f>LEFT(tblPassengerNames[[#This Row],[Name]], tblPassengerNames[[#This Row],[CommaPos]] - 1)</f>
        <v>Hamalainen</v>
      </c>
    </row>
    <row r="432" spans="2:18" x14ac:dyDescent="0.25">
      <c r="B432" s="21">
        <v>430</v>
      </c>
      <c r="C432" s="21" t="s">
        <v>566</v>
      </c>
      <c r="D432" s="21" t="s">
        <v>138</v>
      </c>
      <c r="E432">
        <f>FIND(",", tblPassengerNames[[#This Row],[Name]])</f>
        <v>8</v>
      </c>
      <c r="F432">
        <f>FIND(".", tblPassengerNames[[#This Row],[Name]])</f>
        <v>12</v>
      </c>
      <c r="G432" t="e">
        <f>FIND("(", tblPassengerNames[[#This Row],[Name]])</f>
        <v>#VALUE!</v>
      </c>
      <c r="H432" t="e">
        <f>FIND(")", tblPassengerNames[[#This Row],[Name]])</f>
        <v>#VALUE!</v>
      </c>
      <c r="I432">
        <f>IFERROR(tblPassengerNames[[#This Row],[OpenParPos]] - 2, LEN(tblPassengerNames[[#This Row],[Name]]))</f>
        <v>22</v>
      </c>
      <c r="J432" t="str">
        <f>MID(tblPassengerNames[[#This Row],[Name]], tblPassengerNames[[#This Row],[DotPos]] + 2, tblPassengerNames[[#This Row],[EndOfConvFNPos]] - tblPassengerNames[[#This Row],[DotPos]] - 1)</f>
        <v>William H</v>
      </c>
      <c r="K432" t="e">
        <f>MID(tblPassengerNames[[#This Row],[Name]], tblPassengerNames[[#This Row],[OpenParPos]] + 1, tblPassengerNames[[#This Row],[CloseParPos]] - tblPassengerNames[[#This Row],[OpenParPos]] - 1)</f>
        <v>#VALUE!</v>
      </c>
      <c r="L432" t="e">
        <f>IF(AND(LEFT(tblPassengerNames[[#This Row],[InParentheses]], 1) = "'", RIGHT(tblPassengerNames[[#This Row],[InParentheses]], 1) = "'"),
    #VALUE!,
    tblPassengerNames[[#This Row],[InParentheses]]
)</f>
        <v>#VALUE!</v>
      </c>
      <c r="M432" t="e">
        <f>LEN(tblPassengerNames[[#This Row],[InParenthesesCleaned]]) - LEN(SUBSTITUTE(tblPassengerNames[[#This Row],[InParenthesesCleaned]], " ", ""))</f>
        <v>#VALUE!</v>
      </c>
      <c r="N432" t="e">
        <f>FIND("@", SUBSTITUTE(tblPassengerNames[[#This Row],[InParenthesesCleaned]], " ", "@", tblPassengerNames[[#This Row],[P_NSpaces]]))</f>
        <v>#VALUE!</v>
      </c>
      <c r="O432" t="e">
        <f>IF(tblPassengerNames[[#This Row],[P_NSpaces]] = 0,
    tblPassengerNames[[#This Row],[InParenthesesCleaned]],
    LEFT(tblPassengerNames[[#This Row],[InParenthesesCleaned]], tblPassengerNames[[#This Row],[P_FinalSpacePos]] - 1)
)</f>
        <v>#VALUE!</v>
      </c>
      <c r="P432" t="str">
        <f>IFERROR(tblPassengerNames[[#This Row],[P_Forenames]], tblPassengerNames[[#This Row],[ConvForenames]])</f>
        <v>William H</v>
      </c>
      <c r="Q432" t="str">
        <f>MID(tblPassengerNames[[#This Row],[Name]], tblPassengerNames[[#This Row],[CommaPos]] + 2, tblPassengerNames[[#This Row],[DotPos]] - tblPassengerNames[[#This Row],[CommaPos]] - 1)</f>
        <v>Mr.</v>
      </c>
      <c r="R432" t="str">
        <f>LEFT(tblPassengerNames[[#This Row],[Name]], tblPassengerNames[[#This Row],[CommaPos]] - 1)</f>
        <v>Harbeck</v>
      </c>
    </row>
    <row r="433" spans="2:18" x14ac:dyDescent="0.25">
      <c r="B433" s="21">
        <v>431</v>
      </c>
      <c r="C433" s="21" t="s">
        <v>567</v>
      </c>
      <c r="D433" s="21" t="s">
        <v>136</v>
      </c>
      <c r="E433">
        <f>FIND(",", tblPassengerNames[[#This Row],[Name]])</f>
        <v>7</v>
      </c>
      <c r="F433">
        <f>FIND(".", tblPassengerNames[[#This Row],[Name]])</f>
        <v>13</v>
      </c>
      <c r="G433" t="e">
        <f>FIND("(", tblPassengerNames[[#This Row],[Name]])</f>
        <v>#VALUE!</v>
      </c>
      <c r="H433" t="e">
        <f>FIND(")", tblPassengerNames[[#This Row],[Name]])</f>
        <v>#VALUE!</v>
      </c>
      <c r="I433">
        <f>IFERROR(tblPassengerNames[[#This Row],[OpenParPos]] - 2, LEN(tblPassengerNames[[#This Row],[Name]]))</f>
        <v>33</v>
      </c>
      <c r="J433" t="str">
        <f>MID(tblPassengerNames[[#This Row],[Name]], tblPassengerNames[[#This Row],[DotPos]] + 2, tblPassengerNames[[#This Row],[EndOfConvFNPos]] - tblPassengerNames[[#This Row],[DotPos]] - 1)</f>
        <v>Annie Jessie 'Nina'</v>
      </c>
      <c r="K433" t="e">
        <f>MID(tblPassengerNames[[#This Row],[Name]], tblPassengerNames[[#This Row],[OpenParPos]] + 1, tblPassengerNames[[#This Row],[CloseParPos]] - tblPassengerNames[[#This Row],[OpenParPos]] - 1)</f>
        <v>#VALUE!</v>
      </c>
      <c r="L433" t="e">
        <f>IF(AND(LEFT(tblPassengerNames[[#This Row],[InParentheses]], 1) = "'", RIGHT(tblPassengerNames[[#This Row],[InParentheses]], 1) = "'"),
    #VALUE!,
    tblPassengerNames[[#This Row],[InParentheses]]
)</f>
        <v>#VALUE!</v>
      </c>
      <c r="M433" t="e">
        <f>LEN(tblPassengerNames[[#This Row],[InParenthesesCleaned]]) - LEN(SUBSTITUTE(tblPassengerNames[[#This Row],[InParenthesesCleaned]], " ", ""))</f>
        <v>#VALUE!</v>
      </c>
      <c r="N433" t="e">
        <f>FIND("@", SUBSTITUTE(tblPassengerNames[[#This Row],[InParenthesesCleaned]], " ", "@", tblPassengerNames[[#This Row],[P_NSpaces]]))</f>
        <v>#VALUE!</v>
      </c>
      <c r="O433" t="e">
        <f>IF(tblPassengerNames[[#This Row],[P_NSpaces]] = 0,
    tblPassengerNames[[#This Row],[InParenthesesCleaned]],
    LEFT(tblPassengerNames[[#This Row],[InParenthesesCleaned]], tblPassengerNames[[#This Row],[P_FinalSpacePos]] - 1)
)</f>
        <v>#VALUE!</v>
      </c>
      <c r="P433" t="str">
        <f>IFERROR(tblPassengerNames[[#This Row],[P_Forenames]], tblPassengerNames[[#This Row],[ConvForenames]])</f>
        <v>Annie Jessie 'Nina'</v>
      </c>
      <c r="Q433" t="str">
        <f>MID(tblPassengerNames[[#This Row],[Name]], tblPassengerNames[[#This Row],[CommaPos]] + 2, tblPassengerNames[[#This Row],[DotPos]] - tblPassengerNames[[#This Row],[CommaPos]] - 1)</f>
        <v>Miss.</v>
      </c>
      <c r="R433" t="str">
        <f>LEFT(tblPassengerNames[[#This Row],[Name]], tblPassengerNames[[#This Row],[CommaPos]] - 1)</f>
        <v>Harper</v>
      </c>
    </row>
    <row r="434" spans="2:18" x14ac:dyDescent="0.25">
      <c r="B434" s="21">
        <v>432</v>
      </c>
      <c r="C434" s="21" t="s">
        <v>568</v>
      </c>
      <c r="D434" s="21" t="s">
        <v>138</v>
      </c>
      <c r="E434">
        <f>FIND(",", tblPassengerNames[[#This Row],[Name]])</f>
        <v>7</v>
      </c>
      <c r="F434">
        <f>FIND(".", tblPassengerNames[[#This Row],[Name]])</f>
        <v>12</v>
      </c>
      <c r="G434" t="e">
        <f>FIND("(", tblPassengerNames[[#This Row],[Name]])</f>
        <v>#VALUE!</v>
      </c>
      <c r="H434" t="e">
        <f>FIND(")", tblPassengerNames[[#This Row],[Name]])</f>
        <v>#VALUE!</v>
      </c>
      <c r="I434">
        <f>IFERROR(tblPassengerNames[[#This Row],[OpenParPos]] - 2, LEN(tblPassengerNames[[#This Row],[Name]]))</f>
        <v>17</v>
      </c>
      <c r="J434" t="str">
        <f>MID(tblPassengerNames[[#This Row],[Name]], tblPassengerNames[[#This Row],[DotPos]] + 2, tblPassengerNames[[#This Row],[EndOfConvFNPos]] - tblPassengerNames[[#This Row],[DotPos]] - 1)</f>
        <v>John</v>
      </c>
      <c r="K434" t="e">
        <f>MID(tblPassengerNames[[#This Row],[Name]], tblPassengerNames[[#This Row],[OpenParPos]] + 1, tblPassengerNames[[#This Row],[CloseParPos]] - tblPassengerNames[[#This Row],[OpenParPos]] - 1)</f>
        <v>#VALUE!</v>
      </c>
      <c r="L434" t="e">
        <f>IF(AND(LEFT(tblPassengerNames[[#This Row],[InParentheses]], 1) = "'", RIGHT(tblPassengerNames[[#This Row],[InParentheses]], 1) = "'"),
    #VALUE!,
    tblPassengerNames[[#This Row],[InParentheses]]
)</f>
        <v>#VALUE!</v>
      </c>
      <c r="M434" t="e">
        <f>LEN(tblPassengerNames[[#This Row],[InParenthesesCleaned]]) - LEN(SUBSTITUTE(tblPassengerNames[[#This Row],[InParenthesesCleaned]], " ", ""))</f>
        <v>#VALUE!</v>
      </c>
      <c r="N434" t="e">
        <f>FIND("@", SUBSTITUTE(tblPassengerNames[[#This Row],[InParenthesesCleaned]], " ", "@", tblPassengerNames[[#This Row],[P_NSpaces]]))</f>
        <v>#VALUE!</v>
      </c>
      <c r="O434" t="e">
        <f>IF(tblPassengerNames[[#This Row],[P_NSpaces]] = 0,
    tblPassengerNames[[#This Row],[InParenthesesCleaned]],
    LEFT(tblPassengerNames[[#This Row],[InParenthesesCleaned]], tblPassengerNames[[#This Row],[P_FinalSpacePos]] - 1)
)</f>
        <v>#VALUE!</v>
      </c>
      <c r="P434" t="str">
        <f>IFERROR(tblPassengerNames[[#This Row],[P_Forenames]], tblPassengerNames[[#This Row],[ConvForenames]])</f>
        <v>John</v>
      </c>
      <c r="Q434" t="str">
        <f>MID(tblPassengerNames[[#This Row],[Name]], tblPassengerNames[[#This Row],[CommaPos]] + 2, tblPassengerNames[[#This Row],[DotPos]] - tblPassengerNames[[#This Row],[CommaPos]] - 1)</f>
        <v>Rev.</v>
      </c>
      <c r="R434" t="str">
        <f>LEFT(tblPassengerNames[[#This Row],[Name]], tblPassengerNames[[#This Row],[CommaPos]] - 1)</f>
        <v>Harper</v>
      </c>
    </row>
    <row r="435" spans="2:18" x14ac:dyDescent="0.25">
      <c r="B435" s="21">
        <v>433</v>
      </c>
      <c r="C435" s="21" t="s">
        <v>569</v>
      </c>
      <c r="D435" s="21" t="s">
        <v>138</v>
      </c>
      <c r="E435">
        <f>FIND(",", tblPassengerNames[[#This Row],[Name]])</f>
        <v>7</v>
      </c>
      <c r="F435">
        <f>FIND(".", tblPassengerNames[[#This Row],[Name]])</f>
        <v>11</v>
      </c>
      <c r="G435" t="e">
        <f>FIND("(", tblPassengerNames[[#This Row],[Name]])</f>
        <v>#VALUE!</v>
      </c>
      <c r="H435" t="e">
        <f>FIND(")", tblPassengerNames[[#This Row],[Name]])</f>
        <v>#VALUE!</v>
      </c>
      <c r="I435">
        <f>IFERROR(tblPassengerNames[[#This Row],[OpenParPos]] - 2, LEN(tblPassengerNames[[#This Row],[Name]]))</f>
        <v>18</v>
      </c>
      <c r="J435" t="str">
        <f>MID(tblPassengerNames[[#This Row],[Name]], tblPassengerNames[[#This Row],[DotPos]] + 2, tblPassengerNames[[#This Row],[EndOfConvFNPos]] - tblPassengerNames[[#This Row],[DotPos]] - 1)</f>
        <v>George</v>
      </c>
      <c r="K435" t="e">
        <f>MID(tblPassengerNames[[#This Row],[Name]], tblPassengerNames[[#This Row],[OpenParPos]] + 1, tblPassengerNames[[#This Row],[CloseParPos]] - tblPassengerNames[[#This Row],[OpenParPos]] - 1)</f>
        <v>#VALUE!</v>
      </c>
      <c r="L435" t="e">
        <f>IF(AND(LEFT(tblPassengerNames[[#This Row],[InParentheses]], 1) = "'", RIGHT(tblPassengerNames[[#This Row],[InParentheses]], 1) = "'"),
    #VALUE!,
    tblPassengerNames[[#This Row],[InParentheses]]
)</f>
        <v>#VALUE!</v>
      </c>
      <c r="M435" t="e">
        <f>LEN(tblPassengerNames[[#This Row],[InParenthesesCleaned]]) - LEN(SUBSTITUTE(tblPassengerNames[[#This Row],[InParenthesesCleaned]], " ", ""))</f>
        <v>#VALUE!</v>
      </c>
      <c r="N435" t="e">
        <f>FIND("@", SUBSTITUTE(tblPassengerNames[[#This Row],[InParenthesesCleaned]], " ", "@", tblPassengerNames[[#This Row],[P_NSpaces]]))</f>
        <v>#VALUE!</v>
      </c>
      <c r="O435" t="e">
        <f>IF(tblPassengerNames[[#This Row],[P_NSpaces]] = 0,
    tblPassengerNames[[#This Row],[InParenthesesCleaned]],
    LEFT(tblPassengerNames[[#This Row],[InParenthesesCleaned]], tblPassengerNames[[#This Row],[P_FinalSpacePos]] - 1)
)</f>
        <v>#VALUE!</v>
      </c>
      <c r="P435" t="str">
        <f>IFERROR(tblPassengerNames[[#This Row],[P_Forenames]], tblPassengerNames[[#This Row],[ConvForenames]])</f>
        <v>George</v>
      </c>
      <c r="Q435" t="str">
        <f>MID(tblPassengerNames[[#This Row],[Name]], tblPassengerNames[[#This Row],[CommaPos]] + 2, tblPassengerNames[[#This Row],[DotPos]] - tblPassengerNames[[#This Row],[CommaPos]] - 1)</f>
        <v>Mr.</v>
      </c>
      <c r="R435" t="str">
        <f>LEFT(tblPassengerNames[[#This Row],[Name]], tblPassengerNames[[#This Row],[CommaPos]] - 1)</f>
        <v>Harris</v>
      </c>
    </row>
    <row r="436" spans="2:18" x14ac:dyDescent="0.25">
      <c r="B436" s="21">
        <v>434</v>
      </c>
      <c r="C436" s="21" t="s">
        <v>570</v>
      </c>
      <c r="D436" s="21" t="s">
        <v>138</v>
      </c>
      <c r="E436">
        <f>FIND(",", tblPassengerNames[[#This Row],[Name]])</f>
        <v>7</v>
      </c>
      <c r="F436">
        <f>FIND(".", tblPassengerNames[[#This Row],[Name]])</f>
        <v>11</v>
      </c>
      <c r="G436" t="e">
        <f>FIND("(", tblPassengerNames[[#This Row],[Name]])</f>
        <v>#VALUE!</v>
      </c>
      <c r="H436" t="e">
        <f>FIND(")", tblPassengerNames[[#This Row],[Name]])</f>
        <v>#VALUE!</v>
      </c>
      <c r="I436">
        <f>IFERROR(tblPassengerNames[[#This Row],[OpenParPos]] - 2, LEN(tblPassengerNames[[#This Row],[Name]]))</f>
        <v>18</v>
      </c>
      <c r="J436" t="str">
        <f>MID(tblPassengerNames[[#This Row],[Name]], tblPassengerNames[[#This Row],[DotPos]] + 2, tblPassengerNames[[#This Row],[EndOfConvFNPos]] - tblPassengerNames[[#This Row],[DotPos]] - 1)</f>
        <v>Walter</v>
      </c>
      <c r="K436" t="e">
        <f>MID(tblPassengerNames[[#This Row],[Name]], tblPassengerNames[[#This Row],[OpenParPos]] + 1, tblPassengerNames[[#This Row],[CloseParPos]] - tblPassengerNames[[#This Row],[OpenParPos]] - 1)</f>
        <v>#VALUE!</v>
      </c>
      <c r="L436" t="e">
        <f>IF(AND(LEFT(tblPassengerNames[[#This Row],[InParentheses]], 1) = "'", RIGHT(tblPassengerNames[[#This Row],[InParentheses]], 1) = "'"),
    #VALUE!,
    tblPassengerNames[[#This Row],[InParentheses]]
)</f>
        <v>#VALUE!</v>
      </c>
      <c r="M436" t="e">
        <f>LEN(tblPassengerNames[[#This Row],[InParenthesesCleaned]]) - LEN(SUBSTITUTE(tblPassengerNames[[#This Row],[InParenthesesCleaned]], " ", ""))</f>
        <v>#VALUE!</v>
      </c>
      <c r="N436" t="e">
        <f>FIND("@", SUBSTITUTE(tblPassengerNames[[#This Row],[InParenthesesCleaned]], " ", "@", tblPassengerNames[[#This Row],[P_NSpaces]]))</f>
        <v>#VALUE!</v>
      </c>
      <c r="O436" t="e">
        <f>IF(tblPassengerNames[[#This Row],[P_NSpaces]] = 0,
    tblPassengerNames[[#This Row],[InParenthesesCleaned]],
    LEFT(tblPassengerNames[[#This Row],[InParenthesesCleaned]], tblPassengerNames[[#This Row],[P_FinalSpacePos]] - 1)
)</f>
        <v>#VALUE!</v>
      </c>
      <c r="P436" t="str">
        <f>IFERROR(tblPassengerNames[[#This Row],[P_Forenames]], tblPassengerNames[[#This Row],[ConvForenames]])</f>
        <v>Walter</v>
      </c>
      <c r="Q436" t="str">
        <f>MID(tblPassengerNames[[#This Row],[Name]], tblPassengerNames[[#This Row],[CommaPos]] + 2, tblPassengerNames[[#This Row],[DotPos]] - tblPassengerNames[[#This Row],[CommaPos]] - 1)</f>
        <v>Mr.</v>
      </c>
      <c r="R436" t="str">
        <f>LEFT(tblPassengerNames[[#This Row],[Name]], tblPassengerNames[[#This Row],[CommaPos]] - 1)</f>
        <v>Harris</v>
      </c>
    </row>
    <row r="437" spans="2:18" x14ac:dyDescent="0.25">
      <c r="B437" s="21">
        <v>435</v>
      </c>
      <c r="C437" s="21" t="s">
        <v>571</v>
      </c>
      <c r="D437" s="21" t="s">
        <v>136</v>
      </c>
      <c r="E437">
        <f>FIND(",", tblPassengerNames[[#This Row],[Name]])</f>
        <v>5</v>
      </c>
      <c r="F437">
        <f>FIND(".", tblPassengerNames[[#This Row],[Name]])</f>
        <v>11</v>
      </c>
      <c r="G437" t="e">
        <f>FIND("(", tblPassengerNames[[#This Row],[Name]])</f>
        <v>#VALUE!</v>
      </c>
      <c r="H437" t="e">
        <f>FIND(")", tblPassengerNames[[#This Row],[Name]])</f>
        <v>#VALUE!</v>
      </c>
      <c r="I437">
        <f>IFERROR(tblPassengerNames[[#This Row],[OpenParPos]] - 2, LEN(tblPassengerNames[[#This Row],[Name]]))</f>
        <v>22</v>
      </c>
      <c r="J437" t="str">
        <f>MID(tblPassengerNames[[#This Row],[Name]], tblPassengerNames[[#This Row],[DotPos]] + 2, tblPassengerNames[[#This Row],[EndOfConvFNPos]] - tblPassengerNames[[#This Row],[DotPos]] - 1)</f>
        <v>Eva Miriam</v>
      </c>
      <c r="K437" t="e">
        <f>MID(tblPassengerNames[[#This Row],[Name]], tblPassengerNames[[#This Row],[OpenParPos]] + 1, tblPassengerNames[[#This Row],[CloseParPos]] - tblPassengerNames[[#This Row],[OpenParPos]] - 1)</f>
        <v>#VALUE!</v>
      </c>
      <c r="L437" t="e">
        <f>IF(AND(LEFT(tblPassengerNames[[#This Row],[InParentheses]], 1) = "'", RIGHT(tblPassengerNames[[#This Row],[InParentheses]], 1) = "'"),
    #VALUE!,
    tblPassengerNames[[#This Row],[InParentheses]]
)</f>
        <v>#VALUE!</v>
      </c>
      <c r="M437" t="e">
        <f>LEN(tblPassengerNames[[#This Row],[InParenthesesCleaned]]) - LEN(SUBSTITUTE(tblPassengerNames[[#This Row],[InParenthesesCleaned]], " ", ""))</f>
        <v>#VALUE!</v>
      </c>
      <c r="N437" t="e">
        <f>FIND("@", SUBSTITUTE(tblPassengerNames[[#This Row],[InParenthesesCleaned]], " ", "@", tblPassengerNames[[#This Row],[P_NSpaces]]))</f>
        <v>#VALUE!</v>
      </c>
      <c r="O437" t="e">
        <f>IF(tblPassengerNames[[#This Row],[P_NSpaces]] = 0,
    tblPassengerNames[[#This Row],[InParenthesesCleaned]],
    LEFT(tblPassengerNames[[#This Row],[InParenthesesCleaned]], tblPassengerNames[[#This Row],[P_FinalSpacePos]] - 1)
)</f>
        <v>#VALUE!</v>
      </c>
      <c r="P437" t="str">
        <f>IFERROR(tblPassengerNames[[#This Row],[P_Forenames]], tblPassengerNames[[#This Row],[ConvForenames]])</f>
        <v>Eva Miriam</v>
      </c>
      <c r="Q437" t="str">
        <f>MID(tblPassengerNames[[#This Row],[Name]], tblPassengerNames[[#This Row],[CommaPos]] + 2, tblPassengerNames[[#This Row],[DotPos]] - tblPassengerNames[[#This Row],[CommaPos]] - 1)</f>
        <v>Miss.</v>
      </c>
      <c r="R437" t="str">
        <f>LEFT(tblPassengerNames[[#This Row],[Name]], tblPassengerNames[[#This Row],[CommaPos]] - 1)</f>
        <v>Hart</v>
      </c>
    </row>
    <row r="438" spans="2:18" x14ac:dyDescent="0.25">
      <c r="B438" s="21">
        <v>436</v>
      </c>
      <c r="C438" s="21" t="s">
        <v>572</v>
      </c>
      <c r="D438" s="21" t="s">
        <v>138</v>
      </c>
      <c r="E438">
        <f>FIND(",", tblPassengerNames[[#This Row],[Name]])</f>
        <v>5</v>
      </c>
      <c r="F438">
        <f>FIND(".", tblPassengerNames[[#This Row],[Name]])</f>
        <v>9</v>
      </c>
      <c r="G438" t="e">
        <f>FIND("(", tblPassengerNames[[#This Row],[Name]])</f>
        <v>#VALUE!</v>
      </c>
      <c r="H438" t="e">
        <f>FIND(")", tblPassengerNames[[#This Row],[Name]])</f>
        <v>#VALUE!</v>
      </c>
      <c r="I438">
        <f>IFERROR(tblPassengerNames[[#This Row],[OpenParPos]] - 2, LEN(tblPassengerNames[[#This Row],[Name]]))</f>
        <v>18</v>
      </c>
      <c r="J438" t="str">
        <f>MID(tblPassengerNames[[#This Row],[Name]], tblPassengerNames[[#This Row],[DotPos]] + 2, tblPassengerNames[[#This Row],[EndOfConvFNPos]] - tblPassengerNames[[#This Row],[DotPos]] - 1)</f>
        <v>Benjamin</v>
      </c>
      <c r="K438" t="e">
        <f>MID(tblPassengerNames[[#This Row],[Name]], tblPassengerNames[[#This Row],[OpenParPos]] + 1, tblPassengerNames[[#This Row],[CloseParPos]] - tblPassengerNames[[#This Row],[OpenParPos]] - 1)</f>
        <v>#VALUE!</v>
      </c>
      <c r="L438" t="e">
        <f>IF(AND(LEFT(tblPassengerNames[[#This Row],[InParentheses]], 1) = "'", RIGHT(tblPassengerNames[[#This Row],[InParentheses]], 1) = "'"),
    #VALUE!,
    tblPassengerNames[[#This Row],[InParentheses]]
)</f>
        <v>#VALUE!</v>
      </c>
      <c r="M438" t="e">
        <f>LEN(tblPassengerNames[[#This Row],[InParenthesesCleaned]]) - LEN(SUBSTITUTE(tblPassengerNames[[#This Row],[InParenthesesCleaned]], " ", ""))</f>
        <v>#VALUE!</v>
      </c>
      <c r="N438" t="e">
        <f>FIND("@", SUBSTITUTE(tblPassengerNames[[#This Row],[InParenthesesCleaned]], " ", "@", tblPassengerNames[[#This Row],[P_NSpaces]]))</f>
        <v>#VALUE!</v>
      </c>
      <c r="O438" t="e">
        <f>IF(tblPassengerNames[[#This Row],[P_NSpaces]] = 0,
    tblPassengerNames[[#This Row],[InParenthesesCleaned]],
    LEFT(tblPassengerNames[[#This Row],[InParenthesesCleaned]], tblPassengerNames[[#This Row],[P_FinalSpacePos]] - 1)
)</f>
        <v>#VALUE!</v>
      </c>
      <c r="P438" t="str">
        <f>IFERROR(tblPassengerNames[[#This Row],[P_Forenames]], tblPassengerNames[[#This Row],[ConvForenames]])</f>
        <v>Benjamin</v>
      </c>
      <c r="Q438" t="str">
        <f>MID(tblPassengerNames[[#This Row],[Name]], tblPassengerNames[[#This Row],[CommaPos]] + 2, tblPassengerNames[[#This Row],[DotPos]] - tblPassengerNames[[#This Row],[CommaPos]] - 1)</f>
        <v>Mr.</v>
      </c>
      <c r="R438" t="str">
        <f>LEFT(tblPassengerNames[[#This Row],[Name]], tblPassengerNames[[#This Row],[CommaPos]] - 1)</f>
        <v>Hart</v>
      </c>
    </row>
    <row r="439" spans="2:18" x14ac:dyDescent="0.25">
      <c r="B439" s="21">
        <v>437</v>
      </c>
      <c r="C439" s="21" t="s">
        <v>573</v>
      </c>
      <c r="D439" s="21" t="s">
        <v>136</v>
      </c>
      <c r="E439">
        <f>FIND(",", tblPassengerNames[[#This Row],[Name]])</f>
        <v>5</v>
      </c>
      <c r="F439">
        <f>FIND(".", tblPassengerNames[[#This Row],[Name]])</f>
        <v>10</v>
      </c>
      <c r="G439">
        <f>FIND("(", tblPassengerNames[[#This Row],[Name]])</f>
        <v>21</v>
      </c>
      <c r="H439">
        <f>FIND(")", tblPassengerNames[[#This Row],[Name]])</f>
        <v>43</v>
      </c>
      <c r="I439">
        <f>IFERROR(tblPassengerNames[[#This Row],[OpenParPos]] - 2, LEN(tblPassengerNames[[#This Row],[Name]]))</f>
        <v>19</v>
      </c>
      <c r="J439" t="str">
        <f>MID(tblPassengerNames[[#This Row],[Name]], tblPassengerNames[[#This Row],[DotPos]] + 2, tblPassengerNames[[#This Row],[EndOfConvFNPos]] - tblPassengerNames[[#This Row],[DotPos]] - 1)</f>
        <v>Benjamin</v>
      </c>
      <c r="K439" t="str">
        <f>MID(tblPassengerNames[[#This Row],[Name]], tblPassengerNames[[#This Row],[OpenParPos]] + 1, tblPassengerNames[[#This Row],[CloseParPos]] - tblPassengerNames[[#This Row],[OpenParPos]] - 1)</f>
        <v>Esther Ada Bloomfield</v>
      </c>
      <c r="L439" t="str">
        <f>IF(AND(LEFT(tblPassengerNames[[#This Row],[InParentheses]], 1) = "'", RIGHT(tblPassengerNames[[#This Row],[InParentheses]], 1) = "'"),
    #VALUE!,
    tblPassengerNames[[#This Row],[InParentheses]]
)</f>
        <v>Esther Ada Bloomfield</v>
      </c>
      <c r="M439">
        <f>LEN(tblPassengerNames[[#This Row],[InParenthesesCleaned]]) - LEN(SUBSTITUTE(tblPassengerNames[[#This Row],[InParenthesesCleaned]], " ", ""))</f>
        <v>2</v>
      </c>
      <c r="N439">
        <f>FIND("@", SUBSTITUTE(tblPassengerNames[[#This Row],[InParenthesesCleaned]], " ", "@", tblPassengerNames[[#This Row],[P_NSpaces]]))</f>
        <v>11</v>
      </c>
      <c r="O439" t="str">
        <f>IF(tblPassengerNames[[#This Row],[P_NSpaces]] = 0,
    tblPassengerNames[[#This Row],[InParenthesesCleaned]],
    LEFT(tblPassengerNames[[#This Row],[InParenthesesCleaned]], tblPassengerNames[[#This Row],[P_FinalSpacePos]] - 1)
)</f>
        <v>Esther Ada</v>
      </c>
      <c r="P439" t="str">
        <f>IFERROR(tblPassengerNames[[#This Row],[P_Forenames]], tblPassengerNames[[#This Row],[ConvForenames]])</f>
        <v>Esther Ada</v>
      </c>
      <c r="Q439" t="str">
        <f>MID(tblPassengerNames[[#This Row],[Name]], tblPassengerNames[[#This Row],[CommaPos]] + 2, tblPassengerNames[[#This Row],[DotPos]] - tblPassengerNames[[#This Row],[CommaPos]] - 1)</f>
        <v>Mrs.</v>
      </c>
      <c r="R439" t="str">
        <f>LEFT(tblPassengerNames[[#This Row],[Name]], tblPassengerNames[[#This Row],[CommaPos]] - 1)</f>
        <v>Hart</v>
      </c>
    </row>
    <row r="440" spans="2:18" x14ac:dyDescent="0.25">
      <c r="B440" s="21">
        <v>438</v>
      </c>
      <c r="C440" s="21" t="s">
        <v>574</v>
      </c>
      <c r="D440" s="21" t="s">
        <v>136</v>
      </c>
      <c r="E440">
        <f>FIND(",", tblPassengerNames[[#This Row],[Name]])</f>
        <v>7</v>
      </c>
      <c r="F440">
        <f>FIND(".", tblPassengerNames[[#This Row],[Name]])</f>
        <v>13</v>
      </c>
      <c r="G440" t="e">
        <f>FIND("(", tblPassengerNames[[#This Row],[Name]])</f>
        <v>#VALUE!</v>
      </c>
      <c r="H440" t="e">
        <f>FIND(")", tblPassengerNames[[#This Row],[Name]])</f>
        <v>#VALUE!</v>
      </c>
      <c r="I440">
        <f>IFERROR(tblPassengerNames[[#This Row],[OpenParPos]] - 2, LEN(tblPassengerNames[[#This Row],[Name]]))</f>
        <v>19</v>
      </c>
      <c r="J440" t="str">
        <f>MID(tblPassengerNames[[#This Row],[Name]], tblPassengerNames[[#This Row],[DotPos]] + 2, tblPassengerNames[[#This Row],[EndOfConvFNPos]] - tblPassengerNames[[#This Row],[DotPos]] - 1)</f>
        <v>Alice</v>
      </c>
      <c r="K440" t="e">
        <f>MID(tblPassengerNames[[#This Row],[Name]], tblPassengerNames[[#This Row],[OpenParPos]] + 1, tblPassengerNames[[#This Row],[CloseParPos]] - tblPassengerNames[[#This Row],[OpenParPos]] - 1)</f>
        <v>#VALUE!</v>
      </c>
      <c r="L440" t="e">
        <f>IF(AND(LEFT(tblPassengerNames[[#This Row],[InParentheses]], 1) = "'", RIGHT(tblPassengerNames[[#This Row],[InParentheses]], 1) = "'"),
    #VALUE!,
    tblPassengerNames[[#This Row],[InParentheses]]
)</f>
        <v>#VALUE!</v>
      </c>
      <c r="M440" t="e">
        <f>LEN(tblPassengerNames[[#This Row],[InParenthesesCleaned]]) - LEN(SUBSTITUTE(tblPassengerNames[[#This Row],[InParenthesesCleaned]], " ", ""))</f>
        <v>#VALUE!</v>
      </c>
      <c r="N440" t="e">
        <f>FIND("@", SUBSTITUTE(tblPassengerNames[[#This Row],[InParenthesesCleaned]], " ", "@", tblPassengerNames[[#This Row],[P_NSpaces]]))</f>
        <v>#VALUE!</v>
      </c>
      <c r="O440" t="e">
        <f>IF(tblPassengerNames[[#This Row],[P_NSpaces]] = 0,
    tblPassengerNames[[#This Row],[InParenthesesCleaned]],
    LEFT(tblPassengerNames[[#This Row],[InParenthesesCleaned]], tblPassengerNames[[#This Row],[P_FinalSpacePos]] - 1)
)</f>
        <v>#VALUE!</v>
      </c>
      <c r="P440" t="str">
        <f>IFERROR(tblPassengerNames[[#This Row],[P_Forenames]], tblPassengerNames[[#This Row],[ConvForenames]])</f>
        <v>Alice</v>
      </c>
      <c r="Q440" t="str">
        <f>MID(tblPassengerNames[[#This Row],[Name]], tblPassengerNames[[#This Row],[CommaPos]] + 2, tblPassengerNames[[#This Row],[DotPos]] - tblPassengerNames[[#This Row],[CommaPos]] - 1)</f>
        <v>Miss.</v>
      </c>
      <c r="R440" t="str">
        <f>LEFT(tblPassengerNames[[#This Row],[Name]], tblPassengerNames[[#This Row],[CommaPos]] - 1)</f>
        <v>Herman</v>
      </c>
    </row>
    <row r="441" spans="2:18" x14ac:dyDescent="0.25">
      <c r="B441" s="21">
        <v>439</v>
      </c>
      <c r="C441" s="21" t="s">
        <v>575</v>
      </c>
      <c r="D441" s="21" t="s">
        <v>136</v>
      </c>
      <c r="E441">
        <f>FIND(",", tblPassengerNames[[#This Row],[Name]])</f>
        <v>7</v>
      </c>
      <c r="F441">
        <f>FIND(".", tblPassengerNames[[#This Row],[Name]])</f>
        <v>13</v>
      </c>
      <c r="G441" t="e">
        <f>FIND("(", tblPassengerNames[[#This Row],[Name]])</f>
        <v>#VALUE!</v>
      </c>
      <c r="H441" t="e">
        <f>FIND(")", tblPassengerNames[[#This Row],[Name]])</f>
        <v>#VALUE!</v>
      </c>
      <c r="I441">
        <f>IFERROR(tblPassengerNames[[#This Row],[OpenParPos]] - 2, LEN(tblPassengerNames[[#This Row],[Name]]))</f>
        <v>18</v>
      </c>
      <c r="J441" t="str">
        <f>MID(tblPassengerNames[[#This Row],[Name]], tblPassengerNames[[#This Row],[DotPos]] + 2, tblPassengerNames[[#This Row],[EndOfConvFNPos]] - tblPassengerNames[[#This Row],[DotPos]] - 1)</f>
        <v>Kate</v>
      </c>
      <c r="K441" t="e">
        <f>MID(tblPassengerNames[[#This Row],[Name]], tblPassengerNames[[#This Row],[OpenParPos]] + 1, tblPassengerNames[[#This Row],[CloseParPos]] - tblPassengerNames[[#This Row],[OpenParPos]] - 1)</f>
        <v>#VALUE!</v>
      </c>
      <c r="L441" t="e">
        <f>IF(AND(LEFT(tblPassengerNames[[#This Row],[InParentheses]], 1) = "'", RIGHT(tblPassengerNames[[#This Row],[InParentheses]], 1) = "'"),
    #VALUE!,
    tblPassengerNames[[#This Row],[InParentheses]]
)</f>
        <v>#VALUE!</v>
      </c>
      <c r="M441" t="e">
        <f>LEN(tblPassengerNames[[#This Row],[InParenthesesCleaned]]) - LEN(SUBSTITUTE(tblPassengerNames[[#This Row],[InParenthesesCleaned]], " ", ""))</f>
        <v>#VALUE!</v>
      </c>
      <c r="N441" t="e">
        <f>FIND("@", SUBSTITUTE(tblPassengerNames[[#This Row],[InParenthesesCleaned]], " ", "@", tblPassengerNames[[#This Row],[P_NSpaces]]))</f>
        <v>#VALUE!</v>
      </c>
      <c r="O441" t="e">
        <f>IF(tblPassengerNames[[#This Row],[P_NSpaces]] = 0,
    tblPassengerNames[[#This Row],[InParenthesesCleaned]],
    LEFT(tblPassengerNames[[#This Row],[InParenthesesCleaned]], tblPassengerNames[[#This Row],[P_FinalSpacePos]] - 1)
)</f>
        <v>#VALUE!</v>
      </c>
      <c r="P441" t="str">
        <f>IFERROR(tblPassengerNames[[#This Row],[P_Forenames]], tblPassengerNames[[#This Row],[ConvForenames]])</f>
        <v>Kate</v>
      </c>
      <c r="Q441" t="str">
        <f>MID(tblPassengerNames[[#This Row],[Name]], tblPassengerNames[[#This Row],[CommaPos]] + 2, tblPassengerNames[[#This Row],[DotPos]] - tblPassengerNames[[#This Row],[CommaPos]] - 1)</f>
        <v>Miss.</v>
      </c>
      <c r="R441" t="str">
        <f>LEFT(tblPassengerNames[[#This Row],[Name]], tblPassengerNames[[#This Row],[CommaPos]] - 1)</f>
        <v>Herman</v>
      </c>
    </row>
    <row r="442" spans="2:18" x14ac:dyDescent="0.25">
      <c r="B442" s="21">
        <v>440</v>
      </c>
      <c r="C442" s="21" t="s">
        <v>576</v>
      </c>
      <c r="D442" s="21" t="s">
        <v>138</v>
      </c>
      <c r="E442">
        <f>FIND(",", tblPassengerNames[[#This Row],[Name]])</f>
        <v>7</v>
      </c>
      <c r="F442">
        <f>FIND(".", tblPassengerNames[[#This Row],[Name]])</f>
        <v>11</v>
      </c>
      <c r="G442" t="e">
        <f>FIND("(", tblPassengerNames[[#This Row],[Name]])</f>
        <v>#VALUE!</v>
      </c>
      <c r="H442" t="e">
        <f>FIND(")", tblPassengerNames[[#This Row],[Name]])</f>
        <v>#VALUE!</v>
      </c>
      <c r="I442">
        <f>IFERROR(tblPassengerNames[[#This Row],[OpenParPos]] - 2, LEN(tblPassengerNames[[#This Row],[Name]]))</f>
        <v>18</v>
      </c>
      <c r="J442" t="str">
        <f>MID(tblPassengerNames[[#This Row],[Name]], tblPassengerNames[[#This Row],[DotPos]] + 2, tblPassengerNames[[#This Row],[EndOfConvFNPos]] - tblPassengerNames[[#This Row],[DotPos]] - 1)</f>
        <v>Samuel</v>
      </c>
      <c r="K442" t="e">
        <f>MID(tblPassengerNames[[#This Row],[Name]], tblPassengerNames[[#This Row],[OpenParPos]] + 1, tblPassengerNames[[#This Row],[CloseParPos]] - tblPassengerNames[[#This Row],[OpenParPos]] - 1)</f>
        <v>#VALUE!</v>
      </c>
      <c r="L442" t="e">
        <f>IF(AND(LEFT(tblPassengerNames[[#This Row],[InParentheses]], 1) = "'", RIGHT(tblPassengerNames[[#This Row],[InParentheses]], 1) = "'"),
    #VALUE!,
    tblPassengerNames[[#This Row],[InParentheses]]
)</f>
        <v>#VALUE!</v>
      </c>
      <c r="M442" t="e">
        <f>LEN(tblPassengerNames[[#This Row],[InParenthesesCleaned]]) - LEN(SUBSTITUTE(tblPassengerNames[[#This Row],[InParenthesesCleaned]], " ", ""))</f>
        <v>#VALUE!</v>
      </c>
      <c r="N442" t="e">
        <f>FIND("@", SUBSTITUTE(tblPassengerNames[[#This Row],[InParenthesesCleaned]], " ", "@", tblPassengerNames[[#This Row],[P_NSpaces]]))</f>
        <v>#VALUE!</v>
      </c>
      <c r="O442" t="e">
        <f>IF(tblPassengerNames[[#This Row],[P_NSpaces]] = 0,
    tblPassengerNames[[#This Row],[InParenthesesCleaned]],
    LEFT(tblPassengerNames[[#This Row],[InParenthesesCleaned]], tblPassengerNames[[#This Row],[P_FinalSpacePos]] - 1)
)</f>
        <v>#VALUE!</v>
      </c>
      <c r="P442" t="str">
        <f>IFERROR(tblPassengerNames[[#This Row],[P_Forenames]], tblPassengerNames[[#This Row],[ConvForenames]])</f>
        <v>Samuel</v>
      </c>
      <c r="Q442" t="str">
        <f>MID(tblPassengerNames[[#This Row],[Name]], tblPassengerNames[[#This Row],[CommaPos]] + 2, tblPassengerNames[[#This Row],[DotPos]] - tblPassengerNames[[#This Row],[CommaPos]] - 1)</f>
        <v>Mr.</v>
      </c>
      <c r="R442" t="str">
        <f>LEFT(tblPassengerNames[[#This Row],[Name]], tblPassengerNames[[#This Row],[CommaPos]] - 1)</f>
        <v>Herman</v>
      </c>
    </row>
    <row r="443" spans="2:18" x14ac:dyDescent="0.25">
      <c r="B443" s="21">
        <v>441</v>
      </c>
      <c r="C443" s="21" t="s">
        <v>577</v>
      </c>
      <c r="D443" s="21" t="s">
        <v>136</v>
      </c>
      <c r="E443">
        <f>FIND(",", tblPassengerNames[[#This Row],[Name]])</f>
        <v>7</v>
      </c>
      <c r="F443">
        <f>FIND(".", tblPassengerNames[[#This Row],[Name]])</f>
        <v>12</v>
      </c>
      <c r="G443">
        <f>FIND("(", tblPassengerNames[[#This Row],[Name]])</f>
        <v>21</v>
      </c>
      <c r="H443">
        <f>FIND(")", tblPassengerNames[[#This Row],[Name]])</f>
        <v>32</v>
      </c>
      <c r="I443">
        <f>IFERROR(tblPassengerNames[[#This Row],[OpenParPos]] - 2, LEN(tblPassengerNames[[#This Row],[Name]]))</f>
        <v>19</v>
      </c>
      <c r="J443" t="str">
        <f>MID(tblPassengerNames[[#This Row],[Name]], tblPassengerNames[[#This Row],[DotPos]] + 2, tblPassengerNames[[#This Row],[EndOfConvFNPos]] - tblPassengerNames[[#This Row],[DotPos]] - 1)</f>
        <v>Samuel</v>
      </c>
      <c r="K443" t="str">
        <f>MID(tblPassengerNames[[#This Row],[Name]], tblPassengerNames[[#This Row],[OpenParPos]] + 1, tblPassengerNames[[#This Row],[CloseParPos]] - tblPassengerNames[[#This Row],[OpenParPos]] - 1)</f>
        <v>Jane Laver</v>
      </c>
      <c r="L443" t="str">
        <f>IF(AND(LEFT(tblPassengerNames[[#This Row],[InParentheses]], 1) = "'", RIGHT(tblPassengerNames[[#This Row],[InParentheses]], 1) = "'"),
    #VALUE!,
    tblPassengerNames[[#This Row],[InParentheses]]
)</f>
        <v>Jane Laver</v>
      </c>
      <c r="M443">
        <f>LEN(tblPassengerNames[[#This Row],[InParenthesesCleaned]]) - LEN(SUBSTITUTE(tblPassengerNames[[#This Row],[InParenthesesCleaned]], " ", ""))</f>
        <v>1</v>
      </c>
      <c r="N443">
        <f>FIND("@", SUBSTITUTE(tblPassengerNames[[#This Row],[InParenthesesCleaned]], " ", "@", tblPassengerNames[[#This Row],[P_NSpaces]]))</f>
        <v>5</v>
      </c>
      <c r="O443" t="str">
        <f>IF(tblPassengerNames[[#This Row],[P_NSpaces]] = 0,
    tblPassengerNames[[#This Row],[InParenthesesCleaned]],
    LEFT(tblPassengerNames[[#This Row],[InParenthesesCleaned]], tblPassengerNames[[#This Row],[P_FinalSpacePos]] - 1)
)</f>
        <v>Jane</v>
      </c>
      <c r="P443" t="str">
        <f>IFERROR(tblPassengerNames[[#This Row],[P_Forenames]], tblPassengerNames[[#This Row],[ConvForenames]])</f>
        <v>Jane</v>
      </c>
      <c r="Q443" t="str">
        <f>MID(tblPassengerNames[[#This Row],[Name]], tblPassengerNames[[#This Row],[CommaPos]] + 2, tblPassengerNames[[#This Row],[DotPos]] - tblPassengerNames[[#This Row],[CommaPos]] - 1)</f>
        <v>Mrs.</v>
      </c>
      <c r="R443" t="str">
        <f>LEFT(tblPassengerNames[[#This Row],[Name]], tblPassengerNames[[#This Row],[CommaPos]] - 1)</f>
        <v>Herman</v>
      </c>
    </row>
    <row r="444" spans="2:18" x14ac:dyDescent="0.25">
      <c r="B444" s="21">
        <v>442</v>
      </c>
      <c r="C444" s="21" t="s">
        <v>578</v>
      </c>
      <c r="D444" s="21" t="s">
        <v>136</v>
      </c>
      <c r="E444">
        <f>FIND(",", tblPassengerNames[[#This Row],[Name]])</f>
        <v>8</v>
      </c>
      <c r="F444">
        <f>FIND(".", tblPassengerNames[[#This Row],[Name]])</f>
        <v>13</v>
      </c>
      <c r="G444">
        <f>FIND("(", tblPassengerNames[[#This Row],[Name]])</f>
        <v>15</v>
      </c>
      <c r="H444">
        <f>FIND(")", tblPassengerNames[[#This Row],[Name]])</f>
        <v>31</v>
      </c>
      <c r="I444">
        <f>IFERROR(tblPassengerNames[[#This Row],[OpenParPos]] - 2, LEN(tblPassengerNames[[#This Row],[Name]]))</f>
        <v>13</v>
      </c>
      <c r="J444" t="e">
        <f>MID(tblPassengerNames[[#This Row],[Name]], tblPassengerNames[[#This Row],[DotPos]] + 2, tblPassengerNames[[#This Row],[EndOfConvFNPos]] - tblPassengerNames[[#This Row],[DotPos]] - 1)</f>
        <v>#VALUE!</v>
      </c>
      <c r="K444" t="str">
        <f>MID(tblPassengerNames[[#This Row],[Name]], tblPassengerNames[[#This Row],[OpenParPos]] + 1, tblPassengerNames[[#This Row],[CloseParPos]] - tblPassengerNames[[#This Row],[OpenParPos]] - 1)</f>
        <v>Mary D Kingcome</v>
      </c>
      <c r="L444" t="str">
        <f>IF(AND(LEFT(tblPassengerNames[[#This Row],[InParentheses]], 1) = "'", RIGHT(tblPassengerNames[[#This Row],[InParentheses]], 1) = "'"),
    #VALUE!,
    tblPassengerNames[[#This Row],[InParentheses]]
)</f>
        <v>Mary D Kingcome</v>
      </c>
      <c r="M444">
        <f>LEN(tblPassengerNames[[#This Row],[InParenthesesCleaned]]) - LEN(SUBSTITUTE(tblPassengerNames[[#This Row],[InParenthesesCleaned]], " ", ""))</f>
        <v>2</v>
      </c>
      <c r="N444">
        <f>FIND("@", SUBSTITUTE(tblPassengerNames[[#This Row],[InParenthesesCleaned]], " ", "@", tblPassengerNames[[#This Row],[P_NSpaces]]))</f>
        <v>7</v>
      </c>
      <c r="O444" t="str">
        <f>IF(tblPassengerNames[[#This Row],[P_NSpaces]] = 0,
    tblPassengerNames[[#This Row],[InParenthesesCleaned]],
    LEFT(tblPassengerNames[[#This Row],[InParenthesesCleaned]], tblPassengerNames[[#This Row],[P_FinalSpacePos]] - 1)
)</f>
        <v>Mary D</v>
      </c>
      <c r="P444" t="str">
        <f>IFERROR(tblPassengerNames[[#This Row],[P_Forenames]], tblPassengerNames[[#This Row],[ConvForenames]])</f>
        <v>Mary D</v>
      </c>
      <c r="Q444" t="str">
        <f>MID(tblPassengerNames[[#This Row],[Name]], tblPassengerNames[[#This Row],[CommaPos]] + 2, tblPassengerNames[[#This Row],[DotPos]] - tblPassengerNames[[#This Row],[CommaPos]] - 1)</f>
        <v>Mrs.</v>
      </c>
      <c r="R444" t="str">
        <f>LEFT(tblPassengerNames[[#This Row],[Name]], tblPassengerNames[[#This Row],[CommaPos]] - 1)</f>
        <v>Hewlett</v>
      </c>
    </row>
    <row r="445" spans="2:18" x14ac:dyDescent="0.25">
      <c r="B445" s="21">
        <v>443</v>
      </c>
      <c r="C445" s="21" t="s">
        <v>579</v>
      </c>
      <c r="D445" s="21" t="s">
        <v>138</v>
      </c>
      <c r="E445">
        <f>FIND(",", tblPassengerNames[[#This Row],[Name]])</f>
        <v>8</v>
      </c>
      <c r="F445">
        <f>FIND(".", tblPassengerNames[[#This Row],[Name]])</f>
        <v>12</v>
      </c>
      <c r="G445" t="e">
        <f>FIND("(", tblPassengerNames[[#This Row],[Name]])</f>
        <v>#VALUE!</v>
      </c>
      <c r="H445" t="e">
        <f>FIND(")", tblPassengerNames[[#This Row],[Name]])</f>
        <v>#VALUE!</v>
      </c>
      <c r="I445">
        <f>IFERROR(tblPassengerNames[[#This Row],[OpenParPos]] - 2, LEN(tblPassengerNames[[#This Row],[Name]]))</f>
        <v>25</v>
      </c>
      <c r="J445" t="str">
        <f>MID(tblPassengerNames[[#This Row],[Name]], tblPassengerNames[[#This Row],[DotPos]] + 2, tblPassengerNames[[#This Row],[EndOfConvFNPos]] - tblPassengerNames[[#This Row],[DotPos]] - 1)</f>
        <v>Leonard Mark</v>
      </c>
      <c r="K445" t="e">
        <f>MID(tblPassengerNames[[#This Row],[Name]], tblPassengerNames[[#This Row],[OpenParPos]] + 1, tblPassengerNames[[#This Row],[CloseParPos]] - tblPassengerNames[[#This Row],[OpenParPos]] - 1)</f>
        <v>#VALUE!</v>
      </c>
      <c r="L445" t="e">
        <f>IF(AND(LEFT(tblPassengerNames[[#This Row],[InParentheses]], 1) = "'", RIGHT(tblPassengerNames[[#This Row],[InParentheses]], 1) = "'"),
    #VALUE!,
    tblPassengerNames[[#This Row],[InParentheses]]
)</f>
        <v>#VALUE!</v>
      </c>
      <c r="M445" t="e">
        <f>LEN(tblPassengerNames[[#This Row],[InParenthesesCleaned]]) - LEN(SUBSTITUTE(tblPassengerNames[[#This Row],[InParenthesesCleaned]], " ", ""))</f>
        <v>#VALUE!</v>
      </c>
      <c r="N445" t="e">
        <f>FIND("@", SUBSTITUTE(tblPassengerNames[[#This Row],[InParenthesesCleaned]], " ", "@", tblPassengerNames[[#This Row],[P_NSpaces]]))</f>
        <v>#VALUE!</v>
      </c>
      <c r="O445" t="e">
        <f>IF(tblPassengerNames[[#This Row],[P_NSpaces]] = 0,
    tblPassengerNames[[#This Row],[InParenthesesCleaned]],
    LEFT(tblPassengerNames[[#This Row],[InParenthesesCleaned]], tblPassengerNames[[#This Row],[P_FinalSpacePos]] - 1)
)</f>
        <v>#VALUE!</v>
      </c>
      <c r="P445" t="str">
        <f>IFERROR(tblPassengerNames[[#This Row],[P_Forenames]], tblPassengerNames[[#This Row],[ConvForenames]])</f>
        <v>Leonard Mark</v>
      </c>
      <c r="Q445" t="str">
        <f>MID(tblPassengerNames[[#This Row],[Name]], tblPassengerNames[[#This Row],[CommaPos]] + 2, tblPassengerNames[[#This Row],[DotPos]] - tblPassengerNames[[#This Row],[CommaPos]] - 1)</f>
        <v>Mr.</v>
      </c>
      <c r="R445" t="str">
        <f>LEFT(tblPassengerNames[[#This Row],[Name]], tblPassengerNames[[#This Row],[CommaPos]] - 1)</f>
        <v>Hickman</v>
      </c>
    </row>
    <row r="446" spans="2:18" x14ac:dyDescent="0.25">
      <c r="B446" s="21">
        <v>444</v>
      </c>
      <c r="C446" s="21" t="s">
        <v>580</v>
      </c>
      <c r="D446" s="21" t="s">
        <v>138</v>
      </c>
      <c r="E446">
        <f>FIND(",", tblPassengerNames[[#This Row],[Name]])</f>
        <v>8</v>
      </c>
      <c r="F446">
        <f>FIND(".", tblPassengerNames[[#This Row],[Name]])</f>
        <v>12</v>
      </c>
      <c r="G446" t="e">
        <f>FIND("(", tblPassengerNames[[#This Row],[Name]])</f>
        <v>#VALUE!</v>
      </c>
      <c r="H446" t="e">
        <f>FIND(")", tblPassengerNames[[#This Row],[Name]])</f>
        <v>#VALUE!</v>
      </c>
      <c r="I446">
        <f>IFERROR(tblPassengerNames[[#This Row],[OpenParPos]] - 2, LEN(tblPassengerNames[[#This Row],[Name]]))</f>
        <v>18</v>
      </c>
      <c r="J446" t="str">
        <f>MID(tblPassengerNames[[#This Row],[Name]], tblPassengerNames[[#This Row],[DotPos]] + 2, tblPassengerNames[[#This Row],[EndOfConvFNPos]] - tblPassengerNames[[#This Row],[DotPos]] - 1)</f>
        <v>Lewis</v>
      </c>
      <c r="K446" t="e">
        <f>MID(tblPassengerNames[[#This Row],[Name]], tblPassengerNames[[#This Row],[OpenParPos]] + 1, tblPassengerNames[[#This Row],[CloseParPos]] - tblPassengerNames[[#This Row],[OpenParPos]] - 1)</f>
        <v>#VALUE!</v>
      </c>
      <c r="L446" t="e">
        <f>IF(AND(LEFT(tblPassengerNames[[#This Row],[InParentheses]], 1) = "'", RIGHT(tblPassengerNames[[#This Row],[InParentheses]], 1) = "'"),
    #VALUE!,
    tblPassengerNames[[#This Row],[InParentheses]]
)</f>
        <v>#VALUE!</v>
      </c>
      <c r="M446" t="e">
        <f>LEN(tblPassengerNames[[#This Row],[InParenthesesCleaned]]) - LEN(SUBSTITUTE(tblPassengerNames[[#This Row],[InParenthesesCleaned]], " ", ""))</f>
        <v>#VALUE!</v>
      </c>
      <c r="N446" t="e">
        <f>FIND("@", SUBSTITUTE(tblPassengerNames[[#This Row],[InParenthesesCleaned]], " ", "@", tblPassengerNames[[#This Row],[P_NSpaces]]))</f>
        <v>#VALUE!</v>
      </c>
      <c r="O446" t="e">
        <f>IF(tblPassengerNames[[#This Row],[P_NSpaces]] = 0,
    tblPassengerNames[[#This Row],[InParenthesesCleaned]],
    LEFT(tblPassengerNames[[#This Row],[InParenthesesCleaned]], tblPassengerNames[[#This Row],[P_FinalSpacePos]] - 1)
)</f>
        <v>#VALUE!</v>
      </c>
      <c r="P446" t="str">
        <f>IFERROR(tblPassengerNames[[#This Row],[P_Forenames]], tblPassengerNames[[#This Row],[ConvForenames]])</f>
        <v>Lewis</v>
      </c>
      <c r="Q446" t="str">
        <f>MID(tblPassengerNames[[#This Row],[Name]], tblPassengerNames[[#This Row],[CommaPos]] + 2, tblPassengerNames[[#This Row],[DotPos]] - tblPassengerNames[[#This Row],[CommaPos]] - 1)</f>
        <v>Mr.</v>
      </c>
      <c r="R446" t="str">
        <f>LEFT(tblPassengerNames[[#This Row],[Name]], tblPassengerNames[[#This Row],[CommaPos]] - 1)</f>
        <v>Hickman</v>
      </c>
    </row>
    <row r="447" spans="2:18" x14ac:dyDescent="0.25">
      <c r="B447" s="21">
        <v>445</v>
      </c>
      <c r="C447" s="21" t="s">
        <v>581</v>
      </c>
      <c r="D447" s="21" t="s">
        <v>138</v>
      </c>
      <c r="E447">
        <f>FIND(",", tblPassengerNames[[#This Row],[Name]])</f>
        <v>8</v>
      </c>
      <c r="F447">
        <f>FIND(".", tblPassengerNames[[#This Row],[Name]])</f>
        <v>12</v>
      </c>
      <c r="G447" t="e">
        <f>FIND("(", tblPassengerNames[[#This Row],[Name]])</f>
        <v>#VALUE!</v>
      </c>
      <c r="H447" t="e">
        <f>FIND(")", tblPassengerNames[[#This Row],[Name]])</f>
        <v>#VALUE!</v>
      </c>
      <c r="I447">
        <f>IFERROR(tblPassengerNames[[#This Row],[OpenParPos]] - 2, LEN(tblPassengerNames[[#This Row],[Name]]))</f>
        <v>27</v>
      </c>
      <c r="J447" t="str">
        <f>MID(tblPassengerNames[[#This Row],[Name]], tblPassengerNames[[#This Row],[DotPos]] + 2, tblPassengerNames[[#This Row],[EndOfConvFNPos]] - tblPassengerNames[[#This Row],[DotPos]] - 1)</f>
        <v>Stanley George</v>
      </c>
      <c r="K447" t="e">
        <f>MID(tblPassengerNames[[#This Row],[Name]], tblPassengerNames[[#This Row],[OpenParPos]] + 1, tblPassengerNames[[#This Row],[CloseParPos]] - tblPassengerNames[[#This Row],[OpenParPos]] - 1)</f>
        <v>#VALUE!</v>
      </c>
      <c r="L447" t="e">
        <f>IF(AND(LEFT(tblPassengerNames[[#This Row],[InParentheses]], 1) = "'", RIGHT(tblPassengerNames[[#This Row],[InParentheses]], 1) = "'"),
    #VALUE!,
    tblPassengerNames[[#This Row],[InParentheses]]
)</f>
        <v>#VALUE!</v>
      </c>
      <c r="M447" t="e">
        <f>LEN(tblPassengerNames[[#This Row],[InParenthesesCleaned]]) - LEN(SUBSTITUTE(tblPassengerNames[[#This Row],[InParenthesesCleaned]], " ", ""))</f>
        <v>#VALUE!</v>
      </c>
      <c r="N447" t="e">
        <f>FIND("@", SUBSTITUTE(tblPassengerNames[[#This Row],[InParenthesesCleaned]], " ", "@", tblPassengerNames[[#This Row],[P_NSpaces]]))</f>
        <v>#VALUE!</v>
      </c>
      <c r="O447" t="e">
        <f>IF(tblPassengerNames[[#This Row],[P_NSpaces]] = 0,
    tblPassengerNames[[#This Row],[InParenthesesCleaned]],
    LEFT(tblPassengerNames[[#This Row],[InParenthesesCleaned]], tblPassengerNames[[#This Row],[P_FinalSpacePos]] - 1)
)</f>
        <v>#VALUE!</v>
      </c>
      <c r="P447" t="str">
        <f>IFERROR(tblPassengerNames[[#This Row],[P_Forenames]], tblPassengerNames[[#This Row],[ConvForenames]])</f>
        <v>Stanley George</v>
      </c>
      <c r="Q447" t="str">
        <f>MID(tblPassengerNames[[#This Row],[Name]], tblPassengerNames[[#This Row],[CommaPos]] + 2, tblPassengerNames[[#This Row],[DotPos]] - tblPassengerNames[[#This Row],[CommaPos]] - 1)</f>
        <v>Mr.</v>
      </c>
      <c r="R447" t="str">
        <f>LEFT(tblPassengerNames[[#This Row],[Name]], tblPassengerNames[[#This Row],[CommaPos]] - 1)</f>
        <v>Hickman</v>
      </c>
    </row>
    <row r="448" spans="2:18" x14ac:dyDescent="0.25">
      <c r="B448" s="21">
        <v>446</v>
      </c>
      <c r="C448" s="21" t="s">
        <v>582</v>
      </c>
      <c r="D448" s="21" t="s">
        <v>136</v>
      </c>
      <c r="E448">
        <f>FIND(",", tblPassengerNames[[#This Row],[Name]])</f>
        <v>9</v>
      </c>
      <c r="F448">
        <f>FIND(".", tblPassengerNames[[#This Row],[Name]])</f>
        <v>15</v>
      </c>
      <c r="G448" t="e">
        <f>FIND("(", tblPassengerNames[[#This Row],[Name]])</f>
        <v>#VALUE!</v>
      </c>
      <c r="H448" t="e">
        <f>FIND(")", tblPassengerNames[[#This Row],[Name]])</f>
        <v>#VALUE!</v>
      </c>
      <c r="I448">
        <f>IFERROR(tblPassengerNames[[#This Row],[OpenParPos]] - 2, LEN(tblPassengerNames[[#This Row],[Name]]))</f>
        <v>21</v>
      </c>
      <c r="J448" t="str">
        <f>MID(tblPassengerNames[[#This Row],[Name]], tblPassengerNames[[#This Row],[DotPos]] + 2, tblPassengerNames[[#This Row],[EndOfConvFNPos]] - tblPassengerNames[[#This Row],[DotPos]] - 1)</f>
        <v>Marta</v>
      </c>
      <c r="K448" t="e">
        <f>MID(tblPassengerNames[[#This Row],[Name]], tblPassengerNames[[#This Row],[OpenParPos]] + 1, tblPassengerNames[[#This Row],[CloseParPos]] - tblPassengerNames[[#This Row],[OpenParPos]] - 1)</f>
        <v>#VALUE!</v>
      </c>
      <c r="L448" t="e">
        <f>IF(AND(LEFT(tblPassengerNames[[#This Row],[InParentheses]], 1) = "'", RIGHT(tblPassengerNames[[#This Row],[InParentheses]], 1) = "'"),
    #VALUE!,
    tblPassengerNames[[#This Row],[InParentheses]]
)</f>
        <v>#VALUE!</v>
      </c>
      <c r="M448" t="e">
        <f>LEN(tblPassengerNames[[#This Row],[InParenthesesCleaned]]) - LEN(SUBSTITUTE(tblPassengerNames[[#This Row],[InParenthesesCleaned]], " ", ""))</f>
        <v>#VALUE!</v>
      </c>
      <c r="N448" t="e">
        <f>FIND("@", SUBSTITUTE(tblPassengerNames[[#This Row],[InParenthesesCleaned]], " ", "@", tblPassengerNames[[#This Row],[P_NSpaces]]))</f>
        <v>#VALUE!</v>
      </c>
      <c r="O448" t="e">
        <f>IF(tblPassengerNames[[#This Row],[P_NSpaces]] = 0,
    tblPassengerNames[[#This Row],[InParenthesesCleaned]],
    LEFT(tblPassengerNames[[#This Row],[InParenthesesCleaned]], tblPassengerNames[[#This Row],[P_FinalSpacePos]] - 1)
)</f>
        <v>#VALUE!</v>
      </c>
      <c r="P448" t="str">
        <f>IFERROR(tblPassengerNames[[#This Row],[P_Forenames]], tblPassengerNames[[#This Row],[ConvForenames]])</f>
        <v>Marta</v>
      </c>
      <c r="Q448" t="str">
        <f>MID(tblPassengerNames[[#This Row],[Name]], tblPassengerNames[[#This Row],[CommaPos]] + 2, tblPassengerNames[[#This Row],[DotPos]] - tblPassengerNames[[#This Row],[CommaPos]] - 1)</f>
        <v>Miss.</v>
      </c>
      <c r="R448" t="str">
        <f>LEFT(tblPassengerNames[[#This Row],[Name]], tblPassengerNames[[#This Row],[CommaPos]] - 1)</f>
        <v>Hiltunen</v>
      </c>
    </row>
    <row r="449" spans="2:18" x14ac:dyDescent="0.25">
      <c r="B449" s="21">
        <v>447</v>
      </c>
      <c r="C449" s="21" t="s">
        <v>583</v>
      </c>
      <c r="D449" s="21" t="s">
        <v>136</v>
      </c>
      <c r="E449">
        <f>FIND(",", tblPassengerNames[[#This Row],[Name]])</f>
        <v>8</v>
      </c>
      <c r="F449">
        <f>FIND(".", tblPassengerNames[[#This Row],[Name]])</f>
        <v>14</v>
      </c>
      <c r="G449" t="e">
        <f>FIND("(", tblPassengerNames[[#This Row],[Name]])</f>
        <v>#VALUE!</v>
      </c>
      <c r="H449" t="e">
        <f>FIND(")", tblPassengerNames[[#This Row],[Name]])</f>
        <v>#VALUE!</v>
      </c>
      <c r="I449">
        <f>IFERROR(tblPassengerNames[[#This Row],[OpenParPos]] - 2, LEN(tblPassengerNames[[#This Row],[Name]]))</f>
        <v>29</v>
      </c>
      <c r="J449" t="str">
        <f>MID(tblPassengerNames[[#This Row],[Name]], tblPassengerNames[[#This Row],[DotPos]] + 2, tblPassengerNames[[#This Row],[EndOfConvFNPos]] - tblPassengerNames[[#This Row],[DotPos]] - 1)</f>
        <v>Ellen 'Nellie'</v>
      </c>
      <c r="K449" t="e">
        <f>MID(tblPassengerNames[[#This Row],[Name]], tblPassengerNames[[#This Row],[OpenParPos]] + 1, tblPassengerNames[[#This Row],[CloseParPos]] - tblPassengerNames[[#This Row],[OpenParPos]] - 1)</f>
        <v>#VALUE!</v>
      </c>
      <c r="L449" t="e">
        <f>IF(AND(LEFT(tblPassengerNames[[#This Row],[InParentheses]], 1) = "'", RIGHT(tblPassengerNames[[#This Row],[InParentheses]], 1) = "'"),
    #VALUE!,
    tblPassengerNames[[#This Row],[InParentheses]]
)</f>
        <v>#VALUE!</v>
      </c>
      <c r="M449" t="e">
        <f>LEN(tblPassengerNames[[#This Row],[InParenthesesCleaned]]) - LEN(SUBSTITUTE(tblPassengerNames[[#This Row],[InParenthesesCleaned]], " ", ""))</f>
        <v>#VALUE!</v>
      </c>
      <c r="N449" t="e">
        <f>FIND("@", SUBSTITUTE(tblPassengerNames[[#This Row],[InParenthesesCleaned]], " ", "@", tblPassengerNames[[#This Row],[P_NSpaces]]))</f>
        <v>#VALUE!</v>
      </c>
      <c r="O449" t="e">
        <f>IF(tblPassengerNames[[#This Row],[P_NSpaces]] = 0,
    tblPassengerNames[[#This Row],[InParenthesesCleaned]],
    LEFT(tblPassengerNames[[#This Row],[InParenthesesCleaned]], tblPassengerNames[[#This Row],[P_FinalSpacePos]] - 1)
)</f>
        <v>#VALUE!</v>
      </c>
      <c r="P449" t="str">
        <f>IFERROR(tblPassengerNames[[#This Row],[P_Forenames]], tblPassengerNames[[#This Row],[ConvForenames]])</f>
        <v>Ellen 'Nellie'</v>
      </c>
      <c r="Q449" t="str">
        <f>MID(tblPassengerNames[[#This Row],[Name]], tblPassengerNames[[#This Row],[CommaPos]] + 2, tblPassengerNames[[#This Row],[DotPos]] - tblPassengerNames[[#This Row],[CommaPos]] - 1)</f>
        <v>Miss.</v>
      </c>
      <c r="R449" t="str">
        <f>LEFT(tblPassengerNames[[#This Row],[Name]], tblPassengerNames[[#This Row],[CommaPos]] - 1)</f>
        <v>Hocking</v>
      </c>
    </row>
    <row r="450" spans="2:18" x14ac:dyDescent="0.25">
      <c r="B450" s="21">
        <v>448</v>
      </c>
      <c r="C450" s="21" t="s">
        <v>584</v>
      </c>
      <c r="D450" s="21" t="s">
        <v>138</v>
      </c>
      <c r="E450">
        <f>FIND(",", tblPassengerNames[[#This Row],[Name]])</f>
        <v>8</v>
      </c>
      <c r="F450">
        <f>FIND(".", tblPassengerNames[[#This Row],[Name]])</f>
        <v>12</v>
      </c>
      <c r="G450" t="e">
        <f>FIND("(", tblPassengerNames[[#This Row],[Name]])</f>
        <v>#VALUE!</v>
      </c>
      <c r="H450" t="e">
        <f>FIND(")", tblPassengerNames[[#This Row],[Name]])</f>
        <v>#VALUE!</v>
      </c>
      <c r="I450">
        <f>IFERROR(tblPassengerNames[[#This Row],[OpenParPos]] - 2, LEN(tblPassengerNames[[#This Row],[Name]]))</f>
        <v>27</v>
      </c>
      <c r="J450" t="str">
        <f>MID(tblPassengerNames[[#This Row],[Name]], tblPassengerNames[[#This Row],[DotPos]] + 2, tblPassengerNames[[#This Row],[EndOfConvFNPos]] - tblPassengerNames[[#This Row],[DotPos]] - 1)</f>
        <v>Richard George</v>
      </c>
      <c r="K450" t="e">
        <f>MID(tblPassengerNames[[#This Row],[Name]], tblPassengerNames[[#This Row],[OpenParPos]] + 1, tblPassengerNames[[#This Row],[CloseParPos]] - tblPassengerNames[[#This Row],[OpenParPos]] - 1)</f>
        <v>#VALUE!</v>
      </c>
      <c r="L450" t="e">
        <f>IF(AND(LEFT(tblPassengerNames[[#This Row],[InParentheses]], 1) = "'", RIGHT(tblPassengerNames[[#This Row],[InParentheses]], 1) = "'"),
    #VALUE!,
    tblPassengerNames[[#This Row],[InParentheses]]
)</f>
        <v>#VALUE!</v>
      </c>
      <c r="M450" t="e">
        <f>LEN(tblPassengerNames[[#This Row],[InParenthesesCleaned]]) - LEN(SUBSTITUTE(tblPassengerNames[[#This Row],[InParenthesesCleaned]], " ", ""))</f>
        <v>#VALUE!</v>
      </c>
      <c r="N450" t="e">
        <f>FIND("@", SUBSTITUTE(tblPassengerNames[[#This Row],[InParenthesesCleaned]], " ", "@", tblPassengerNames[[#This Row],[P_NSpaces]]))</f>
        <v>#VALUE!</v>
      </c>
      <c r="O450" t="e">
        <f>IF(tblPassengerNames[[#This Row],[P_NSpaces]] = 0,
    tblPassengerNames[[#This Row],[InParenthesesCleaned]],
    LEFT(tblPassengerNames[[#This Row],[InParenthesesCleaned]], tblPassengerNames[[#This Row],[P_FinalSpacePos]] - 1)
)</f>
        <v>#VALUE!</v>
      </c>
      <c r="P450" t="str">
        <f>IFERROR(tblPassengerNames[[#This Row],[P_Forenames]], tblPassengerNames[[#This Row],[ConvForenames]])</f>
        <v>Richard George</v>
      </c>
      <c r="Q450" t="str">
        <f>MID(tblPassengerNames[[#This Row],[Name]], tblPassengerNames[[#This Row],[CommaPos]] + 2, tblPassengerNames[[#This Row],[DotPos]] - tblPassengerNames[[#This Row],[CommaPos]] - 1)</f>
        <v>Mr.</v>
      </c>
      <c r="R450" t="str">
        <f>LEFT(tblPassengerNames[[#This Row],[Name]], tblPassengerNames[[#This Row],[CommaPos]] - 1)</f>
        <v>Hocking</v>
      </c>
    </row>
    <row r="451" spans="2:18" x14ac:dyDescent="0.25">
      <c r="B451" s="21">
        <v>449</v>
      </c>
      <c r="C451" s="21" t="s">
        <v>585</v>
      </c>
      <c r="D451" s="21" t="s">
        <v>138</v>
      </c>
      <c r="E451">
        <f>FIND(",", tblPassengerNames[[#This Row],[Name]])</f>
        <v>8</v>
      </c>
      <c r="F451">
        <f>FIND(".", tblPassengerNames[[#This Row],[Name]])</f>
        <v>12</v>
      </c>
      <c r="G451" t="e">
        <f>FIND("(", tblPassengerNames[[#This Row],[Name]])</f>
        <v>#VALUE!</v>
      </c>
      <c r="H451" t="e">
        <f>FIND(")", tblPassengerNames[[#This Row],[Name]])</f>
        <v>#VALUE!</v>
      </c>
      <c r="I451">
        <f>IFERROR(tblPassengerNames[[#This Row],[OpenParPos]] - 2, LEN(tblPassengerNames[[#This Row],[Name]]))</f>
        <v>34</v>
      </c>
      <c r="J451" t="str">
        <f>MID(tblPassengerNames[[#This Row],[Name]], tblPassengerNames[[#This Row],[DotPos]] + 2, tblPassengerNames[[#This Row],[EndOfConvFNPos]] - tblPassengerNames[[#This Row],[DotPos]] - 1)</f>
        <v>Samuel James Metcalfe</v>
      </c>
      <c r="K451" t="e">
        <f>MID(tblPassengerNames[[#This Row],[Name]], tblPassengerNames[[#This Row],[OpenParPos]] + 1, tblPassengerNames[[#This Row],[CloseParPos]] - tblPassengerNames[[#This Row],[OpenParPos]] - 1)</f>
        <v>#VALUE!</v>
      </c>
      <c r="L451" t="e">
        <f>IF(AND(LEFT(tblPassengerNames[[#This Row],[InParentheses]], 1) = "'", RIGHT(tblPassengerNames[[#This Row],[InParentheses]], 1) = "'"),
    #VALUE!,
    tblPassengerNames[[#This Row],[InParentheses]]
)</f>
        <v>#VALUE!</v>
      </c>
      <c r="M451" t="e">
        <f>LEN(tblPassengerNames[[#This Row],[InParenthesesCleaned]]) - LEN(SUBSTITUTE(tblPassengerNames[[#This Row],[InParenthesesCleaned]], " ", ""))</f>
        <v>#VALUE!</v>
      </c>
      <c r="N451" t="e">
        <f>FIND("@", SUBSTITUTE(tblPassengerNames[[#This Row],[InParenthesesCleaned]], " ", "@", tblPassengerNames[[#This Row],[P_NSpaces]]))</f>
        <v>#VALUE!</v>
      </c>
      <c r="O451" t="e">
        <f>IF(tblPassengerNames[[#This Row],[P_NSpaces]] = 0,
    tblPassengerNames[[#This Row],[InParenthesesCleaned]],
    LEFT(tblPassengerNames[[#This Row],[InParenthesesCleaned]], tblPassengerNames[[#This Row],[P_FinalSpacePos]] - 1)
)</f>
        <v>#VALUE!</v>
      </c>
      <c r="P451" t="str">
        <f>IFERROR(tblPassengerNames[[#This Row],[P_Forenames]], tblPassengerNames[[#This Row],[ConvForenames]])</f>
        <v>Samuel James Metcalfe</v>
      </c>
      <c r="Q451" t="str">
        <f>MID(tblPassengerNames[[#This Row],[Name]], tblPassengerNames[[#This Row],[CommaPos]] + 2, tblPassengerNames[[#This Row],[DotPos]] - tblPassengerNames[[#This Row],[CommaPos]] - 1)</f>
        <v>Mr.</v>
      </c>
      <c r="R451" t="str">
        <f>LEFT(tblPassengerNames[[#This Row],[Name]], tblPassengerNames[[#This Row],[CommaPos]] - 1)</f>
        <v>Hocking</v>
      </c>
    </row>
    <row r="452" spans="2:18" x14ac:dyDescent="0.25">
      <c r="B452" s="21">
        <v>450</v>
      </c>
      <c r="C452" s="21" t="s">
        <v>586</v>
      </c>
      <c r="D452" s="21" t="s">
        <v>136</v>
      </c>
      <c r="E452">
        <f>FIND(",", tblPassengerNames[[#This Row],[Name]])</f>
        <v>8</v>
      </c>
      <c r="F452">
        <f>FIND(".", tblPassengerNames[[#This Row],[Name]])</f>
        <v>13</v>
      </c>
      <c r="G452">
        <f>FIND("(", tblPassengerNames[[#This Row],[Name]])</f>
        <v>25</v>
      </c>
      <c r="H452">
        <f>FIND(")", tblPassengerNames[[#This Row],[Name]])</f>
        <v>37</v>
      </c>
      <c r="I452">
        <f>IFERROR(tblPassengerNames[[#This Row],[OpenParPos]] - 2, LEN(tblPassengerNames[[#This Row],[Name]]))</f>
        <v>23</v>
      </c>
      <c r="J452" t="str">
        <f>MID(tblPassengerNames[[#This Row],[Name]], tblPassengerNames[[#This Row],[DotPos]] + 2, tblPassengerNames[[#This Row],[EndOfConvFNPos]] - tblPassengerNames[[#This Row],[DotPos]] - 1)</f>
        <v>Elizabeth</v>
      </c>
      <c r="K452" t="str">
        <f>MID(tblPassengerNames[[#This Row],[Name]], tblPassengerNames[[#This Row],[OpenParPos]] + 1, tblPassengerNames[[#This Row],[CloseParPos]] - tblPassengerNames[[#This Row],[OpenParPos]] - 1)</f>
        <v>Eliza Needs</v>
      </c>
      <c r="L452" t="str">
        <f>IF(AND(LEFT(tblPassengerNames[[#This Row],[InParentheses]], 1) = "'", RIGHT(tblPassengerNames[[#This Row],[InParentheses]], 1) = "'"),
    #VALUE!,
    tblPassengerNames[[#This Row],[InParentheses]]
)</f>
        <v>Eliza Needs</v>
      </c>
      <c r="M452">
        <f>LEN(tblPassengerNames[[#This Row],[InParenthesesCleaned]]) - LEN(SUBSTITUTE(tblPassengerNames[[#This Row],[InParenthesesCleaned]], " ", ""))</f>
        <v>1</v>
      </c>
      <c r="N452">
        <f>FIND("@", SUBSTITUTE(tblPassengerNames[[#This Row],[InParenthesesCleaned]], " ", "@", tblPassengerNames[[#This Row],[P_NSpaces]]))</f>
        <v>6</v>
      </c>
      <c r="O452" t="str">
        <f>IF(tblPassengerNames[[#This Row],[P_NSpaces]] = 0,
    tblPassengerNames[[#This Row],[InParenthesesCleaned]],
    LEFT(tblPassengerNames[[#This Row],[InParenthesesCleaned]], tblPassengerNames[[#This Row],[P_FinalSpacePos]] - 1)
)</f>
        <v>Eliza</v>
      </c>
      <c r="P452" t="str">
        <f>IFERROR(tblPassengerNames[[#This Row],[P_Forenames]], tblPassengerNames[[#This Row],[ConvForenames]])</f>
        <v>Eliza</v>
      </c>
      <c r="Q452" t="str">
        <f>MID(tblPassengerNames[[#This Row],[Name]], tblPassengerNames[[#This Row],[CommaPos]] + 2, tblPassengerNames[[#This Row],[DotPos]] - tblPassengerNames[[#This Row],[CommaPos]] - 1)</f>
        <v>Mrs.</v>
      </c>
      <c r="R452" t="str">
        <f>LEFT(tblPassengerNames[[#This Row],[Name]], tblPassengerNames[[#This Row],[CommaPos]] - 1)</f>
        <v>Hocking</v>
      </c>
    </row>
    <row r="453" spans="2:18" x14ac:dyDescent="0.25">
      <c r="B453" s="21">
        <v>451</v>
      </c>
      <c r="C453" s="21" t="s">
        <v>587</v>
      </c>
      <c r="D453" s="21" t="s">
        <v>138</v>
      </c>
      <c r="E453">
        <f>FIND(",", tblPassengerNames[[#This Row],[Name]])</f>
        <v>7</v>
      </c>
      <c r="F453">
        <f>FIND(".", tblPassengerNames[[#This Row],[Name]])</f>
        <v>11</v>
      </c>
      <c r="G453" t="e">
        <f>FIND("(", tblPassengerNames[[#This Row],[Name]])</f>
        <v>#VALUE!</v>
      </c>
      <c r="H453" t="e">
        <f>FIND(")", tblPassengerNames[[#This Row],[Name]])</f>
        <v>#VALUE!</v>
      </c>
      <c r="I453">
        <f>IFERROR(tblPassengerNames[[#This Row],[OpenParPos]] - 2, LEN(tblPassengerNames[[#This Row],[Name]]))</f>
        <v>23</v>
      </c>
      <c r="J453" t="str">
        <f>MID(tblPassengerNames[[#This Row],[Name]], tblPassengerNames[[#This Row],[DotPos]] + 2, tblPassengerNames[[#This Row],[EndOfConvFNPos]] - tblPassengerNames[[#This Row],[DotPos]] - 1)</f>
        <v>Henry Price</v>
      </c>
      <c r="K453" t="e">
        <f>MID(tblPassengerNames[[#This Row],[Name]], tblPassengerNames[[#This Row],[OpenParPos]] + 1, tblPassengerNames[[#This Row],[CloseParPos]] - tblPassengerNames[[#This Row],[OpenParPos]] - 1)</f>
        <v>#VALUE!</v>
      </c>
      <c r="L453" t="e">
        <f>IF(AND(LEFT(tblPassengerNames[[#This Row],[InParentheses]], 1) = "'", RIGHT(tblPassengerNames[[#This Row],[InParentheses]], 1) = "'"),
    #VALUE!,
    tblPassengerNames[[#This Row],[InParentheses]]
)</f>
        <v>#VALUE!</v>
      </c>
      <c r="M453" t="e">
        <f>LEN(tblPassengerNames[[#This Row],[InParenthesesCleaned]]) - LEN(SUBSTITUTE(tblPassengerNames[[#This Row],[InParenthesesCleaned]], " ", ""))</f>
        <v>#VALUE!</v>
      </c>
      <c r="N453" t="e">
        <f>FIND("@", SUBSTITUTE(tblPassengerNames[[#This Row],[InParenthesesCleaned]], " ", "@", tblPassengerNames[[#This Row],[P_NSpaces]]))</f>
        <v>#VALUE!</v>
      </c>
      <c r="O453" t="e">
        <f>IF(tblPassengerNames[[#This Row],[P_NSpaces]] = 0,
    tblPassengerNames[[#This Row],[InParenthesesCleaned]],
    LEFT(tblPassengerNames[[#This Row],[InParenthesesCleaned]], tblPassengerNames[[#This Row],[P_FinalSpacePos]] - 1)
)</f>
        <v>#VALUE!</v>
      </c>
      <c r="P453" t="str">
        <f>IFERROR(tblPassengerNames[[#This Row],[P_Forenames]], tblPassengerNames[[#This Row],[ConvForenames]])</f>
        <v>Henry Price</v>
      </c>
      <c r="Q453" t="str">
        <f>MID(tblPassengerNames[[#This Row],[Name]], tblPassengerNames[[#This Row],[CommaPos]] + 2, tblPassengerNames[[#This Row],[DotPos]] - tblPassengerNames[[#This Row],[CommaPos]] - 1)</f>
        <v>Mr.</v>
      </c>
      <c r="R453" t="str">
        <f>LEFT(tblPassengerNames[[#This Row],[Name]], tblPassengerNames[[#This Row],[CommaPos]] - 1)</f>
        <v>Hodges</v>
      </c>
    </row>
    <row r="454" spans="2:18" x14ac:dyDescent="0.25">
      <c r="B454" s="21">
        <v>452</v>
      </c>
      <c r="C454" s="21" t="s">
        <v>588</v>
      </c>
      <c r="D454" s="21" t="s">
        <v>138</v>
      </c>
      <c r="E454">
        <f>FIND(",", tblPassengerNames[[#This Row],[Name]])</f>
        <v>5</v>
      </c>
      <c r="F454">
        <f>FIND(".", tblPassengerNames[[#This Row],[Name]])</f>
        <v>9</v>
      </c>
      <c r="G454" t="e">
        <f>FIND("(", tblPassengerNames[[#This Row],[Name]])</f>
        <v>#VALUE!</v>
      </c>
      <c r="H454" t="e">
        <f>FIND(")", tblPassengerNames[[#This Row],[Name]])</f>
        <v>#VALUE!</v>
      </c>
      <c r="I454">
        <f>IFERROR(tblPassengerNames[[#This Row],[OpenParPos]] - 2, LEN(tblPassengerNames[[#This Row],[Name]]))</f>
        <v>17</v>
      </c>
      <c r="J454" t="str">
        <f>MID(tblPassengerNames[[#This Row],[Name]], tblPassengerNames[[#This Row],[DotPos]] + 2, tblPassengerNames[[#This Row],[EndOfConvFNPos]] - tblPassengerNames[[#This Row],[DotPos]] - 1)</f>
        <v>Stephen</v>
      </c>
      <c r="K454" t="e">
        <f>MID(tblPassengerNames[[#This Row],[Name]], tblPassengerNames[[#This Row],[OpenParPos]] + 1, tblPassengerNames[[#This Row],[CloseParPos]] - tblPassengerNames[[#This Row],[OpenParPos]] - 1)</f>
        <v>#VALUE!</v>
      </c>
      <c r="L454" t="e">
        <f>IF(AND(LEFT(tblPassengerNames[[#This Row],[InParentheses]], 1) = "'", RIGHT(tblPassengerNames[[#This Row],[InParentheses]], 1) = "'"),
    #VALUE!,
    tblPassengerNames[[#This Row],[InParentheses]]
)</f>
        <v>#VALUE!</v>
      </c>
      <c r="M454" t="e">
        <f>LEN(tblPassengerNames[[#This Row],[InParenthesesCleaned]]) - LEN(SUBSTITUTE(tblPassengerNames[[#This Row],[InParenthesesCleaned]], " ", ""))</f>
        <v>#VALUE!</v>
      </c>
      <c r="N454" t="e">
        <f>FIND("@", SUBSTITUTE(tblPassengerNames[[#This Row],[InParenthesesCleaned]], " ", "@", tblPassengerNames[[#This Row],[P_NSpaces]]))</f>
        <v>#VALUE!</v>
      </c>
      <c r="O454" t="e">
        <f>IF(tblPassengerNames[[#This Row],[P_NSpaces]] = 0,
    tblPassengerNames[[#This Row],[InParenthesesCleaned]],
    LEFT(tblPassengerNames[[#This Row],[InParenthesesCleaned]], tblPassengerNames[[#This Row],[P_FinalSpacePos]] - 1)
)</f>
        <v>#VALUE!</v>
      </c>
      <c r="P454" t="str">
        <f>IFERROR(tblPassengerNames[[#This Row],[P_Forenames]], tblPassengerNames[[#This Row],[ConvForenames]])</f>
        <v>Stephen</v>
      </c>
      <c r="Q454" t="str">
        <f>MID(tblPassengerNames[[#This Row],[Name]], tblPassengerNames[[#This Row],[CommaPos]] + 2, tblPassengerNames[[#This Row],[DotPos]] - tblPassengerNames[[#This Row],[CommaPos]] - 1)</f>
        <v>Mr.</v>
      </c>
      <c r="R454" t="str">
        <f>LEFT(tblPassengerNames[[#This Row],[Name]], tblPassengerNames[[#This Row],[CommaPos]] - 1)</f>
        <v>Hold</v>
      </c>
    </row>
    <row r="455" spans="2:18" x14ac:dyDescent="0.25">
      <c r="B455" s="21">
        <v>453</v>
      </c>
      <c r="C455" s="21" t="s">
        <v>589</v>
      </c>
      <c r="D455" s="21" t="s">
        <v>136</v>
      </c>
      <c r="E455">
        <f>FIND(",", tblPassengerNames[[#This Row],[Name]])</f>
        <v>5</v>
      </c>
      <c r="F455">
        <f>FIND(".", tblPassengerNames[[#This Row],[Name]])</f>
        <v>10</v>
      </c>
      <c r="G455">
        <f>FIND("(", tblPassengerNames[[#This Row],[Name]])</f>
        <v>20</v>
      </c>
      <c r="H455">
        <f>FIND(")", tblPassengerNames[[#This Row],[Name]])</f>
        <v>40</v>
      </c>
      <c r="I455">
        <f>IFERROR(tblPassengerNames[[#This Row],[OpenParPos]] - 2, LEN(tblPassengerNames[[#This Row],[Name]]))</f>
        <v>18</v>
      </c>
      <c r="J455" t="str">
        <f>MID(tblPassengerNames[[#This Row],[Name]], tblPassengerNames[[#This Row],[DotPos]] + 2, tblPassengerNames[[#This Row],[EndOfConvFNPos]] - tblPassengerNames[[#This Row],[DotPos]] - 1)</f>
        <v>Stephen</v>
      </c>
      <c r="K455" t="str">
        <f>MID(tblPassengerNames[[#This Row],[Name]], tblPassengerNames[[#This Row],[OpenParPos]] + 1, tblPassengerNames[[#This Row],[CloseParPos]] - tblPassengerNames[[#This Row],[OpenParPos]] - 1)</f>
        <v>Annie Margaret Hill</v>
      </c>
      <c r="L455" t="str">
        <f>IF(AND(LEFT(tblPassengerNames[[#This Row],[InParentheses]], 1) = "'", RIGHT(tblPassengerNames[[#This Row],[InParentheses]], 1) = "'"),
    #VALUE!,
    tblPassengerNames[[#This Row],[InParentheses]]
)</f>
        <v>Annie Margaret Hill</v>
      </c>
      <c r="M455">
        <f>LEN(tblPassengerNames[[#This Row],[InParenthesesCleaned]]) - LEN(SUBSTITUTE(tblPassengerNames[[#This Row],[InParenthesesCleaned]], " ", ""))</f>
        <v>2</v>
      </c>
      <c r="N455">
        <f>FIND("@", SUBSTITUTE(tblPassengerNames[[#This Row],[InParenthesesCleaned]], " ", "@", tblPassengerNames[[#This Row],[P_NSpaces]]))</f>
        <v>15</v>
      </c>
      <c r="O455" t="str">
        <f>IF(tblPassengerNames[[#This Row],[P_NSpaces]] = 0,
    tblPassengerNames[[#This Row],[InParenthesesCleaned]],
    LEFT(tblPassengerNames[[#This Row],[InParenthesesCleaned]], tblPassengerNames[[#This Row],[P_FinalSpacePos]] - 1)
)</f>
        <v>Annie Margaret</v>
      </c>
      <c r="P455" t="str">
        <f>IFERROR(tblPassengerNames[[#This Row],[P_Forenames]], tblPassengerNames[[#This Row],[ConvForenames]])</f>
        <v>Annie Margaret</v>
      </c>
      <c r="Q455" t="str">
        <f>MID(tblPassengerNames[[#This Row],[Name]], tblPassengerNames[[#This Row],[CommaPos]] + 2, tblPassengerNames[[#This Row],[DotPos]] - tblPassengerNames[[#This Row],[CommaPos]] - 1)</f>
        <v>Mrs.</v>
      </c>
      <c r="R455" t="str">
        <f>LEFT(tblPassengerNames[[#This Row],[Name]], tblPassengerNames[[#This Row],[CommaPos]] - 1)</f>
        <v>Hold</v>
      </c>
    </row>
    <row r="456" spans="2:18" x14ac:dyDescent="0.25">
      <c r="B456" s="21">
        <v>454</v>
      </c>
      <c r="C456" s="21" t="s">
        <v>590</v>
      </c>
      <c r="D456" s="21" t="s">
        <v>138</v>
      </c>
      <c r="E456">
        <f>FIND(",", tblPassengerNames[[#This Row],[Name]])</f>
        <v>5</v>
      </c>
      <c r="F456">
        <f>FIND(".", tblPassengerNames[[#This Row],[Name]])</f>
        <v>9</v>
      </c>
      <c r="G456" t="e">
        <f>FIND("(", tblPassengerNames[[#This Row],[Name]])</f>
        <v>#VALUE!</v>
      </c>
      <c r="H456" t="e">
        <f>FIND(")", tblPassengerNames[[#This Row],[Name]])</f>
        <v>#VALUE!</v>
      </c>
      <c r="I456">
        <f>IFERROR(tblPassengerNames[[#This Row],[OpenParPos]] - 2, LEN(tblPassengerNames[[#This Row],[Name]]))</f>
        <v>20</v>
      </c>
      <c r="J456" t="str">
        <f>MID(tblPassengerNames[[#This Row],[Name]], tblPassengerNames[[#This Row],[DotPos]] + 2, tblPassengerNames[[#This Row],[EndOfConvFNPos]] - tblPassengerNames[[#This Row],[DotPos]] - 1)</f>
        <v>Ambrose Jr</v>
      </c>
      <c r="K456" t="e">
        <f>MID(tblPassengerNames[[#This Row],[Name]], tblPassengerNames[[#This Row],[OpenParPos]] + 1, tblPassengerNames[[#This Row],[CloseParPos]] - tblPassengerNames[[#This Row],[OpenParPos]] - 1)</f>
        <v>#VALUE!</v>
      </c>
      <c r="L456" t="e">
        <f>IF(AND(LEFT(tblPassengerNames[[#This Row],[InParentheses]], 1) = "'", RIGHT(tblPassengerNames[[#This Row],[InParentheses]], 1) = "'"),
    #VALUE!,
    tblPassengerNames[[#This Row],[InParentheses]]
)</f>
        <v>#VALUE!</v>
      </c>
      <c r="M456" t="e">
        <f>LEN(tblPassengerNames[[#This Row],[InParenthesesCleaned]]) - LEN(SUBSTITUTE(tblPassengerNames[[#This Row],[InParenthesesCleaned]], " ", ""))</f>
        <v>#VALUE!</v>
      </c>
      <c r="N456" t="e">
        <f>FIND("@", SUBSTITUTE(tblPassengerNames[[#This Row],[InParenthesesCleaned]], " ", "@", tblPassengerNames[[#This Row],[P_NSpaces]]))</f>
        <v>#VALUE!</v>
      </c>
      <c r="O456" t="e">
        <f>IF(tblPassengerNames[[#This Row],[P_NSpaces]] = 0,
    tblPassengerNames[[#This Row],[InParenthesesCleaned]],
    LEFT(tblPassengerNames[[#This Row],[InParenthesesCleaned]], tblPassengerNames[[#This Row],[P_FinalSpacePos]] - 1)
)</f>
        <v>#VALUE!</v>
      </c>
      <c r="P456" t="str">
        <f>IFERROR(tblPassengerNames[[#This Row],[P_Forenames]], tblPassengerNames[[#This Row],[ConvForenames]])</f>
        <v>Ambrose Jr</v>
      </c>
      <c r="Q456" t="str">
        <f>MID(tblPassengerNames[[#This Row],[Name]], tblPassengerNames[[#This Row],[CommaPos]] + 2, tblPassengerNames[[#This Row],[DotPos]] - tblPassengerNames[[#This Row],[CommaPos]] - 1)</f>
        <v>Mr.</v>
      </c>
      <c r="R456" t="str">
        <f>LEFT(tblPassengerNames[[#This Row],[Name]], tblPassengerNames[[#This Row],[CommaPos]] - 1)</f>
        <v>Hood</v>
      </c>
    </row>
    <row r="457" spans="2:18" x14ac:dyDescent="0.25">
      <c r="B457" s="21">
        <v>455</v>
      </c>
      <c r="C457" s="21" t="s">
        <v>591</v>
      </c>
      <c r="D457" s="21" t="s">
        <v>138</v>
      </c>
      <c r="E457">
        <f>FIND(",", tblPassengerNames[[#This Row],[Name]])</f>
        <v>7</v>
      </c>
      <c r="F457">
        <f>FIND(".", tblPassengerNames[[#This Row],[Name]])</f>
        <v>11</v>
      </c>
      <c r="G457" t="e">
        <f>FIND("(", tblPassengerNames[[#This Row],[Name]])</f>
        <v>#VALUE!</v>
      </c>
      <c r="H457" t="e">
        <f>FIND(")", tblPassengerNames[[#This Row],[Name]])</f>
        <v>#VALUE!</v>
      </c>
      <c r="I457">
        <f>IFERROR(tblPassengerNames[[#This Row],[OpenParPos]] - 2, LEN(tblPassengerNames[[#This Row],[Name]]))</f>
        <v>20</v>
      </c>
      <c r="J457" t="str">
        <f>MID(tblPassengerNames[[#This Row],[Name]], tblPassengerNames[[#This Row],[DotPos]] + 2, tblPassengerNames[[#This Row],[EndOfConvFNPos]] - tblPassengerNames[[#This Row],[DotPos]] - 1)</f>
        <v>Masabumi</v>
      </c>
      <c r="K457" t="e">
        <f>MID(tblPassengerNames[[#This Row],[Name]], tblPassengerNames[[#This Row],[OpenParPos]] + 1, tblPassengerNames[[#This Row],[CloseParPos]] - tblPassengerNames[[#This Row],[OpenParPos]] - 1)</f>
        <v>#VALUE!</v>
      </c>
      <c r="L457" t="e">
        <f>IF(AND(LEFT(tblPassengerNames[[#This Row],[InParentheses]], 1) = "'", RIGHT(tblPassengerNames[[#This Row],[InParentheses]], 1) = "'"),
    #VALUE!,
    tblPassengerNames[[#This Row],[InParentheses]]
)</f>
        <v>#VALUE!</v>
      </c>
      <c r="M457" t="e">
        <f>LEN(tblPassengerNames[[#This Row],[InParenthesesCleaned]]) - LEN(SUBSTITUTE(tblPassengerNames[[#This Row],[InParenthesesCleaned]], " ", ""))</f>
        <v>#VALUE!</v>
      </c>
      <c r="N457" t="e">
        <f>FIND("@", SUBSTITUTE(tblPassengerNames[[#This Row],[InParenthesesCleaned]], " ", "@", tblPassengerNames[[#This Row],[P_NSpaces]]))</f>
        <v>#VALUE!</v>
      </c>
      <c r="O457" t="e">
        <f>IF(tblPassengerNames[[#This Row],[P_NSpaces]] = 0,
    tblPassengerNames[[#This Row],[InParenthesesCleaned]],
    LEFT(tblPassengerNames[[#This Row],[InParenthesesCleaned]], tblPassengerNames[[#This Row],[P_FinalSpacePos]] - 1)
)</f>
        <v>#VALUE!</v>
      </c>
      <c r="P457" t="str">
        <f>IFERROR(tblPassengerNames[[#This Row],[P_Forenames]], tblPassengerNames[[#This Row],[ConvForenames]])</f>
        <v>Masabumi</v>
      </c>
      <c r="Q457" t="str">
        <f>MID(tblPassengerNames[[#This Row],[Name]], tblPassengerNames[[#This Row],[CommaPos]] + 2, tblPassengerNames[[#This Row],[DotPos]] - tblPassengerNames[[#This Row],[CommaPos]] - 1)</f>
        <v>Mr.</v>
      </c>
      <c r="R457" t="str">
        <f>LEFT(tblPassengerNames[[#This Row],[Name]], tblPassengerNames[[#This Row],[CommaPos]] - 1)</f>
        <v>Hosono</v>
      </c>
    </row>
    <row r="458" spans="2:18" x14ac:dyDescent="0.25">
      <c r="B458" s="21">
        <v>456</v>
      </c>
      <c r="C458" s="21" t="s">
        <v>592</v>
      </c>
      <c r="D458" s="21" t="s">
        <v>138</v>
      </c>
      <c r="E458">
        <f>FIND(",", tblPassengerNames[[#This Row],[Name]])</f>
        <v>7</v>
      </c>
      <c r="F458">
        <f>FIND(".", tblPassengerNames[[#This Row],[Name]])</f>
        <v>11</v>
      </c>
      <c r="G458" t="e">
        <f>FIND("(", tblPassengerNames[[#This Row],[Name]])</f>
        <v>#VALUE!</v>
      </c>
      <c r="H458" t="e">
        <f>FIND(")", tblPassengerNames[[#This Row],[Name]])</f>
        <v>#VALUE!</v>
      </c>
      <c r="I458">
        <f>IFERROR(tblPassengerNames[[#This Row],[OpenParPos]] - 2, LEN(tblPassengerNames[[#This Row],[Name]]))</f>
        <v>20</v>
      </c>
      <c r="J458" t="str">
        <f>MID(tblPassengerNames[[#This Row],[Name]], tblPassengerNames[[#This Row],[DotPos]] + 2, tblPassengerNames[[#This Row],[EndOfConvFNPos]] - tblPassengerNames[[#This Row],[DotPos]] - 1)</f>
        <v>Benjamin</v>
      </c>
      <c r="K458" t="e">
        <f>MID(tblPassengerNames[[#This Row],[Name]], tblPassengerNames[[#This Row],[OpenParPos]] + 1, tblPassengerNames[[#This Row],[CloseParPos]] - tblPassengerNames[[#This Row],[OpenParPos]] - 1)</f>
        <v>#VALUE!</v>
      </c>
      <c r="L458" t="e">
        <f>IF(AND(LEFT(tblPassengerNames[[#This Row],[InParentheses]], 1) = "'", RIGHT(tblPassengerNames[[#This Row],[InParentheses]], 1) = "'"),
    #VALUE!,
    tblPassengerNames[[#This Row],[InParentheses]]
)</f>
        <v>#VALUE!</v>
      </c>
      <c r="M458" t="e">
        <f>LEN(tblPassengerNames[[#This Row],[InParenthesesCleaned]]) - LEN(SUBSTITUTE(tblPassengerNames[[#This Row],[InParenthesesCleaned]], " ", ""))</f>
        <v>#VALUE!</v>
      </c>
      <c r="N458" t="e">
        <f>FIND("@", SUBSTITUTE(tblPassengerNames[[#This Row],[InParenthesesCleaned]], " ", "@", tblPassengerNames[[#This Row],[P_NSpaces]]))</f>
        <v>#VALUE!</v>
      </c>
      <c r="O458" t="e">
        <f>IF(tblPassengerNames[[#This Row],[P_NSpaces]] = 0,
    tblPassengerNames[[#This Row],[InParenthesesCleaned]],
    LEFT(tblPassengerNames[[#This Row],[InParenthesesCleaned]], tblPassengerNames[[#This Row],[P_FinalSpacePos]] - 1)
)</f>
        <v>#VALUE!</v>
      </c>
      <c r="P458" t="str">
        <f>IFERROR(tblPassengerNames[[#This Row],[P_Forenames]], tblPassengerNames[[#This Row],[ConvForenames]])</f>
        <v>Benjamin</v>
      </c>
      <c r="Q458" t="str">
        <f>MID(tblPassengerNames[[#This Row],[Name]], tblPassengerNames[[#This Row],[CommaPos]] + 2, tblPassengerNames[[#This Row],[DotPos]] - tblPassengerNames[[#This Row],[CommaPos]] - 1)</f>
        <v>Mr.</v>
      </c>
      <c r="R458" t="str">
        <f>LEFT(tblPassengerNames[[#This Row],[Name]], tblPassengerNames[[#This Row],[CommaPos]] - 1)</f>
        <v>Howard</v>
      </c>
    </row>
    <row r="459" spans="2:18" x14ac:dyDescent="0.25">
      <c r="B459" s="21">
        <v>457</v>
      </c>
      <c r="C459" s="21" t="s">
        <v>593</v>
      </c>
      <c r="D459" s="21" t="s">
        <v>136</v>
      </c>
      <c r="E459">
        <f>FIND(",", tblPassengerNames[[#This Row],[Name]])</f>
        <v>7</v>
      </c>
      <c r="F459">
        <f>FIND(".", tblPassengerNames[[#This Row],[Name]])</f>
        <v>12</v>
      </c>
      <c r="G459">
        <f>FIND("(", tblPassengerNames[[#This Row],[Name]])</f>
        <v>23</v>
      </c>
      <c r="H459">
        <f>FIND(")", tblPassengerNames[[#This Row],[Name]])</f>
        <v>44</v>
      </c>
      <c r="I459">
        <f>IFERROR(tblPassengerNames[[#This Row],[OpenParPos]] - 2, LEN(tblPassengerNames[[#This Row],[Name]]))</f>
        <v>21</v>
      </c>
      <c r="J459" t="str">
        <f>MID(tblPassengerNames[[#This Row],[Name]], tblPassengerNames[[#This Row],[DotPos]] + 2, tblPassengerNames[[#This Row],[EndOfConvFNPos]] - tblPassengerNames[[#This Row],[DotPos]] - 1)</f>
        <v>Benjamin</v>
      </c>
      <c r="K459" t="str">
        <f>MID(tblPassengerNames[[#This Row],[Name]], tblPassengerNames[[#This Row],[OpenParPos]] + 1, tblPassengerNames[[#This Row],[CloseParPos]] - tblPassengerNames[[#This Row],[OpenParPos]] - 1)</f>
        <v>Ellen Truelove Arman</v>
      </c>
      <c r="L459" t="str">
        <f>IF(AND(LEFT(tblPassengerNames[[#This Row],[InParentheses]], 1) = "'", RIGHT(tblPassengerNames[[#This Row],[InParentheses]], 1) = "'"),
    #VALUE!,
    tblPassengerNames[[#This Row],[InParentheses]]
)</f>
        <v>Ellen Truelove Arman</v>
      </c>
      <c r="M459">
        <f>LEN(tblPassengerNames[[#This Row],[InParenthesesCleaned]]) - LEN(SUBSTITUTE(tblPassengerNames[[#This Row],[InParenthesesCleaned]], " ", ""))</f>
        <v>2</v>
      </c>
      <c r="N459">
        <f>FIND("@", SUBSTITUTE(tblPassengerNames[[#This Row],[InParenthesesCleaned]], " ", "@", tblPassengerNames[[#This Row],[P_NSpaces]]))</f>
        <v>15</v>
      </c>
      <c r="O459" t="str">
        <f>IF(tblPassengerNames[[#This Row],[P_NSpaces]] = 0,
    tblPassengerNames[[#This Row],[InParenthesesCleaned]],
    LEFT(tblPassengerNames[[#This Row],[InParenthesesCleaned]], tblPassengerNames[[#This Row],[P_FinalSpacePos]] - 1)
)</f>
        <v>Ellen Truelove</v>
      </c>
      <c r="P459" t="str">
        <f>IFERROR(tblPassengerNames[[#This Row],[P_Forenames]], tblPassengerNames[[#This Row],[ConvForenames]])</f>
        <v>Ellen Truelove</v>
      </c>
      <c r="Q459" t="str">
        <f>MID(tblPassengerNames[[#This Row],[Name]], tblPassengerNames[[#This Row],[CommaPos]] + 2, tblPassengerNames[[#This Row],[DotPos]] - tblPassengerNames[[#This Row],[CommaPos]] - 1)</f>
        <v>Mrs.</v>
      </c>
      <c r="R459" t="str">
        <f>LEFT(tblPassengerNames[[#This Row],[Name]], tblPassengerNames[[#This Row],[CommaPos]] - 1)</f>
        <v>Howard</v>
      </c>
    </row>
    <row r="460" spans="2:18" x14ac:dyDescent="0.25">
      <c r="B460" s="21">
        <v>458</v>
      </c>
      <c r="C460" s="21" t="s">
        <v>594</v>
      </c>
      <c r="D460" s="21" t="s">
        <v>138</v>
      </c>
      <c r="E460">
        <f>FIND(",", tblPassengerNames[[#This Row],[Name]])</f>
        <v>5</v>
      </c>
      <c r="F460">
        <f>FIND(".", tblPassengerNames[[#This Row],[Name]])</f>
        <v>9</v>
      </c>
      <c r="G460" t="e">
        <f>FIND("(", tblPassengerNames[[#This Row],[Name]])</f>
        <v>#VALUE!</v>
      </c>
      <c r="H460" t="e">
        <f>FIND(")", tblPassengerNames[[#This Row],[Name]])</f>
        <v>#VALUE!</v>
      </c>
      <c r="I460">
        <f>IFERROR(tblPassengerNames[[#This Row],[OpenParPos]] - 2, LEN(tblPassengerNames[[#This Row],[Name]]))</f>
        <v>22</v>
      </c>
      <c r="J460" t="str">
        <f>MID(tblPassengerNames[[#This Row],[Name]], tblPassengerNames[[#This Row],[DotPos]] + 2, tblPassengerNames[[#This Row],[EndOfConvFNPos]] - tblPassengerNames[[#This Row],[DotPos]] - 1)</f>
        <v>George Henry</v>
      </c>
      <c r="K460" t="e">
        <f>MID(tblPassengerNames[[#This Row],[Name]], tblPassengerNames[[#This Row],[OpenParPos]] + 1, tblPassengerNames[[#This Row],[CloseParPos]] - tblPassengerNames[[#This Row],[OpenParPos]] - 1)</f>
        <v>#VALUE!</v>
      </c>
      <c r="L460" t="e">
        <f>IF(AND(LEFT(tblPassengerNames[[#This Row],[InParentheses]], 1) = "'", RIGHT(tblPassengerNames[[#This Row],[InParentheses]], 1) = "'"),
    #VALUE!,
    tblPassengerNames[[#This Row],[InParentheses]]
)</f>
        <v>#VALUE!</v>
      </c>
      <c r="M460" t="e">
        <f>LEN(tblPassengerNames[[#This Row],[InParenthesesCleaned]]) - LEN(SUBSTITUTE(tblPassengerNames[[#This Row],[InParenthesesCleaned]], " ", ""))</f>
        <v>#VALUE!</v>
      </c>
      <c r="N460" t="e">
        <f>FIND("@", SUBSTITUTE(tblPassengerNames[[#This Row],[InParenthesesCleaned]], " ", "@", tblPassengerNames[[#This Row],[P_NSpaces]]))</f>
        <v>#VALUE!</v>
      </c>
      <c r="O460" t="e">
        <f>IF(tblPassengerNames[[#This Row],[P_NSpaces]] = 0,
    tblPassengerNames[[#This Row],[InParenthesesCleaned]],
    LEFT(tblPassengerNames[[#This Row],[InParenthesesCleaned]], tblPassengerNames[[#This Row],[P_FinalSpacePos]] - 1)
)</f>
        <v>#VALUE!</v>
      </c>
      <c r="P460" t="str">
        <f>IFERROR(tblPassengerNames[[#This Row],[P_Forenames]], tblPassengerNames[[#This Row],[ConvForenames]])</f>
        <v>George Henry</v>
      </c>
      <c r="Q460" t="str">
        <f>MID(tblPassengerNames[[#This Row],[Name]], tblPassengerNames[[#This Row],[CommaPos]] + 2, tblPassengerNames[[#This Row],[DotPos]] - tblPassengerNames[[#This Row],[CommaPos]] - 1)</f>
        <v>Mr.</v>
      </c>
      <c r="R460" t="str">
        <f>LEFT(tblPassengerNames[[#This Row],[Name]], tblPassengerNames[[#This Row],[CommaPos]] - 1)</f>
        <v>Hunt</v>
      </c>
    </row>
    <row r="461" spans="2:18" x14ac:dyDescent="0.25">
      <c r="B461" s="21">
        <v>459</v>
      </c>
      <c r="C461" s="21" t="s">
        <v>595</v>
      </c>
      <c r="D461" s="21" t="s">
        <v>136</v>
      </c>
      <c r="E461">
        <f>FIND(",", tblPassengerNames[[#This Row],[Name]])</f>
        <v>6</v>
      </c>
      <c r="F461">
        <f>FIND(".", tblPassengerNames[[#This Row],[Name]])</f>
        <v>12</v>
      </c>
      <c r="G461" t="e">
        <f>FIND("(", tblPassengerNames[[#This Row],[Name]])</f>
        <v>#VALUE!</v>
      </c>
      <c r="H461" t="e">
        <f>FIND(")", tblPassengerNames[[#This Row],[Name]])</f>
        <v>#VALUE!</v>
      </c>
      <c r="I461">
        <f>IFERROR(tblPassengerNames[[#This Row],[OpenParPos]] - 2, LEN(tblPassengerNames[[#This Row],[Name]]))</f>
        <v>19</v>
      </c>
      <c r="J461" t="str">
        <f>MID(tblPassengerNames[[#This Row],[Name]], tblPassengerNames[[#This Row],[DotPos]] + 2, tblPassengerNames[[#This Row],[EndOfConvFNPos]] - tblPassengerNames[[#This Row],[DotPos]] - 1)</f>
        <v>Bertha</v>
      </c>
      <c r="K461" t="e">
        <f>MID(tblPassengerNames[[#This Row],[Name]], tblPassengerNames[[#This Row],[OpenParPos]] + 1, tblPassengerNames[[#This Row],[CloseParPos]] - tblPassengerNames[[#This Row],[OpenParPos]] - 1)</f>
        <v>#VALUE!</v>
      </c>
      <c r="L461" t="e">
        <f>IF(AND(LEFT(tblPassengerNames[[#This Row],[InParentheses]], 1) = "'", RIGHT(tblPassengerNames[[#This Row],[InParentheses]], 1) = "'"),
    #VALUE!,
    tblPassengerNames[[#This Row],[InParentheses]]
)</f>
        <v>#VALUE!</v>
      </c>
      <c r="M461" t="e">
        <f>LEN(tblPassengerNames[[#This Row],[InParenthesesCleaned]]) - LEN(SUBSTITUTE(tblPassengerNames[[#This Row],[InParenthesesCleaned]], " ", ""))</f>
        <v>#VALUE!</v>
      </c>
      <c r="N461" t="e">
        <f>FIND("@", SUBSTITUTE(tblPassengerNames[[#This Row],[InParenthesesCleaned]], " ", "@", tblPassengerNames[[#This Row],[P_NSpaces]]))</f>
        <v>#VALUE!</v>
      </c>
      <c r="O461" t="e">
        <f>IF(tblPassengerNames[[#This Row],[P_NSpaces]] = 0,
    tblPassengerNames[[#This Row],[InParenthesesCleaned]],
    LEFT(tblPassengerNames[[#This Row],[InParenthesesCleaned]], tblPassengerNames[[#This Row],[P_FinalSpacePos]] - 1)
)</f>
        <v>#VALUE!</v>
      </c>
      <c r="P461" t="str">
        <f>IFERROR(tblPassengerNames[[#This Row],[P_Forenames]], tblPassengerNames[[#This Row],[ConvForenames]])</f>
        <v>Bertha</v>
      </c>
      <c r="Q461" t="str">
        <f>MID(tblPassengerNames[[#This Row],[Name]], tblPassengerNames[[#This Row],[CommaPos]] + 2, tblPassengerNames[[#This Row],[DotPos]] - tblPassengerNames[[#This Row],[CommaPos]] - 1)</f>
        <v>Miss.</v>
      </c>
      <c r="R461" t="str">
        <f>LEFT(tblPassengerNames[[#This Row],[Name]], tblPassengerNames[[#This Row],[CommaPos]] - 1)</f>
        <v>Ilett</v>
      </c>
    </row>
    <row r="462" spans="2:18" x14ac:dyDescent="0.25">
      <c r="B462" s="21">
        <v>460</v>
      </c>
      <c r="C462" s="21" t="s">
        <v>596</v>
      </c>
      <c r="D462" s="21" t="s">
        <v>138</v>
      </c>
      <c r="E462">
        <f>FIND(",", tblPassengerNames[[#This Row],[Name]])</f>
        <v>10</v>
      </c>
      <c r="F462">
        <f>FIND(".", tblPassengerNames[[#This Row],[Name]])</f>
        <v>14</v>
      </c>
      <c r="G462" t="e">
        <f>FIND("(", tblPassengerNames[[#This Row],[Name]])</f>
        <v>#VALUE!</v>
      </c>
      <c r="H462" t="e">
        <f>FIND(")", tblPassengerNames[[#This Row],[Name]])</f>
        <v>#VALUE!</v>
      </c>
      <c r="I462">
        <f>IFERROR(tblPassengerNames[[#This Row],[OpenParPos]] - 2, LEN(tblPassengerNames[[#This Row],[Name]]))</f>
        <v>28</v>
      </c>
      <c r="J462" t="str">
        <f>MID(tblPassengerNames[[#This Row],[Name]], tblPassengerNames[[#This Row],[DotPos]] + 2, tblPassengerNames[[#This Row],[EndOfConvFNPos]] - tblPassengerNames[[#This Row],[DotPos]] - 1)</f>
        <v>Sidney Samuel</v>
      </c>
      <c r="K462" t="e">
        <f>MID(tblPassengerNames[[#This Row],[Name]], tblPassengerNames[[#This Row],[OpenParPos]] + 1, tblPassengerNames[[#This Row],[CloseParPos]] - tblPassengerNames[[#This Row],[OpenParPos]] - 1)</f>
        <v>#VALUE!</v>
      </c>
      <c r="L462" t="e">
        <f>IF(AND(LEFT(tblPassengerNames[[#This Row],[InParentheses]], 1) = "'", RIGHT(tblPassengerNames[[#This Row],[InParentheses]], 1) = "'"),
    #VALUE!,
    tblPassengerNames[[#This Row],[InParentheses]]
)</f>
        <v>#VALUE!</v>
      </c>
      <c r="M462" t="e">
        <f>LEN(tblPassengerNames[[#This Row],[InParenthesesCleaned]]) - LEN(SUBSTITUTE(tblPassengerNames[[#This Row],[InParenthesesCleaned]], " ", ""))</f>
        <v>#VALUE!</v>
      </c>
      <c r="N462" t="e">
        <f>FIND("@", SUBSTITUTE(tblPassengerNames[[#This Row],[InParenthesesCleaned]], " ", "@", tblPassengerNames[[#This Row],[P_NSpaces]]))</f>
        <v>#VALUE!</v>
      </c>
      <c r="O462" t="e">
        <f>IF(tblPassengerNames[[#This Row],[P_NSpaces]] = 0,
    tblPassengerNames[[#This Row],[InParenthesesCleaned]],
    LEFT(tblPassengerNames[[#This Row],[InParenthesesCleaned]], tblPassengerNames[[#This Row],[P_FinalSpacePos]] - 1)
)</f>
        <v>#VALUE!</v>
      </c>
      <c r="P462" t="str">
        <f>IFERROR(tblPassengerNames[[#This Row],[P_Forenames]], tblPassengerNames[[#This Row],[ConvForenames]])</f>
        <v>Sidney Samuel</v>
      </c>
      <c r="Q462" t="str">
        <f>MID(tblPassengerNames[[#This Row],[Name]], tblPassengerNames[[#This Row],[CommaPos]] + 2, tblPassengerNames[[#This Row],[DotPos]] - tblPassengerNames[[#This Row],[CommaPos]] - 1)</f>
        <v>Mr.</v>
      </c>
      <c r="R462" t="str">
        <f>LEFT(tblPassengerNames[[#This Row],[Name]], tblPassengerNames[[#This Row],[CommaPos]] - 1)</f>
        <v>Jacobsohn</v>
      </c>
    </row>
    <row r="463" spans="2:18" x14ac:dyDescent="0.25">
      <c r="B463" s="21">
        <v>461</v>
      </c>
      <c r="C463" s="21" t="s">
        <v>597</v>
      </c>
      <c r="D463" s="21" t="s">
        <v>136</v>
      </c>
      <c r="E463">
        <f>FIND(",", tblPassengerNames[[#This Row],[Name]])</f>
        <v>10</v>
      </c>
      <c r="F463">
        <f>FIND(".", tblPassengerNames[[#This Row],[Name]])</f>
        <v>15</v>
      </c>
      <c r="G463">
        <f>FIND("(", tblPassengerNames[[#This Row],[Name]])</f>
        <v>31</v>
      </c>
      <c r="H463">
        <f>FIND(")", tblPassengerNames[[#This Row],[Name]])</f>
        <v>51</v>
      </c>
      <c r="I463">
        <f>IFERROR(tblPassengerNames[[#This Row],[OpenParPos]] - 2, LEN(tblPassengerNames[[#This Row],[Name]]))</f>
        <v>29</v>
      </c>
      <c r="J463" t="str">
        <f>MID(tblPassengerNames[[#This Row],[Name]], tblPassengerNames[[#This Row],[DotPos]] + 2, tblPassengerNames[[#This Row],[EndOfConvFNPos]] - tblPassengerNames[[#This Row],[DotPos]] - 1)</f>
        <v>Sidney Samuel</v>
      </c>
      <c r="K463" t="str">
        <f>MID(tblPassengerNames[[#This Row],[Name]], tblPassengerNames[[#This Row],[OpenParPos]] + 1, tblPassengerNames[[#This Row],[CloseParPos]] - tblPassengerNames[[#This Row],[OpenParPos]] - 1)</f>
        <v>Amy Frances Christy</v>
      </c>
      <c r="L463" t="str">
        <f>IF(AND(LEFT(tblPassengerNames[[#This Row],[InParentheses]], 1) = "'", RIGHT(tblPassengerNames[[#This Row],[InParentheses]], 1) = "'"),
    #VALUE!,
    tblPassengerNames[[#This Row],[InParentheses]]
)</f>
        <v>Amy Frances Christy</v>
      </c>
      <c r="M463">
        <f>LEN(tblPassengerNames[[#This Row],[InParenthesesCleaned]]) - LEN(SUBSTITUTE(tblPassengerNames[[#This Row],[InParenthesesCleaned]], " ", ""))</f>
        <v>2</v>
      </c>
      <c r="N463">
        <f>FIND("@", SUBSTITUTE(tblPassengerNames[[#This Row],[InParenthesesCleaned]], " ", "@", tblPassengerNames[[#This Row],[P_NSpaces]]))</f>
        <v>12</v>
      </c>
      <c r="O463" t="str">
        <f>IF(tblPassengerNames[[#This Row],[P_NSpaces]] = 0,
    tblPassengerNames[[#This Row],[InParenthesesCleaned]],
    LEFT(tblPassengerNames[[#This Row],[InParenthesesCleaned]], tblPassengerNames[[#This Row],[P_FinalSpacePos]] - 1)
)</f>
        <v>Amy Frances</v>
      </c>
      <c r="P463" t="str">
        <f>IFERROR(tblPassengerNames[[#This Row],[P_Forenames]], tblPassengerNames[[#This Row],[ConvForenames]])</f>
        <v>Amy Frances</v>
      </c>
      <c r="Q463" t="str">
        <f>MID(tblPassengerNames[[#This Row],[Name]], tblPassengerNames[[#This Row],[CommaPos]] + 2, tblPassengerNames[[#This Row],[DotPos]] - tblPassengerNames[[#This Row],[CommaPos]] - 1)</f>
        <v>Mrs.</v>
      </c>
      <c r="R463" t="str">
        <f>LEFT(tblPassengerNames[[#This Row],[Name]], tblPassengerNames[[#This Row],[CommaPos]] - 1)</f>
        <v>Jacobsohn</v>
      </c>
    </row>
    <row r="464" spans="2:18" x14ac:dyDescent="0.25">
      <c r="B464" s="21">
        <v>462</v>
      </c>
      <c r="C464" s="21" t="s">
        <v>598</v>
      </c>
      <c r="D464" s="21" t="s">
        <v>138</v>
      </c>
      <c r="E464">
        <f>FIND(",", tblPassengerNames[[#This Row],[Name]])</f>
        <v>7</v>
      </c>
      <c r="F464">
        <f>FIND(".", tblPassengerNames[[#This Row],[Name]])</f>
        <v>11</v>
      </c>
      <c r="G464" t="e">
        <f>FIND("(", tblPassengerNames[[#This Row],[Name]])</f>
        <v>#VALUE!</v>
      </c>
      <c r="H464" t="e">
        <f>FIND(")", tblPassengerNames[[#This Row],[Name]])</f>
        <v>#VALUE!</v>
      </c>
      <c r="I464">
        <f>IFERROR(tblPassengerNames[[#This Row],[OpenParPos]] - 2, LEN(tblPassengerNames[[#This Row],[Name]]))</f>
        <v>23</v>
      </c>
      <c r="J464" t="str">
        <f>MID(tblPassengerNames[[#This Row],[Name]], tblPassengerNames[[#This Row],[DotPos]] + 2, tblPassengerNames[[#This Row],[EndOfConvFNPos]] - tblPassengerNames[[#This Row],[DotPos]] - 1)</f>
        <v>John Denzil</v>
      </c>
      <c r="K464" t="e">
        <f>MID(tblPassengerNames[[#This Row],[Name]], tblPassengerNames[[#This Row],[OpenParPos]] + 1, tblPassengerNames[[#This Row],[CloseParPos]] - tblPassengerNames[[#This Row],[OpenParPos]] - 1)</f>
        <v>#VALUE!</v>
      </c>
      <c r="L464" t="e">
        <f>IF(AND(LEFT(tblPassengerNames[[#This Row],[InParentheses]], 1) = "'", RIGHT(tblPassengerNames[[#This Row],[InParentheses]], 1) = "'"),
    #VALUE!,
    tblPassengerNames[[#This Row],[InParentheses]]
)</f>
        <v>#VALUE!</v>
      </c>
      <c r="M464" t="e">
        <f>LEN(tblPassengerNames[[#This Row],[InParenthesesCleaned]]) - LEN(SUBSTITUTE(tblPassengerNames[[#This Row],[InParenthesesCleaned]], " ", ""))</f>
        <v>#VALUE!</v>
      </c>
      <c r="N464" t="e">
        <f>FIND("@", SUBSTITUTE(tblPassengerNames[[#This Row],[InParenthesesCleaned]], " ", "@", tblPassengerNames[[#This Row],[P_NSpaces]]))</f>
        <v>#VALUE!</v>
      </c>
      <c r="O464" t="e">
        <f>IF(tblPassengerNames[[#This Row],[P_NSpaces]] = 0,
    tblPassengerNames[[#This Row],[InParenthesesCleaned]],
    LEFT(tblPassengerNames[[#This Row],[InParenthesesCleaned]], tblPassengerNames[[#This Row],[P_FinalSpacePos]] - 1)
)</f>
        <v>#VALUE!</v>
      </c>
      <c r="P464" t="str">
        <f>IFERROR(tblPassengerNames[[#This Row],[P_Forenames]], tblPassengerNames[[#This Row],[ConvForenames]])</f>
        <v>John Denzil</v>
      </c>
      <c r="Q464" t="str">
        <f>MID(tblPassengerNames[[#This Row],[Name]], tblPassengerNames[[#This Row],[CommaPos]] + 2, tblPassengerNames[[#This Row],[DotPos]] - tblPassengerNames[[#This Row],[CommaPos]] - 1)</f>
        <v>Mr.</v>
      </c>
      <c r="R464" t="str">
        <f>LEFT(tblPassengerNames[[#This Row],[Name]], tblPassengerNames[[#This Row],[CommaPos]] - 1)</f>
        <v>Jarvis</v>
      </c>
    </row>
    <row r="465" spans="2:18" x14ac:dyDescent="0.25">
      <c r="B465" s="21">
        <v>463</v>
      </c>
      <c r="C465" s="21" t="s">
        <v>599</v>
      </c>
      <c r="D465" s="21" t="s">
        <v>138</v>
      </c>
      <c r="E465">
        <f>FIND(",", tblPassengerNames[[#This Row],[Name]])</f>
        <v>9</v>
      </c>
      <c r="F465">
        <f>FIND(".", tblPassengerNames[[#This Row],[Name]])</f>
        <v>13</v>
      </c>
      <c r="G465" t="e">
        <f>FIND("(", tblPassengerNames[[#This Row],[Name]])</f>
        <v>#VALUE!</v>
      </c>
      <c r="H465" t="e">
        <f>FIND(")", tblPassengerNames[[#This Row],[Name]])</f>
        <v>#VALUE!</v>
      </c>
      <c r="I465">
        <f>IFERROR(tblPassengerNames[[#This Row],[OpenParPos]] - 2, LEN(tblPassengerNames[[#This Row],[Name]]))</f>
        <v>29</v>
      </c>
      <c r="J465" t="str">
        <f>MID(tblPassengerNames[[#This Row],[Name]], tblPassengerNames[[#This Row],[DotPos]] + 2, tblPassengerNames[[#This Row],[EndOfConvFNPos]] - tblPassengerNames[[#This Row],[DotPos]] - 1)</f>
        <v>Clifford Thomas</v>
      </c>
      <c r="K465" t="e">
        <f>MID(tblPassengerNames[[#This Row],[Name]], tblPassengerNames[[#This Row],[OpenParPos]] + 1, tblPassengerNames[[#This Row],[CloseParPos]] - tblPassengerNames[[#This Row],[OpenParPos]] - 1)</f>
        <v>#VALUE!</v>
      </c>
      <c r="L465" t="e">
        <f>IF(AND(LEFT(tblPassengerNames[[#This Row],[InParentheses]], 1) = "'", RIGHT(tblPassengerNames[[#This Row],[InParentheses]], 1) = "'"),
    #VALUE!,
    tblPassengerNames[[#This Row],[InParentheses]]
)</f>
        <v>#VALUE!</v>
      </c>
      <c r="M465" t="e">
        <f>LEN(tblPassengerNames[[#This Row],[InParenthesesCleaned]]) - LEN(SUBSTITUTE(tblPassengerNames[[#This Row],[InParenthesesCleaned]], " ", ""))</f>
        <v>#VALUE!</v>
      </c>
      <c r="N465" t="e">
        <f>FIND("@", SUBSTITUTE(tblPassengerNames[[#This Row],[InParenthesesCleaned]], " ", "@", tblPassengerNames[[#This Row],[P_NSpaces]]))</f>
        <v>#VALUE!</v>
      </c>
      <c r="O465" t="e">
        <f>IF(tblPassengerNames[[#This Row],[P_NSpaces]] = 0,
    tblPassengerNames[[#This Row],[InParenthesesCleaned]],
    LEFT(tblPassengerNames[[#This Row],[InParenthesesCleaned]], tblPassengerNames[[#This Row],[P_FinalSpacePos]] - 1)
)</f>
        <v>#VALUE!</v>
      </c>
      <c r="P465" t="str">
        <f>IFERROR(tblPassengerNames[[#This Row],[P_Forenames]], tblPassengerNames[[#This Row],[ConvForenames]])</f>
        <v>Clifford Thomas</v>
      </c>
      <c r="Q465" t="str">
        <f>MID(tblPassengerNames[[#This Row],[Name]], tblPassengerNames[[#This Row],[CommaPos]] + 2, tblPassengerNames[[#This Row],[DotPos]] - tblPassengerNames[[#This Row],[CommaPos]] - 1)</f>
        <v>Mr.</v>
      </c>
      <c r="R465" t="str">
        <f>LEFT(tblPassengerNames[[#This Row],[Name]], tblPassengerNames[[#This Row],[CommaPos]] - 1)</f>
        <v>Jefferys</v>
      </c>
    </row>
    <row r="466" spans="2:18" x14ac:dyDescent="0.25">
      <c r="B466" s="21">
        <v>464</v>
      </c>
      <c r="C466" s="21" t="s">
        <v>600</v>
      </c>
      <c r="D466" s="21" t="s">
        <v>138</v>
      </c>
      <c r="E466">
        <f>FIND(",", tblPassengerNames[[#This Row],[Name]])</f>
        <v>9</v>
      </c>
      <c r="F466">
        <f>FIND(".", tblPassengerNames[[#This Row],[Name]])</f>
        <v>13</v>
      </c>
      <c r="G466" t="e">
        <f>FIND("(", tblPassengerNames[[#This Row],[Name]])</f>
        <v>#VALUE!</v>
      </c>
      <c r="H466" t="e">
        <f>FIND(")", tblPassengerNames[[#This Row],[Name]])</f>
        <v>#VALUE!</v>
      </c>
      <c r="I466">
        <f>IFERROR(tblPassengerNames[[#This Row],[OpenParPos]] - 2, LEN(tblPassengerNames[[#This Row],[Name]]))</f>
        <v>28</v>
      </c>
      <c r="J466" t="str">
        <f>MID(tblPassengerNames[[#This Row],[Name]], tblPassengerNames[[#This Row],[DotPos]] + 2, tblPassengerNames[[#This Row],[EndOfConvFNPos]] - tblPassengerNames[[#This Row],[DotPos]] - 1)</f>
        <v>Ernest Wilfred</v>
      </c>
      <c r="K466" t="e">
        <f>MID(tblPassengerNames[[#This Row],[Name]], tblPassengerNames[[#This Row],[OpenParPos]] + 1, tblPassengerNames[[#This Row],[CloseParPos]] - tblPassengerNames[[#This Row],[OpenParPos]] - 1)</f>
        <v>#VALUE!</v>
      </c>
      <c r="L466" t="e">
        <f>IF(AND(LEFT(tblPassengerNames[[#This Row],[InParentheses]], 1) = "'", RIGHT(tblPassengerNames[[#This Row],[InParentheses]], 1) = "'"),
    #VALUE!,
    tblPassengerNames[[#This Row],[InParentheses]]
)</f>
        <v>#VALUE!</v>
      </c>
      <c r="M466" t="e">
        <f>LEN(tblPassengerNames[[#This Row],[InParenthesesCleaned]]) - LEN(SUBSTITUTE(tblPassengerNames[[#This Row],[InParenthesesCleaned]], " ", ""))</f>
        <v>#VALUE!</v>
      </c>
      <c r="N466" t="e">
        <f>FIND("@", SUBSTITUTE(tblPassengerNames[[#This Row],[InParenthesesCleaned]], " ", "@", tblPassengerNames[[#This Row],[P_NSpaces]]))</f>
        <v>#VALUE!</v>
      </c>
      <c r="O466" t="e">
        <f>IF(tblPassengerNames[[#This Row],[P_NSpaces]] = 0,
    tblPassengerNames[[#This Row],[InParenthesesCleaned]],
    LEFT(tblPassengerNames[[#This Row],[InParenthesesCleaned]], tblPassengerNames[[#This Row],[P_FinalSpacePos]] - 1)
)</f>
        <v>#VALUE!</v>
      </c>
      <c r="P466" t="str">
        <f>IFERROR(tblPassengerNames[[#This Row],[P_Forenames]], tblPassengerNames[[#This Row],[ConvForenames]])</f>
        <v>Ernest Wilfred</v>
      </c>
      <c r="Q466" t="str">
        <f>MID(tblPassengerNames[[#This Row],[Name]], tblPassengerNames[[#This Row],[CommaPos]] + 2, tblPassengerNames[[#This Row],[DotPos]] - tblPassengerNames[[#This Row],[CommaPos]] - 1)</f>
        <v>Mr.</v>
      </c>
      <c r="R466" t="str">
        <f>LEFT(tblPassengerNames[[#This Row],[Name]], tblPassengerNames[[#This Row],[CommaPos]] - 1)</f>
        <v>Jefferys</v>
      </c>
    </row>
    <row r="467" spans="2:18" x14ac:dyDescent="0.25">
      <c r="B467" s="21">
        <v>465</v>
      </c>
      <c r="C467" s="21" t="s">
        <v>601</v>
      </c>
      <c r="D467" s="21" t="s">
        <v>138</v>
      </c>
      <c r="E467">
        <f>FIND(",", tblPassengerNames[[#This Row],[Name]])</f>
        <v>7</v>
      </c>
      <c r="F467">
        <f>FIND(".", tblPassengerNames[[#This Row],[Name]])</f>
        <v>11</v>
      </c>
      <c r="G467" t="e">
        <f>FIND("(", tblPassengerNames[[#This Row],[Name]])</f>
        <v>#VALUE!</v>
      </c>
      <c r="H467" t="e">
        <f>FIND(")", tblPassengerNames[[#This Row],[Name]])</f>
        <v>#VALUE!</v>
      </c>
      <c r="I467">
        <f>IFERROR(tblPassengerNames[[#This Row],[OpenParPos]] - 2, LEN(tblPassengerNames[[#This Row],[Name]]))</f>
        <v>26</v>
      </c>
      <c r="J467" t="str">
        <f>MID(tblPassengerNames[[#This Row],[Name]], tblPassengerNames[[#This Row],[DotPos]] + 2, tblPassengerNames[[#This Row],[EndOfConvFNPos]] - tblPassengerNames[[#This Row],[DotPos]] - 1)</f>
        <v>Stephen Curnow</v>
      </c>
      <c r="K467" t="e">
        <f>MID(tblPassengerNames[[#This Row],[Name]], tblPassengerNames[[#This Row],[OpenParPos]] + 1, tblPassengerNames[[#This Row],[CloseParPos]] - tblPassengerNames[[#This Row],[OpenParPos]] - 1)</f>
        <v>#VALUE!</v>
      </c>
      <c r="L467" t="e">
        <f>IF(AND(LEFT(tblPassengerNames[[#This Row],[InParentheses]], 1) = "'", RIGHT(tblPassengerNames[[#This Row],[InParentheses]], 1) = "'"),
    #VALUE!,
    tblPassengerNames[[#This Row],[InParentheses]]
)</f>
        <v>#VALUE!</v>
      </c>
      <c r="M467" t="e">
        <f>LEN(tblPassengerNames[[#This Row],[InParenthesesCleaned]]) - LEN(SUBSTITUTE(tblPassengerNames[[#This Row],[InParenthesesCleaned]], " ", ""))</f>
        <v>#VALUE!</v>
      </c>
      <c r="N467" t="e">
        <f>FIND("@", SUBSTITUTE(tblPassengerNames[[#This Row],[InParenthesesCleaned]], " ", "@", tblPassengerNames[[#This Row],[P_NSpaces]]))</f>
        <v>#VALUE!</v>
      </c>
      <c r="O467" t="e">
        <f>IF(tblPassengerNames[[#This Row],[P_NSpaces]] = 0,
    tblPassengerNames[[#This Row],[InParenthesesCleaned]],
    LEFT(tblPassengerNames[[#This Row],[InParenthesesCleaned]], tblPassengerNames[[#This Row],[P_FinalSpacePos]] - 1)
)</f>
        <v>#VALUE!</v>
      </c>
      <c r="P467" t="str">
        <f>IFERROR(tblPassengerNames[[#This Row],[P_Forenames]], tblPassengerNames[[#This Row],[ConvForenames]])</f>
        <v>Stephen Curnow</v>
      </c>
      <c r="Q467" t="str">
        <f>MID(tblPassengerNames[[#This Row],[Name]], tblPassengerNames[[#This Row],[CommaPos]] + 2, tblPassengerNames[[#This Row],[DotPos]] - tblPassengerNames[[#This Row],[CommaPos]] - 1)</f>
        <v>Mr.</v>
      </c>
      <c r="R467" t="str">
        <f>LEFT(tblPassengerNames[[#This Row],[Name]], tblPassengerNames[[#This Row],[CommaPos]] - 1)</f>
        <v>Jenkin</v>
      </c>
    </row>
    <row r="468" spans="2:18" x14ac:dyDescent="0.25">
      <c r="B468" s="21">
        <v>466</v>
      </c>
      <c r="C468" s="21" t="s">
        <v>602</v>
      </c>
      <c r="D468" s="21" t="s">
        <v>136</v>
      </c>
      <c r="E468">
        <f>FIND(",", tblPassengerNames[[#This Row],[Name]])</f>
        <v>7</v>
      </c>
      <c r="F468">
        <f>FIND(".", tblPassengerNames[[#This Row],[Name]])</f>
        <v>12</v>
      </c>
      <c r="G468">
        <f>FIND("(", tblPassengerNames[[#This Row],[Name]])</f>
        <v>21</v>
      </c>
      <c r="H468">
        <f>FIND(")", tblPassengerNames[[#This Row],[Name]])</f>
        <v>44</v>
      </c>
      <c r="I468">
        <f>IFERROR(tblPassengerNames[[#This Row],[OpenParPos]] - 2, LEN(tblPassengerNames[[#This Row],[Name]]))</f>
        <v>19</v>
      </c>
      <c r="J468" t="str">
        <f>MID(tblPassengerNames[[#This Row],[Name]], tblPassengerNames[[#This Row],[DotPos]] + 2, tblPassengerNames[[#This Row],[EndOfConvFNPos]] - tblPassengerNames[[#This Row],[DotPos]] - 1)</f>
        <v>Amin S</v>
      </c>
      <c r="K468" t="str">
        <f>MID(tblPassengerNames[[#This Row],[Name]], tblPassengerNames[[#This Row],[OpenParPos]] + 1, tblPassengerNames[[#This Row],[CloseParPos]] - tblPassengerNames[[#This Row],[OpenParPos]] - 1)</f>
        <v>Marie Marthe Thuillard</v>
      </c>
      <c r="L468" t="str">
        <f>IF(AND(LEFT(tblPassengerNames[[#This Row],[InParentheses]], 1) = "'", RIGHT(tblPassengerNames[[#This Row],[InParentheses]], 1) = "'"),
    #VALUE!,
    tblPassengerNames[[#This Row],[InParentheses]]
)</f>
        <v>Marie Marthe Thuillard</v>
      </c>
      <c r="M468">
        <f>LEN(tblPassengerNames[[#This Row],[InParenthesesCleaned]]) - LEN(SUBSTITUTE(tblPassengerNames[[#This Row],[InParenthesesCleaned]], " ", ""))</f>
        <v>2</v>
      </c>
      <c r="N468">
        <f>FIND("@", SUBSTITUTE(tblPassengerNames[[#This Row],[InParenthesesCleaned]], " ", "@", tblPassengerNames[[#This Row],[P_NSpaces]]))</f>
        <v>13</v>
      </c>
      <c r="O468" t="str">
        <f>IF(tblPassengerNames[[#This Row],[P_NSpaces]] = 0,
    tblPassengerNames[[#This Row],[InParenthesesCleaned]],
    LEFT(tblPassengerNames[[#This Row],[InParenthesesCleaned]], tblPassengerNames[[#This Row],[P_FinalSpacePos]] - 1)
)</f>
        <v>Marie Marthe</v>
      </c>
      <c r="P468" t="str">
        <f>IFERROR(tblPassengerNames[[#This Row],[P_Forenames]], tblPassengerNames[[#This Row],[ConvForenames]])</f>
        <v>Marie Marthe</v>
      </c>
      <c r="Q468" t="str">
        <f>MID(tblPassengerNames[[#This Row],[Name]], tblPassengerNames[[#This Row],[CommaPos]] + 2, tblPassengerNames[[#This Row],[DotPos]] - tblPassengerNames[[#This Row],[CommaPos]] - 1)</f>
        <v>Mrs.</v>
      </c>
      <c r="R468" t="str">
        <f>LEFT(tblPassengerNames[[#This Row],[Name]], tblPassengerNames[[#This Row],[CommaPos]] - 1)</f>
        <v>Jerwan</v>
      </c>
    </row>
    <row r="469" spans="2:18" x14ac:dyDescent="0.25">
      <c r="B469" s="21">
        <v>467</v>
      </c>
      <c r="C469" s="21" t="s">
        <v>603</v>
      </c>
      <c r="D469" s="21" t="s">
        <v>138</v>
      </c>
      <c r="E469">
        <f>FIND(",", tblPassengerNames[[#This Row],[Name]])</f>
        <v>7</v>
      </c>
      <c r="F469">
        <f>FIND(".", tblPassengerNames[[#This Row],[Name]])</f>
        <v>11</v>
      </c>
      <c r="G469" t="e">
        <f>FIND("(", tblPassengerNames[[#This Row],[Name]])</f>
        <v>#VALUE!</v>
      </c>
      <c r="H469" t="e">
        <f>FIND(")", tblPassengerNames[[#This Row],[Name]])</f>
        <v>#VALUE!</v>
      </c>
      <c r="I469">
        <f>IFERROR(tblPassengerNames[[#This Row],[OpenParPos]] - 2, LEN(tblPassengerNames[[#This Row],[Name]]))</f>
        <v>17</v>
      </c>
      <c r="J469" t="str">
        <f>MID(tblPassengerNames[[#This Row],[Name]], tblPassengerNames[[#This Row],[DotPos]] + 2, tblPassengerNames[[#This Row],[EndOfConvFNPos]] - tblPassengerNames[[#This Row],[DotPos]] - 1)</f>
        <v>Sinai</v>
      </c>
      <c r="K469" t="e">
        <f>MID(tblPassengerNames[[#This Row],[Name]], tblPassengerNames[[#This Row],[OpenParPos]] + 1, tblPassengerNames[[#This Row],[CloseParPos]] - tblPassengerNames[[#This Row],[OpenParPos]] - 1)</f>
        <v>#VALUE!</v>
      </c>
      <c r="L469" t="e">
        <f>IF(AND(LEFT(tblPassengerNames[[#This Row],[InParentheses]], 1) = "'", RIGHT(tblPassengerNames[[#This Row],[InParentheses]], 1) = "'"),
    #VALUE!,
    tblPassengerNames[[#This Row],[InParentheses]]
)</f>
        <v>#VALUE!</v>
      </c>
      <c r="M469" t="e">
        <f>LEN(tblPassengerNames[[#This Row],[InParenthesesCleaned]]) - LEN(SUBSTITUTE(tblPassengerNames[[#This Row],[InParenthesesCleaned]], " ", ""))</f>
        <v>#VALUE!</v>
      </c>
      <c r="N469" t="e">
        <f>FIND("@", SUBSTITUTE(tblPassengerNames[[#This Row],[InParenthesesCleaned]], " ", "@", tblPassengerNames[[#This Row],[P_NSpaces]]))</f>
        <v>#VALUE!</v>
      </c>
      <c r="O469" t="e">
        <f>IF(tblPassengerNames[[#This Row],[P_NSpaces]] = 0,
    tblPassengerNames[[#This Row],[InParenthesesCleaned]],
    LEFT(tblPassengerNames[[#This Row],[InParenthesesCleaned]], tblPassengerNames[[#This Row],[P_FinalSpacePos]] - 1)
)</f>
        <v>#VALUE!</v>
      </c>
      <c r="P469" t="str">
        <f>IFERROR(tblPassengerNames[[#This Row],[P_Forenames]], tblPassengerNames[[#This Row],[ConvForenames]])</f>
        <v>Sinai</v>
      </c>
      <c r="Q469" t="str">
        <f>MID(tblPassengerNames[[#This Row],[Name]], tblPassengerNames[[#This Row],[CommaPos]] + 2, tblPassengerNames[[#This Row],[DotPos]] - tblPassengerNames[[#This Row],[CommaPos]] - 1)</f>
        <v>Mr.</v>
      </c>
      <c r="R469" t="str">
        <f>LEFT(tblPassengerNames[[#This Row],[Name]], tblPassengerNames[[#This Row],[CommaPos]] - 1)</f>
        <v>Kantor</v>
      </c>
    </row>
    <row r="470" spans="2:18" x14ac:dyDescent="0.25">
      <c r="B470" s="21">
        <v>468</v>
      </c>
      <c r="C470" s="21" t="s">
        <v>604</v>
      </c>
      <c r="D470" s="21" t="s">
        <v>136</v>
      </c>
      <c r="E470">
        <f>FIND(",", tblPassengerNames[[#This Row],[Name]])</f>
        <v>7</v>
      </c>
      <c r="F470">
        <f>FIND(".", tblPassengerNames[[#This Row],[Name]])</f>
        <v>12</v>
      </c>
      <c r="G470">
        <f>FIND("(", tblPassengerNames[[#This Row],[Name]])</f>
        <v>20</v>
      </c>
      <c r="H470">
        <f>FIND(")", tblPassengerNames[[#This Row],[Name]])</f>
        <v>35</v>
      </c>
      <c r="I470">
        <f>IFERROR(tblPassengerNames[[#This Row],[OpenParPos]] - 2, LEN(tblPassengerNames[[#This Row],[Name]]))</f>
        <v>18</v>
      </c>
      <c r="J470" t="str">
        <f>MID(tblPassengerNames[[#This Row],[Name]], tblPassengerNames[[#This Row],[DotPos]] + 2, tblPassengerNames[[#This Row],[EndOfConvFNPos]] - tblPassengerNames[[#This Row],[DotPos]] - 1)</f>
        <v>Sinai</v>
      </c>
      <c r="K470" t="str">
        <f>MID(tblPassengerNames[[#This Row],[Name]], tblPassengerNames[[#This Row],[OpenParPos]] + 1, tblPassengerNames[[#This Row],[CloseParPos]] - tblPassengerNames[[#This Row],[OpenParPos]] - 1)</f>
        <v>Miriam Sternin</v>
      </c>
      <c r="L470" t="str">
        <f>IF(AND(LEFT(tblPassengerNames[[#This Row],[InParentheses]], 1) = "'", RIGHT(tblPassengerNames[[#This Row],[InParentheses]], 1) = "'"),
    #VALUE!,
    tblPassengerNames[[#This Row],[InParentheses]]
)</f>
        <v>Miriam Sternin</v>
      </c>
      <c r="M470">
        <f>LEN(tblPassengerNames[[#This Row],[InParenthesesCleaned]]) - LEN(SUBSTITUTE(tblPassengerNames[[#This Row],[InParenthesesCleaned]], " ", ""))</f>
        <v>1</v>
      </c>
      <c r="N470">
        <f>FIND("@", SUBSTITUTE(tblPassengerNames[[#This Row],[InParenthesesCleaned]], " ", "@", tblPassengerNames[[#This Row],[P_NSpaces]]))</f>
        <v>7</v>
      </c>
      <c r="O470" t="str">
        <f>IF(tblPassengerNames[[#This Row],[P_NSpaces]] = 0,
    tblPassengerNames[[#This Row],[InParenthesesCleaned]],
    LEFT(tblPassengerNames[[#This Row],[InParenthesesCleaned]], tblPassengerNames[[#This Row],[P_FinalSpacePos]] - 1)
)</f>
        <v>Miriam</v>
      </c>
      <c r="P470" t="str">
        <f>IFERROR(tblPassengerNames[[#This Row],[P_Forenames]], tblPassengerNames[[#This Row],[ConvForenames]])</f>
        <v>Miriam</v>
      </c>
      <c r="Q470" t="str">
        <f>MID(tblPassengerNames[[#This Row],[Name]], tblPassengerNames[[#This Row],[CommaPos]] + 2, tblPassengerNames[[#This Row],[DotPos]] - tblPassengerNames[[#This Row],[CommaPos]] - 1)</f>
        <v>Mrs.</v>
      </c>
      <c r="R470" t="str">
        <f>LEFT(tblPassengerNames[[#This Row],[Name]], tblPassengerNames[[#This Row],[CommaPos]] - 1)</f>
        <v>Kantor</v>
      </c>
    </row>
    <row r="471" spans="2:18" x14ac:dyDescent="0.25">
      <c r="B471" s="21">
        <v>469</v>
      </c>
      <c r="C471" s="21" t="s">
        <v>605</v>
      </c>
      <c r="D471" s="21" t="s">
        <v>136</v>
      </c>
      <c r="E471">
        <f>FIND(",", tblPassengerNames[[#This Row],[Name]])</f>
        <v>7</v>
      </c>
      <c r="F471">
        <f>FIND(".", tblPassengerNames[[#This Row],[Name]])</f>
        <v>12</v>
      </c>
      <c r="G471">
        <f>FIND("(", tblPassengerNames[[#This Row],[Name]])</f>
        <v>22</v>
      </c>
      <c r="H471">
        <f>FIND(")", tblPassengerNames[[#This Row],[Name]])</f>
        <v>37</v>
      </c>
      <c r="I471">
        <f>IFERROR(tblPassengerNames[[#This Row],[OpenParPos]] - 2, LEN(tblPassengerNames[[#This Row],[Name]]))</f>
        <v>20</v>
      </c>
      <c r="J471" t="str">
        <f>MID(tblPassengerNames[[#This Row],[Name]], tblPassengerNames[[#This Row],[DotPos]] + 2, tblPassengerNames[[#This Row],[EndOfConvFNPos]] - tblPassengerNames[[#This Row],[DotPos]] - 1)</f>
        <v>J Frank</v>
      </c>
      <c r="K471" t="str">
        <f>MID(tblPassengerNames[[#This Row],[Name]], tblPassengerNames[[#This Row],[OpenParPos]] + 1, tblPassengerNames[[#This Row],[CloseParPos]] - tblPassengerNames[[#This Row],[OpenParPos]] - 1)</f>
        <v>Claire Bennett</v>
      </c>
      <c r="L471" t="str">
        <f>IF(AND(LEFT(tblPassengerNames[[#This Row],[InParentheses]], 1) = "'", RIGHT(tblPassengerNames[[#This Row],[InParentheses]], 1) = "'"),
    #VALUE!,
    tblPassengerNames[[#This Row],[InParentheses]]
)</f>
        <v>Claire Bennett</v>
      </c>
      <c r="M471">
        <f>LEN(tblPassengerNames[[#This Row],[InParenthesesCleaned]]) - LEN(SUBSTITUTE(tblPassengerNames[[#This Row],[InParenthesesCleaned]], " ", ""))</f>
        <v>1</v>
      </c>
      <c r="N471">
        <f>FIND("@", SUBSTITUTE(tblPassengerNames[[#This Row],[InParenthesesCleaned]], " ", "@", tblPassengerNames[[#This Row],[P_NSpaces]]))</f>
        <v>7</v>
      </c>
      <c r="O471" t="str">
        <f>IF(tblPassengerNames[[#This Row],[P_NSpaces]] = 0,
    tblPassengerNames[[#This Row],[InParenthesesCleaned]],
    LEFT(tblPassengerNames[[#This Row],[InParenthesesCleaned]], tblPassengerNames[[#This Row],[P_FinalSpacePos]] - 1)
)</f>
        <v>Claire</v>
      </c>
      <c r="P471" t="str">
        <f>IFERROR(tblPassengerNames[[#This Row],[P_Forenames]], tblPassengerNames[[#This Row],[ConvForenames]])</f>
        <v>Claire</v>
      </c>
      <c r="Q471" t="str">
        <f>MID(tblPassengerNames[[#This Row],[Name]], tblPassengerNames[[#This Row],[CommaPos]] + 2, tblPassengerNames[[#This Row],[DotPos]] - tblPassengerNames[[#This Row],[CommaPos]] - 1)</f>
        <v>Mrs.</v>
      </c>
      <c r="R471" t="str">
        <f>LEFT(tblPassengerNames[[#This Row],[Name]], tblPassengerNames[[#This Row],[CommaPos]] - 1)</f>
        <v>Karnes</v>
      </c>
    </row>
    <row r="472" spans="2:18" x14ac:dyDescent="0.25">
      <c r="B472" s="21">
        <v>470</v>
      </c>
      <c r="C472" s="21" t="s">
        <v>606</v>
      </c>
      <c r="D472" s="21" t="s">
        <v>136</v>
      </c>
      <c r="E472">
        <f>FIND(",", tblPassengerNames[[#This Row],[Name]])</f>
        <v>6</v>
      </c>
      <c r="F472">
        <f>FIND(".", tblPassengerNames[[#This Row],[Name]])</f>
        <v>12</v>
      </c>
      <c r="G472" t="e">
        <f>FIND("(", tblPassengerNames[[#This Row],[Name]])</f>
        <v>#VALUE!</v>
      </c>
      <c r="H472" t="e">
        <f>FIND(")", tblPassengerNames[[#This Row],[Name]])</f>
        <v>#VALUE!</v>
      </c>
      <c r="I472">
        <f>IFERROR(tblPassengerNames[[#This Row],[OpenParPos]] - 2, LEN(tblPassengerNames[[#This Row],[Name]]))</f>
        <v>19</v>
      </c>
      <c r="J472" t="str">
        <f>MID(tblPassengerNames[[#This Row],[Name]], tblPassengerNames[[#This Row],[DotPos]] + 2, tblPassengerNames[[#This Row],[EndOfConvFNPos]] - tblPassengerNames[[#This Row],[DotPos]] - 1)</f>
        <v>Nora A</v>
      </c>
      <c r="K472" t="e">
        <f>MID(tblPassengerNames[[#This Row],[Name]], tblPassengerNames[[#This Row],[OpenParPos]] + 1, tblPassengerNames[[#This Row],[CloseParPos]] - tblPassengerNames[[#This Row],[OpenParPos]] - 1)</f>
        <v>#VALUE!</v>
      </c>
      <c r="L472" t="e">
        <f>IF(AND(LEFT(tblPassengerNames[[#This Row],[InParentheses]], 1) = "'", RIGHT(tblPassengerNames[[#This Row],[InParentheses]], 1) = "'"),
    #VALUE!,
    tblPassengerNames[[#This Row],[InParentheses]]
)</f>
        <v>#VALUE!</v>
      </c>
      <c r="M472" t="e">
        <f>LEN(tblPassengerNames[[#This Row],[InParenthesesCleaned]]) - LEN(SUBSTITUTE(tblPassengerNames[[#This Row],[InParenthesesCleaned]], " ", ""))</f>
        <v>#VALUE!</v>
      </c>
      <c r="N472" t="e">
        <f>FIND("@", SUBSTITUTE(tblPassengerNames[[#This Row],[InParenthesesCleaned]], " ", "@", tblPassengerNames[[#This Row],[P_NSpaces]]))</f>
        <v>#VALUE!</v>
      </c>
      <c r="O472" t="e">
        <f>IF(tblPassengerNames[[#This Row],[P_NSpaces]] = 0,
    tblPassengerNames[[#This Row],[InParenthesesCleaned]],
    LEFT(tblPassengerNames[[#This Row],[InParenthesesCleaned]], tblPassengerNames[[#This Row],[P_FinalSpacePos]] - 1)
)</f>
        <v>#VALUE!</v>
      </c>
      <c r="P472" t="str">
        <f>IFERROR(tblPassengerNames[[#This Row],[P_Forenames]], tblPassengerNames[[#This Row],[ConvForenames]])</f>
        <v>Nora A</v>
      </c>
      <c r="Q472" t="str">
        <f>MID(tblPassengerNames[[#This Row],[Name]], tblPassengerNames[[#This Row],[CommaPos]] + 2, tblPassengerNames[[#This Row],[DotPos]] - tblPassengerNames[[#This Row],[CommaPos]] - 1)</f>
        <v>Miss.</v>
      </c>
      <c r="R472" t="str">
        <f>LEFT(tblPassengerNames[[#This Row],[Name]], tblPassengerNames[[#This Row],[CommaPos]] - 1)</f>
        <v>Keane</v>
      </c>
    </row>
    <row r="473" spans="2:18" x14ac:dyDescent="0.25">
      <c r="B473" s="21">
        <v>471</v>
      </c>
      <c r="C473" s="21" t="s">
        <v>607</v>
      </c>
      <c r="D473" s="21" t="s">
        <v>138</v>
      </c>
      <c r="E473">
        <f>FIND(",", tblPassengerNames[[#This Row],[Name]])</f>
        <v>6</v>
      </c>
      <c r="F473">
        <f>FIND(".", tblPassengerNames[[#This Row],[Name]])</f>
        <v>10</v>
      </c>
      <c r="G473" t="e">
        <f>FIND("(", tblPassengerNames[[#This Row],[Name]])</f>
        <v>#VALUE!</v>
      </c>
      <c r="H473" t="e">
        <f>FIND(")", tblPassengerNames[[#This Row],[Name]])</f>
        <v>#VALUE!</v>
      </c>
      <c r="I473">
        <f>IFERROR(tblPassengerNames[[#This Row],[OpenParPos]] - 2, LEN(tblPassengerNames[[#This Row],[Name]]))</f>
        <v>17</v>
      </c>
      <c r="J473" t="str">
        <f>MID(tblPassengerNames[[#This Row],[Name]], tblPassengerNames[[#This Row],[DotPos]] + 2, tblPassengerNames[[#This Row],[EndOfConvFNPos]] - tblPassengerNames[[#This Row],[DotPos]] - 1)</f>
        <v>Daniel</v>
      </c>
      <c r="K473" t="e">
        <f>MID(tblPassengerNames[[#This Row],[Name]], tblPassengerNames[[#This Row],[OpenParPos]] + 1, tblPassengerNames[[#This Row],[CloseParPos]] - tblPassengerNames[[#This Row],[OpenParPos]] - 1)</f>
        <v>#VALUE!</v>
      </c>
      <c r="L473" t="e">
        <f>IF(AND(LEFT(tblPassengerNames[[#This Row],[InParentheses]], 1) = "'", RIGHT(tblPassengerNames[[#This Row],[InParentheses]], 1) = "'"),
    #VALUE!,
    tblPassengerNames[[#This Row],[InParentheses]]
)</f>
        <v>#VALUE!</v>
      </c>
      <c r="M473" t="e">
        <f>LEN(tblPassengerNames[[#This Row],[InParenthesesCleaned]]) - LEN(SUBSTITUTE(tblPassengerNames[[#This Row],[InParenthesesCleaned]], " ", ""))</f>
        <v>#VALUE!</v>
      </c>
      <c r="N473" t="e">
        <f>FIND("@", SUBSTITUTE(tblPassengerNames[[#This Row],[InParenthesesCleaned]], " ", "@", tblPassengerNames[[#This Row],[P_NSpaces]]))</f>
        <v>#VALUE!</v>
      </c>
      <c r="O473" t="e">
        <f>IF(tblPassengerNames[[#This Row],[P_NSpaces]] = 0,
    tblPassengerNames[[#This Row],[InParenthesesCleaned]],
    LEFT(tblPassengerNames[[#This Row],[InParenthesesCleaned]], tblPassengerNames[[#This Row],[P_FinalSpacePos]] - 1)
)</f>
        <v>#VALUE!</v>
      </c>
      <c r="P473" t="str">
        <f>IFERROR(tblPassengerNames[[#This Row],[P_Forenames]], tblPassengerNames[[#This Row],[ConvForenames]])</f>
        <v>Daniel</v>
      </c>
      <c r="Q473" t="str">
        <f>MID(tblPassengerNames[[#This Row],[Name]], tblPassengerNames[[#This Row],[CommaPos]] + 2, tblPassengerNames[[#This Row],[DotPos]] - tblPassengerNames[[#This Row],[CommaPos]] - 1)</f>
        <v>Mr.</v>
      </c>
      <c r="R473" t="str">
        <f>LEFT(tblPassengerNames[[#This Row],[Name]], tblPassengerNames[[#This Row],[CommaPos]] - 1)</f>
        <v>Keane</v>
      </c>
    </row>
    <row r="474" spans="2:18" x14ac:dyDescent="0.25">
      <c r="B474" s="21">
        <v>472</v>
      </c>
      <c r="C474" s="21" t="s">
        <v>608</v>
      </c>
      <c r="D474" s="21" t="s">
        <v>136</v>
      </c>
      <c r="E474">
        <f>FIND(",", tblPassengerNames[[#This Row],[Name]])</f>
        <v>6</v>
      </c>
      <c r="F474">
        <f>FIND(".", tblPassengerNames[[#This Row],[Name]])</f>
        <v>11</v>
      </c>
      <c r="G474" t="e">
        <f>FIND("(", tblPassengerNames[[#This Row],[Name]])</f>
        <v>#VALUE!</v>
      </c>
      <c r="H474" t="e">
        <f>FIND(")", tblPassengerNames[[#This Row],[Name]])</f>
        <v>#VALUE!</v>
      </c>
      <c r="I474">
        <f>IFERROR(tblPassengerNames[[#This Row],[OpenParPos]] - 2, LEN(tblPassengerNames[[#This Row],[Name]]))</f>
        <v>29</v>
      </c>
      <c r="J474" t="str">
        <f>MID(tblPassengerNames[[#This Row],[Name]], tblPassengerNames[[#This Row],[DotPos]] + 2, tblPassengerNames[[#This Row],[EndOfConvFNPos]] - tblPassengerNames[[#This Row],[DotPos]] - 1)</f>
        <v>Florence 'Fannie'</v>
      </c>
      <c r="K474" t="e">
        <f>MID(tblPassengerNames[[#This Row],[Name]], tblPassengerNames[[#This Row],[OpenParPos]] + 1, tblPassengerNames[[#This Row],[CloseParPos]] - tblPassengerNames[[#This Row],[OpenParPos]] - 1)</f>
        <v>#VALUE!</v>
      </c>
      <c r="L474" t="e">
        <f>IF(AND(LEFT(tblPassengerNames[[#This Row],[InParentheses]], 1) = "'", RIGHT(tblPassengerNames[[#This Row],[InParentheses]], 1) = "'"),
    #VALUE!,
    tblPassengerNames[[#This Row],[InParentheses]]
)</f>
        <v>#VALUE!</v>
      </c>
      <c r="M474" t="e">
        <f>LEN(tblPassengerNames[[#This Row],[InParenthesesCleaned]]) - LEN(SUBSTITUTE(tblPassengerNames[[#This Row],[InParenthesesCleaned]], " ", ""))</f>
        <v>#VALUE!</v>
      </c>
      <c r="N474" t="e">
        <f>FIND("@", SUBSTITUTE(tblPassengerNames[[#This Row],[InParenthesesCleaned]], " ", "@", tblPassengerNames[[#This Row],[P_NSpaces]]))</f>
        <v>#VALUE!</v>
      </c>
      <c r="O474" t="e">
        <f>IF(tblPassengerNames[[#This Row],[P_NSpaces]] = 0,
    tblPassengerNames[[#This Row],[InParenthesesCleaned]],
    LEFT(tblPassengerNames[[#This Row],[InParenthesesCleaned]], tblPassengerNames[[#This Row],[P_FinalSpacePos]] - 1)
)</f>
        <v>#VALUE!</v>
      </c>
      <c r="P474" t="str">
        <f>IFERROR(tblPassengerNames[[#This Row],[P_Forenames]], tblPassengerNames[[#This Row],[ConvForenames]])</f>
        <v>Florence 'Fannie'</v>
      </c>
      <c r="Q474" t="str">
        <f>MID(tblPassengerNames[[#This Row],[Name]], tblPassengerNames[[#This Row],[CommaPos]] + 2, tblPassengerNames[[#This Row],[DotPos]] - tblPassengerNames[[#This Row],[CommaPos]] - 1)</f>
        <v>Mrs.</v>
      </c>
      <c r="R474" t="str">
        <f>LEFT(tblPassengerNames[[#This Row],[Name]], tblPassengerNames[[#This Row],[CommaPos]] - 1)</f>
        <v>Kelly</v>
      </c>
    </row>
    <row r="475" spans="2:18" x14ac:dyDescent="0.25">
      <c r="B475" s="21">
        <v>473</v>
      </c>
      <c r="C475" s="21" t="s">
        <v>609</v>
      </c>
      <c r="D475" s="21" t="s">
        <v>138</v>
      </c>
      <c r="E475">
        <f>FIND(",", tblPassengerNames[[#This Row],[Name]])</f>
        <v>9</v>
      </c>
      <c r="F475">
        <f>FIND(".", tblPassengerNames[[#This Row],[Name]])</f>
        <v>14</v>
      </c>
      <c r="G475" t="e">
        <f>FIND("(", tblPassengerNames[[#This Row],[Name]])</f>
        <v>#VALUE!</v>
      </c>
      <c r="H475" t="e">
        <f>FIND(")", tblPassengerNames[[#This Row],[Name]])</f>
        <v>#VALUE!</v>
      </c>
      <c r="I475">
        <f>IFERROR(tblPassengerNames[[#This Row],[OpenParPos]] - 2, LEN(tblPassengerNames[[#This Row],[Name]]))</f>
        <v>30</v>
      </c>
      <c r="J475" t="str">
        <f>MID(tblPassengerNames[[#This Row],[Name]], tblPassengerNames[[#This Row],[DotPos]] + 2, tblPassengerNames[[#This Row],[EndOfConvFNPos]] - tblPassengerNames[[#This Row],[DotPos]] - 1)</f>
        <v>Charles Leonard</v>
      </c>
      <c r="K475" t="e">
        <f>MID(tblPassengerNames[[#This Row],[Name]], tblPassengerNames[[#This Row],[OpenParPos]] + 1, tblPassengerNames[[#This Row],[CloseParPos]] - tblPassengerNames[[#This Row],[OpenParPos]] - 1)</f>
        <v>#VALUE!</v>
      </c>
      <c r="L475" t="e">
        <f>IF(AND(LEFT(tblPassengerNames[[#This Row],[InParentheses]], 1) = "'", RIGHT(tblPassengerNames[[#This Row],[InParentheses]], 1) = "'"),
    #VALUE!,
    tblPassengerNames[[#This Row],[InParentheses]]
)</f>
        <v>#VALUE!</v>
      </c>
      <c r="M475" t="e">
        <f>LEN(tblPassengerNames[[#This Row],[InParenthesesCleaned]]) - LEN(SUBSTITUTE(tblPassengerNames[[#This Row],[InParenthesesCleaned]], " ", ""))</f>
        <v>#VALUE!</v>
      </c>
      <c r="N475" t="e">
        <f>FIND("@", SUBSTITUTE(tblPassengerNames[[#This Row],[InParenthesesCleaned]], " ", "@", tblPassengerNames[[#This Row],[P_NSpaces]]))</f>
        <v>#VALUE!</v>
      </c>
      <c r="O475" t="e">
        <f>IF(tblPassengerNames[[#This Row],[P_NSpaces]] = 0,
    tblPassengerNames[[#This Row],[InParenthesesCleaned]],
    LEFT(tblPassengerNames[[#This Row],[InParenthesesCleaned]], tblPassengerNames[[#This Row],[P_FinalSpacePos]] - 1)
)</f>
        <v>#VALUE!</v>
      </c>
      <c r="P475" t="str">
        <f>IFERROR(tblPassengerNames[[#This Row],[P_Forenames]], tblPassengerNames[[#This Row],[ConvForenames]])</f>
        <v>Charles Leonard</v>
      </c>
      <c r="Q475" t="str">
        <f>MID(tblPassengerNames[[#This Row],[Name]], tblPassengerNames[[#This Row],[CommaPos]] + 2, tblPassengerNames[[#This Row],[DotPos]] - tblPassengerNames[[#This Row],[CommaPos]] - 1)</f>
        <v>Rev.</v>
      </c>
      <c r="R475" t="str">
        <f>LEFT(tblPassengerNames[[#This Row],[Name]], tblPassengerNames[[#This Row],[CommaPos]] - 1)</f>
        <v>Kirkland</v>
      </c>
    </row>
    <row r="476" spans="2:18" x14ac:dyDescent="0.25">
      <c r="B476" s="21">
        <v>474</v>
      </c>
      <c r="C476" s="21" t="s">
        <v>610</v>
      </c>
      <c r="D476" s="21" t="s">
        <v>138</v>
      </c>
      <c r="E476">
        <f>FIND(",", tblPassengerNames[[#This Row],[Name]])</f>
        <v>7</v>
      </c>
      <c r="F476">
        <f>FIND(".", tblPassengerNames[[#This Row],[Name]])</f>
        <v>11</v>
      </c>
      <c r="G476" t="e">
        <f>FIND("(", tblPassengerNames[[#This Row],[Name]])</f>
        <v>#VALUE!</v>
      </c>
      <c r="H476" t="e">
        <f>FIND(")", tblPassengerNames[[#This Row],[Name]])</f>
        <v>#VALUE!</v>
      </c>
      <c r="I476">
        <f>IFERROR(tblPassengerNames[[#This Row],[OpenParPos]] - 2, LEN(tblPassengerNames[[#This Row],[Name]]))</f>
        <v>20</v>
      </c>
      <c r="J476" t="str">
        <f>MID(tblPassengerNames[[#This Row],[Name]], tblPassengerNames[[#This Row],[DotPos]] + 2, tblPassengerNames[[#This Row],[EndOfConvFNPos]] - tblPassengerNames[[#This Row],[DotPos]] - 1)</f>
        <v>Robert J</v>
      </c>
      <c r="K476" t="e">
        <f>MID(tblPassengerNames[[#This Row],[Name]], tblPassengerNames[[#This Row],[OpenParPos]] + 1, tblPassengerNames[[#This Row],[CloseParPos]] - tblPassengerNames[[#This Row],[OpenParPos]] - 1)</f>
        <v>#VALUE!</v>
      </c>
      <c r="L476" t="e">
        <f>IF(AND(LEFT(tblPassengerNames[[#This Row],[InParentheses]], 1) = "'", RIGHT(tblPassengerNames[[#This Row],[InParentheses]], 1) = "'"),
    #VALUE!,
    tblPassengerNames[[#This Row],[InParentheses]]
)</f>
        <v>#VALUE!</v>
      </c>
      <c r="M476" t="e">
        <f>LEN(tblPassengerNames[[#This Row],[InParenthesesCleaned]]) - LEN(SUBSTITUTE(tblPassengerNames[[#This Row],[InParenthesesCleaned]], " ", ""))</f>
        <v>#VALUE!</v>
      </c>
      <c r="N476" t="e">
        <f>FIND("@", SUBSTITUTE(tblPassengerNames[[#This Row],[InParenthesesCleaned]], " ", "@", tblPassengerNames[[#This Row],[P_NSpaces]]))</f>
        <v>#VALUE!</v>
      </c>
      <c r="O476" t="e">
        <f>IF(tblPassengerNames[[#This Row],[P_NSpaces]] = 0,
    tblPassengerNames[[#This Row],[InParenthesesCleaned]],
    LEFT(tblPassengerNames[[#This Row],[InParenthesesCleaned]], tblPassengerNames[[#This Row],[P_FinalSpacePos]] - 1)
)</f>
        <v>#VALUE!</v>
      </c>
      <c r="P476" t="str">
        <f>IFERROR(tblPassengerNames[[#This Row],[P_Forenames]], tblPassengerNames[[#This Row],[ConvForenames]])</f>
        <v>Robert J</v>
      </c>
      <c r="Q476" t="str">
        <f>MID(tblPassengerNames[[#This Row],[Name]], tblPassengerNames[[#This Row],[CommaPos]] + 2, tblPassengerNames[[#This Row],[DotPos]] - tblPassengerNames[[#This Row],[CommaPos]] - 1)</f>
        <v>Mr.</v>
      </c>
      <c r="R476" t="str">
        <f>LEFT(tblPassengerNames[[#This Row],[Name]], tblPassengerNames[[#This Row],[CommaPos]] - 1)</f>
        <v>Knight</v>
      </c>
    </row>
    <row r="477" spans="2:18" x14ac:dyDescent="0.25">
      <c r="B477" s="21">
        <v>475</v>
      </c>
      <c r="C477" s="21" t="s">
        <v>611</v>
      </c>
      <c r="D477" s="21" t="s">
        <v>138</v>
      </c>
      <c r="E477">
        <f>FIND(",", tblPassengerNames[[#This Row],[Name]])</f>
        <v>9</v>
      </c>
      <c r="F477">
        <f>FIND(".", tblPassengerNames[[#This Row],[Name]])</f>
        <v>13</v>
      </c>
      <c r="G477" t="e">
        <f>FIND("(", tblPassengerNames[[#This Row],[Name]])</f>
        <v>#VALUE!</v>
      </c>
      <c r="H477" t="e">
        <f>FIND(")", tblPassengerNames[[#This Row],[Name]])</f>
        <v>#VALUE!</v>
      </c>
      <c r="I477">
        <f>IFERROR(tblPassengerNames[[#This Row],[OpenParPos]] - 2, LEN(tblPassengerNames[[#This Row],[Name]]))</f>
        <v>38</v>
      </c>
      <c r="J477" t="str">
        <f>MID(tblPassengerNames[[#This Row],[Name]], tblPassengerNames[[#This Row],[DotPos]] + 2, tblPassengerNames[[#This Row],[EndOfConvFNPos]] - tblPassengerNames[[#This Row],[DotPos]] - 1)</f>
        <v>Johan Henrik Johannesson</v>
      </c>
      <c r="K477" t="e">
        <f>MID(tblPassengerNames[[#This Row],[Name]], tblPassengerNames[[#This Row],[OpenParPos]] + 1, tblPassengerNames[[#This Row],[CloseParPos]] - tblPassengerNames[[#This Row],[OpenParPos]] - 1)</f>
        <v>#VALUE!</v>
      </c>
      <c r="L477" t="e">
        <f>IF(AND(LEFT(tblPassengerNames[[#This Row],[InParentheses]], 1) = "'", RIGHT(tblPassengerNames[[#This Row],[InParentheses]], 1) = "'"),
    #VALUE!,
    tblPassengerNames[[#This Row],[InParentheses]]
)</f>
        <v>#VALUE!</v>
      </c>
      <c r="M477" t="e">
        <f>LEN(tblPassengerNames[[#This Row],[InParenthesesCleaned]]) - LEN(SUBSTITUTE(tblPassengerNames[[#This Row],[InParenthesesCleaned]], " ", ""))</f>
        <v>#VALUE!</v>
      </c>
      <c r="N477" t="e">
        <f>FIND("@", SUBSTITUTE(tblPassengerNames[[#This Row],[InParenthesesCleaned]], " ", "@", tblPassengerNames[[#This Row],[P_NSpaces]]))</f>
        <v>#VALUE!</v>
      </c>
      <c r="O477" t="e">
        <f>IF(tblPassengerNames[[#This Row],[P_NSpaces]] = 0,
    tblPassengerNames[[#This Row],[InParenthesesCleaned]],
    LEFT(tblPassengerNames[[#This Row],[InParenthesesCleaned]], tblPassengerNames[[#This Row],[P_FinalSpacePos]] - 1)
)</f>
        <v>#VALUE!</v>
      </c>
      <c r="P477" t="str">
        <f>IFERROR(tblPassengerNames[[#This Row],[P_Forenames]], tblPassengerNames[[#This Row],[ConvForenames]])</f>
        <v>Johan Henrik Johannesson</v>
      </c>
      <c r="Q477" t="str">
        <f>MID(tblPassengerNames[[#This Row],[Name]], tblPassengerNames[[#This Row],[CommaPos]] + 2, tblPassengerNames[[#This Row],[DotPos]] - tblPassengerNames[[#This Row],[CommaPos]] - 1)</f>
        <v>Mr.</v>
      </c>
      <c r="R477" t="str">
        <f>LEFT(tblPassengerNames[[#This Row],[Name]], tblPassengerNames[[#This Row],[CommaPos]] - 1)</f>
        <v>Kvillner</v>
      </c>
    </row>
    <row r="478" spans="2:18" x14ac:dyDescent="0.25">
      <c r="B478" s="21">
        <v>476</v>
      </c>
      <c r="C478" s="21" t="s">
        <v>612</v>
      </c>
      <c r="D478" s="21" t="s">
        <v>136</v>
      </c>
      <c r="E478">
        <f>FIND(",", tblPassengerNames[[#This Row],[Name]])</f>
        <v>9</v>
      </c>
      <c r="F478">
        <f>FIND(".", tblPassengerNames[[#This Row],[Name]])</f>
        <v>14</v>
      </c>
      <c r="G478">
        <f>FIND("(", tblPassengerNames[[#This Row],[Name]])</f>
        <v>24</v>
      </c>
      <c r="H478">
        <f>FIND(")", tblPassengerNames[[#This Row],[Name]])</f>
        <v>37</v>
      </c>
      <c r="I478">
        <f>IFERROR(tblPassengerNames[[#This Row],[OpenParPos]] - 2, LEN(tblPassengerNames[[#This Row],[Name]]))</f>
        <v>22</v>
      </c>
      <c r="J478" t="str">
        <f>MID(tblPassengerNames[[#This Row],[Name]], tblPassengerNames[[#This Row],[DotPos]] + 2, tblPassengerNames[[#This Row],[EndOfConvFNPos]] - tblPassengerNames[[#This Row],[DotPos]] - 1)</f>
        <v>William</v>
      </c>
      <c r="K478" t="str">
        <f>MID(tblPassengerNames[[#This Row],[Name]], tblPassengerNames[[#This Row],[OpenParPos]] + 1, tblPassengerNames[[#This Row],[CloseParPos]] - tblPassengerNames[[#This Row],[OpenParPos]] - 1)</f>
        <v>Anna Sylfven</v>
      </c>
      <c r="L478" t="str">
        <f>IF(AND(LEFT(tblPassengerNames[[#This Row],[InParentheses]], 1) = "'", RIGHT(tblPassengerNames[[#This Row],[InParentheses]], 1) = "'"),
    #VALUE!,
    tblPassengerNames[[#This Row],[InParentheses]]
)</f>
        <v>Anna Sylfven</v>
      </c>
      <c r="M478">
        <f>LEN(tblPassengerNames[[#This Row],[InParenthesesCleaned]]) - LEN(SUBSTITUTE(tblPassengerNames[[#This Row],[InParenthesesCleaned]], " ", ""))</f>
        <v>1</v>
      </c>
      <c r="N478">
        <f>FIND("@", SUBSTITUTE(tblPassengerNames[[#This Row],[InParenthesesCleaned]], " ", "@", tblPassengerNames[[#This Row],[P_NSpaces]]))</f>
        <v>5</v>
      </c>
      <c r="O478" t="str">
        <f>IF(tblPassengerNames[[#This Row],[P_NSpaces]] = 0,
    tblPassengerNames[[#This Row],[InParenthesesCleaned]],
    LEFT(tblPassengerNames[[#This Row],[InParenthesesCleaned]], tblPassengerNames[[#This Row],[P_FinalSpacePos]] - 1)
)</f>
        <v>Anna</v>
      </c>
      <c r="P478" t="str">
        <f>IFERROR(tblPassengerNames[[#This Row],[P_Forenames]], tblPassengerNames[[#This Row],[ConvForenames]])</f>
        <v>Anna</v>
      </c>
      <c r="Q478" t="str">
        <f>MID(tblPassengerNames[[#This Row],[Name]], tblPassengerNames[[#This Row],[CommaPos]] + 2, tblPassengerNames[[#This Row],[DotPos]] - tblPassengerNames[[#This Row],[CommaPos]] - 1)</f>
        <v>Mrs.</v>
      </c>
      <c r="R478" t="str">
        <f>LEFT(tblPassengerNames[[#This Row],[Name]], tblPassengerNames[[#This Row],[CommaPos]] - 1)</f>
        <v>Lahtinen</v>
      </c>
    </row>
    <row r="479" spans="2:18" x14ac:dyDescent="0.25">
      <c r="B479" s="21">
        <v>477</v>
      </c>
      <c r="C479" s="21" t="s">
        <v>613</v>
      </c>
      <c r="D479" s="21" t="s">
        <v>138</v>
      </c>
      <c r="E479">
        <f>FIND(",", tblPassengerNames[[#This Row],[Name]])</f>
        <v>9</v>
      </c>
      <c r="F479">
        <f>FIND(".", tblPassengerNames[[#This Row],[Name]])</f>
        <v>14</v>
      </c>
      <c r="G479" t="e">
        <f>FIND("(", tblPassengerNames[[#This Row],[Name]])</f>
        <v>#VALUE!</v>
      </c>
      <c r="H479" t="e">
        <f>FIND(")", tblPassengerNames[[#This Row],[Name]])</f>
        <v>#VALUE!</v>
      </c>
      <c r="I479">
        <f>IFERROR(tblPassengerNames[[#This Row],[OpenParPos]] - 2, LEN(tblPassengerNames[[#This Row],[Name]]))</f>
        <v>22</v>
      </c>
      <c r="J479" t="str">
        <f>MID(tblPassengerNames[[#This Row],[Name]], tblPassengerNames[[#This Row],[DotPos]] + 2, tblPassengerNames[[#This Row],[EndOfConvFNPos]] - tblPassengerNames[[#This Row],[DotPos]] - 1)</f>
        <v>William</v>
      </c>
      <c r="K479" t="e">
        <f>MID(tblPassengerNames[[#This Row],[Name]], tblPassengerNames[[#This Row],[OpenParPos]] + 1, tblPassengerNames[[#This Row],[CloseParPos]] - tblPassengerNames[[#This Row],[OpenParPos]] - 1)</f>
        <v>#VALUE!</v>
      </c>
      <c r="L479" t="e">
        <f>IF(AND(LEFT(tblPassengerNames[[#This Row],[InParentheses]], 1) = "'", RIGHT(tblPassengerNames[[#This Row],[InParentheses]], 1) = "'"),
    #VALUE!,
    tblPassengerNames[[#This Row],[InParentheses]]
)</f>
        <v>#VALUE!</v>
      </c>
      <c r="M479" t="e">
        <f>LEN(tblPassengerNames[[#This Row],[InParenthesesCleaned]]) - LEN(SUBSTITUTE(tblPassengerNames[[#This Row],[InParenthesesCleaned]], " ", ""))</f>
        <v>#VALUE!</v>
      </c>
      <c r="N479" t="e">
        <f>FIND("@", SUBSTITUTE(tblPassengerNames[[#This Row],[InParenthesesCleaned]], " ", "@", tblPassengerNames[[#This Row],[P_NSpaces]]))</f>
        <v>#VALUE!</v>
      </c>
      <c r="O479" t="e">
        <f>IF(tblPassengerNames[[#This Row],[P_NSpaces]] = 0,
    tblPassengerNames[[#This Row],[InParenthesesCleaned]],
    LEFT(tblPassengerNames[[#This Row],[InParenthesesCleaned]], tblPassengerNames[[#This Row],[P_FinalSpacePos]] - 1)
)</f>
        <v>#VALUE!</v>
      </c>
      <c r="P479" t="str">
        <f>IFERROR(tblPassengerNames[[#This Row],[P_Forenames]], tblPassengerNames[[#This Row],[ConvForenames]])</f>
        <v>William</v>
      </c>
      <c r="Q479" t="str">
        <f>MID(tblPassengerNames[[#This Row],[Name]], tblPassengerNames[[#This Row],[CommaPos]] + 2, tblPassengerNames[[#This Row],[DotPos]] - tblPassengerNames[[#This Row],[CommaPos]] - 1)</f>
        <v>Rev.</v>
      </c>
      <c r="R479" t="str">
        <f>LEFT(tblPassengerNames[[#This Row],[Name]], tblPassengerNames[[#This Row],[CommaPos]] - 1)</f>
        <v>Lahtinen</v>
      </c>
    </row>
    <row r="480" spans="2:18" x14ac:dyDescent="0.25">
      <c r="B480" s="21">
        <v>478</v>
      </c>
      <c r="C480" s="21" t="s">
        <v>614</v>
      </c>
      <c r="D480" s="21" t="s">
        <v>138</v>
      </c>
      <c r="E480">
        <f>FIND(",", tblPassengerNames[[#This Row],[Name]])</f>
        <v>5</v>
      </c>
      <c r="F480">
        <f>FIND(".", tblPassengerNames[[#This Row],[Name]])</f>
        <v>9</v>
      </c>
      <c r="G480" t="e">
        <f>FIND("(", tblPassengerNames[[#This Row],[Name]])</f>
        <v>#VALUE!</v>
      </c>
      <c r="H480" t="e">
        <f>FIND(")", tblPassengerNames[[#This Row],[Name]])</f>
        <v>#VALUE!</v>
      </c>
      <c r="I480">
        <f>IFERROR(tblPassengerNames[[#This Row],[OpenParPos]] - 2, LEN(tblPassengerNames[[#This Row],[Name]]))</f>
        <v>21</v>
      </c>
      <c r="J480" t="str">
        <f>MID(tblPassengerNames[[#This Row],[Name]], tblPassengerNames[[#This Row],[DotPos]] + 2, tblPassengerNames[[#This Row],[EndOfConvFNPos]] - tblPassengerNames[[#This Row],[DotPos]] - 1)</f>
        <v>John Joseph</v>
      </c>
      <c r="K480" t="e">
        <f>MID(tblPassengerNames[[#This Row],[Name]], tblPassengerNames[[#This Row],[OpenParPos]] + 1, tblPassengerNames[[#This Row],[CloseParPos]] - tblPassengerNames[[#This Row],[OpenParPos]] - 1)</f>
        <v>#VALUE!</v>
      </c>
      <c r="L480" t="e">
        <f>IF(AND(LEFT(tblPassengerNames[[#This Row],[InParentheses]], 1) = "'", RIGHT(tblPassengerNames[[#This Row],[InParentheses]], 1) = "'"),
    #VALUE!,
    tblPassengerNames[[#This Row],[InParentheses]]
)</f>
        <v>#VALUE!</v>
      </c>
      <c r="M480" t="e">
        <f>LEN(tblPassengerNames[[#This Row],[InParenthesesCleaned]]) - LEN(SUBSTITUTE(tblPassengerNames[[#This Row],[InParenthesesCleaned]], " ", ""))</f>
        <v>#VALUE!</v>
      </c>
      <c r="N480" t="e">
        <f>FIND("@", SUBSTITUTE(tblPassengerNames[[#This Row],[InParenthesesCleaned]], " ", "@", tblPassengerNames[[#This Row],[P_NSpaces]]))</f>
        <v>#VALUE!</v>
      </c>
      <c r="O480" t="e">
        <f>IF(tblPassengerNames[[#This Row],[P_NSpaces]] = 0,
    tblPassengerNames[[#This Row],[InParenthesesCleaned]],
    LEFT(tblPassengerNames[[#This Row],[InParenthesesCleaned]], tblPassengerNames[[#This Row],[P_FinalSpacePos]] - 1)
)</f>
        <v>#VALUE!</v>
      </c>
      <c r="P480" t="str">
        <f>IFERROR(tblPassengerNames[[#This Row],[P_Forenames]], tblPassengerNames[[#This Row],[ConvForenames]])</f>
        <v>John Joseph</v>
      </c>
      <c r="Q480" t="str">
        <f>MID(tblPassengerNames[[#This Row],[Name]], tblPassengerNames[[#This Row],[CommaPos]] + 2, tblPassengerNames[[#This Row],[DotPos]] - tblPassengerNames[[#This Row],[CommaPos]] - 1)</f>
        <v>Mr.</v>
      </c>
      <c r="R480" t="str">
        <f>LEFT(tblPassengerNames[[#This Row],[Name]], tblPassengerNames[[#This Row],[CommaPos]] - 1)</f>
        <v>Lamb</v>
      </c>
    </row>
    <row r="481" spans="2:18" x14ac:dyDescent="0.25">
      <c r="B481" s="21">
        <v>479</v>
      </c>
      <c r="C481" s="21" t="s">
        <v>615</v>
      </c>
      <c r="D481" s="21" t="s">
        <v>136</v>
      </c>
      <c r="E481">
        <f>FIND(",", tblPassengerNames[[#This Row],[Name]])</f>
        <v>8</v>
      </c>
      <c r="F481">
        <f>FIND(".", tblPassengerNames[[#This Row],[Name]])</f>
        <v>14</v>
      </c>
      <c r="G481" t="e">
        <f>FIND("(", tblPassengerNames[[#This Row],[Name]])</f>
        <v>#VALUE!</v>
      </c>
      <c r="H481" t="e">
        <f>FIND(")", tblPassengerNames[[#This Row],[Name]])</f>
        <v>#VALUE!</v>
      </c>
      <c r="I481">
        <f>IFERROR(tblPassengerNames[[#This Row],[OpenParPos]] - 2, LEN(tblPassengerNames[[#This Row],[Name]]))</f>
        <v>21</v>
      </c>
      <c r="J481" t="str">
        <f>MID(tblPassengerNames[[#This Row],[Name]], tblPassengerNames[[#This Row],[DotPos]] + 2, tblPassengerNames[[#This Row],[EndOfConvFNPos]] - tblPassengerNames[[#This Row],[DotPos]] - 1)</f>
        <v>Louise</v>
      </c>
      <c r="K481" t="e">
        <f>MID(tblPassengerNames[[#This Row],[Name]], tblPassengerNames[[#This Row],[OpenParPos]] + 1, tblPassengerNames[[#This Row],[CloseParPos]] - tblPassengerNames[[#This Row],[OpenParPos]] - 1)</f>
        <v>#VALUE!</v>
      </c>
      <c r="L481" t="e">
        <f>IF(AND(LEFT(tblPassengerNames[[#This Row],[InParentheses]], 1) = "'", RIGHT(tblPassengerNames[[#This Row],[InParentheses]], 1) = "'"),
    #VALUE!,
    tblPassengerNames[[#This Row],[InParentheses]]
)</f>
        <v>#VALUE!</v>
      </c>
      <c r="M481" t="e">
        <f>LEN(tblPassengerNames[[#This Row],[InParenthesesCleaned]]) - LEN(SUBSTITUTE(tblPassengerNames[[#This Row],[InParenthesesCleaned]], " ", ""))</f>
        <v>#VALUE!</v>
      </c>
      <c r="N481" t="e">
        <f>FIND("@", SUBSTITUTE(tblPassengerNames[[#This Row],[InParenthesesCleaned]], " ", "@", tblPassengerNames[[#This Row],[P_NSpaces]]))</f>
        <v>#VALUE!</v>
      </c>
      <c r="O481" t="e">
        <f>IF(tblPassengerNames[[#This Row],[P_NSpaces]] = 0,
    tblPassengerNames[[#This Row],[InParenthesesCleaned]],
    LEFT(tblPassengerNames[[#This Row],[InParenthesesCleaned]], tblPassengerNames[[#This Row],[P_FinalSpacePos]] - 1)
)</f>
        <v>#VALUE!</v>
      </c>
      <c r="P481" t="str">
        <f>IFERROR(tblPassengerNames[[#This Row],[P_Forenames]], tblPassengerNames[[#This Row],[ConvForenames]])</f>
        <v>Louise</v>
      </c>
      <c r="Q481" t="str">
        <f>MID(tblPassengerNames[[#This Row],[Name]], tblPassengerNames[[#This Row],[CommaPos]] + 2, tblPassengerNames[[#This Row],[DotPos]] - tblPassengerNames[[#This Row],[CommaPos]] - 1)</f>
        <v>Miss.</v>
      </c>
      <c r="R481" t="str">
        <f>LEFT(tblPassengerNames[[#This Row],[Name]], tblPassengerNames[[#This Row],[CommaPos]] - 1)</f>
        <v>Laroche</v>
      </c>
    </row>
    <row r="482" spans="2:18" x14ac:dyDescent="0.25">
      <c r="B482" s="21">
        <v>480</v>
      </c>
      <c r="C482" s="21" t="s">
        <v>616</v>
      </c>
      <c r="D482" s="21" t="s">
        <v>136</v>
      </c>
      <c r="E482">
        <f>FIND(",", tblPassengerNames[[#This Row],[Name]])</f>
        <v>8</v>
      </c>
      <c r="F482">
        <f>FIND(".", tblPassengerNames[[#This Row],[Name]])</f>
        <v>14</v>
      </c>
      <c r="G482" t="e">
        <f>FIND("(", tblPassengerNames[[#This Row],[Name]])</f>
        <v>#VALUE!</v>
      </c>
      <c r="H482" t="e">
        <f>FIND(")", tblPassengerNames[[#This Row],[Name]])</f>
        <v>#VALUE!</v>
      </c>
      <c r="I482">
        <f>IFERROR(tblPassengerNames[[#This Row],[OpenParPos]] - 2, LEN(tblPassengerNames[[#This Row],[Name]]))</f>
        <v>40</v>
      </c>
      <c r="J482" t="str">
        <f>MID(tblPassengerNames[[#This Row],[Name]], tblPassengerNames[[#This Row],[DotPos]] + 2, tblPassengerNames[[#This Row],[EndOfConvFNPos]] - tblPassengerNames[[#This Row],[DotPos]] - 1)</f>
        <v>Simonne Marie Anne Andree</v>
      </c>
      <c r="K482" t="e">
        <f>MID(tblPassengerNames[[#This Row],[Name]], tblPassengerNames[[#This Row],[OpenParPos]] + 1, tblPassengerNames[[#This Row],[CloseParPos]] - tblPassengerNames[[#This Row],[OpenParPos]] - 1)</f>
        <v>#VALUE!</v>
      </c>
      <c r="L482" t="e">
        <f>IF(AND(LEFT(tblPassengerNames[[#This Row],[InParentheses]], 1) = "'", RIGHT(tblPassengerNames[[#This Row],[InParentheses]], 1) = "'"),
    #VALUE!,
    tblPassengerNames[[#This Row],[InParentheses]]
)</f>
        <v>#VALUE!</v>
      </c>
      <c r="M482" t="e">
        <f>LEN(tblPassengerNames[[#This Row],[InParenthesesCleaned]]) - LEN(SUBSTITUTE(tblPassengerNames[[#This Row],[InParenthesesCleaned]], " ", ""))</f>
        <v>#VALUE!</v>
      </c>
      <c r="N482" t="e">
        <f>FIND("@", SUBSTITUTE(tblPassengerNames[[#This Row],[InParenthesesCleaned]], " ", "@", tblPassengerNames[[#This Row],[P_NSpaces]]))</f>
        <v>#VALUE!</v>
      </c>
      <c r="O482" t="e">
        <f>IF(tblPassengerNames[[#This Row],[P_NSpaces]] = 0,
    tblPassengerNames[[#This Row],[InParenthesesCleaned]],
    LEFT(tblPassengerNames[[#This Row],[InParenthesesCleaned]], tblPassengerNames[[#This Row],[P_FinalSpacePos]] - 1)
)</f>
        <v>#VALUE!</v>
      </c>
      <c r="P482" t="str">
        <f>IFERROR(tblPassengerNames[[#This Row],[P_Forenames]], tblPassengerNames[[#This Row],[ConvForenames]])</f>
        <v>Simonne Marie Anne Andree</v>
      </c>
      <c r="Q482" t="str">
        <f>MID(tblPassengerNames[[#This Row],[Name]], tblPassengerNames[[#This Row],[CommaPos]] + 2, tblPassengerNames[[#This Row],[DotPos]] - tblPassengerNames[[#This Row],[CommaPos]] - 1)</f>
        <v>Miss.</v>
      </c>
      <c r="R482" t="str">
        <f>LEFT(tblPassengerNames[[#This Row],[Name]], tblPassengerNames[[#This Row],[CommaPos]] - 1)</f>
        <v>Laroche</v>
      </c>
    </row>
    <row r="483" spans="2:18" x14ac:dyDescent="0.25">
      <c r="B483" s="21">
        <v>481</v>
      </c>
      <c r="C483" s="21" t="s">
        <v>617</v>
      </c>
      <c r="D483" s="21" t="s">
        <v>138</v>
      </c>
      <c r="E483">
        <f>FIND(",", tblPassengerNames[[#This Row],[Name]])</f>
        <v>8</v>
      </c>
      <c r="F483">
        <f>FIND(".", tblPassengerNames[[#This Row],[Name]])</f>
        <v>12</v>
      </c>
      <c r="G483" t="e">
        <f>FIND("(", tblPassengerNames[[#This Row],[Name]])</f>
        <v>#VALUE!</v>
      </c>
      <c r="H483" t="e">
        <f>FIND(")", tblPassengerNames[[#This Row],[Name]])</f>
        <v>#VALUE!</v>
      </c>
      <c r="I483">
        <f>IFERROR(tblPassengerNames[[#This Row],[OpenParPos]] - 2, LEN(tblPassengerNames[[#This Row],[Name]]))</f>
        <v>38</v>
      </c>
      <c r="J483" t="str">
        <f>MID(tblPassengerNames[[#This Row],[Name]], tblPassengerNames[[#This Row],[DotPos]] + 2, tblPassengerNames[[#This Row],[EndOfConvFNPos]] - tblPassengerNames[[#This Row],[DotPos]] - 1)</f>
        <v>Joseph Philippe Lemercier</v>
      </c>
      <c r="K483" t="e">
        <f>MID(tblPassengerNames[[#This Row],[Name]], tblPassengerNames[[#This Row],[OpenParPos]] + 1, tblPassengerNames[[#This Row],[CloseParPos]] - tblPassengerNames[[#This Row],[OpenParPos]] - 1)</f>
        <v>#VALUE!</v>
      </c>
      <c r="L483" t="e">
        <f>IF(AND(LEFT(tblPassengerNames[[#This Row],[InParentheses]], 1) = "'", RIGHT(tblPassengerNames[[#This Row],[InParentheses]], 1) = "'"),
    #VALUE!,
    tblPassengerNames[[#This Row],[InParentheses]]
)</f>
        <v>#VALUE!</v>
      </c>
      <c r="M483" t="e">
        <f>LEN(tblPassengerNames[[#This Row],[InParenthesesCleaned]]) - LEN(SUBSTITUTE(tblPassengerNames[[#This Row],[InParenthesesCleaned]], " ", ""))</f>
        <v>#VALUE!</v>
      </c>
      <c r="N483" t="e">
        <f>FIND("@", SUBSTITUTE(tblPassengerNames[[#This Row],[InParenthesesCleaned]], " ", "@", tblPassengerNames[[#This Row],[P_NSpaces]]))</f>
        <v>#VALUE!</v>
      </c>
      <c r="O483" t="e">
        <f>IF(tblPassengerNames[[#This Row],[P_NSpaces]] = 0,
    tblPassengerNames[[#This Row],[InParenthesesCleaned]],
    LEFT(tblPassengerNames[[#This Row],[InParenthesesCleaned]], tblPassengerNames[[#This Row],[P_FinalSpacePos]] - 1)
)</f>
        <v>#VALUE!</v>
      </c>
      <c r="P483" t="str">
        <f>IFERROR(tblPassengerNames[[#This Row],[P_Forenames]], tblPassengerNames[[#This Row],[ConvForenames]])</f>
        <v>Joseph Philippe Lemercier</v>
      </c>
      <c r="Q483" t="str">
        <f>MID(tblPassengerNames[[#This Row],[Name]], tblPassengerNames[[#This Row],[CommaPos]] + 2, tblPassengerNames[[#This Row],[DotPos]] - tblPassengerNames[[#This Row],[CommaPos]] - 1)</f>
        <v>Mr.</v>
      </c>
      <c r="R483" t="str">
        <f>LEFT(tblPassengerNames[[#This Row],[Name]], tblPassengerNames[[#This Row],[CommaPos]] - 1)</f>
        <v>Laroche</v>
      </c>
    </row>
    <row r="484" spans="2:18" x14ac:dyDescent="0.25">
      <c r="B484" s="21">
        <v>482</v>
      </c>
      <c r="C484" s="21" t="s">
        <v>618</v>
      </c>
      <c r="D484" s="21" t="s">
        <v>136</v>
      </c>
      <c r="E484">
        <f>FIND(",", tblPassengerNames[[#This Row],[Name]])</f>
        <v>8</v>
      </c>
      <c r="F484">
        <f>FIND(".", tblPassengerNames[[#This Row],[Name]])</f>
        <v>13</v>
      </c>
      <c r="G484">
        <f>FIND("(", tblPassengerNames[[#This Row],[Name]])</f>
        <v>22</v>
      </c>
      <c r="H484">
        <f>FIND(")", tblPassengerNames[[#This Row],[Name]])</f>
        <v>53</v>
      </c>
      <c r="I484">
        <f>IFERROR(tblPassengerNames[[#This Row],[OpenParPos]] - 2, LEN(tblPassengerNames[[#This Row],[Name]]))</f>
        <v>20</v>
      </c>
      <c r="J484" t="str">
        <f>MID(tblPassengerNames[[#This Row],[Name]], tblPassengerNames[[#This Row],[DotPos]] + 2, tblPassengerNames[[#This Row],[EndOfConvFNPos]] - tblPassengerNames[[#This Row],[DotPos]] - 1)</f>
        <v>Joseph</v>
      </c>
      <c r="K484" t="str">
        <f>MID(tblPassengerNames[[#This Row],[Name]], tblPassengerNames[[#This Row],[OpenParPos]] + 1, tblPassengerNames[[#This Row],[CloseParPos]] - tblPassengerNames[[#This Row],[OpenParPos]] - 1)</f>
        <v>Juliette Marie Louise Lafargue</v>
      </c>
      <c r="L484" t="str">
        <f>IF(AND(LEFT(tblPassengerNames[[#This Row],[InParentheses]], 1) = "'", RIGHT(tblPassengerNames[[#This Row],[InParentheses]], 1) = "'"),
    #VALUE!,
    tblPassengerNames[[#This Row],[InParentheses]]
)</f>
        <v>Juliette Marie Louise Lafargue</v>
      </c>
      <c r="M484">
        <f>LEN(tblPassengerNames[[#This Row],[InParenthesesCleaned]]) - LEN(SUBSTITUTE(tblPassengerNames[[#This Row],[InParenthesesCleaned]], " ", ""))</f>
        <v>3</v>
      </c>
      <c r="N484">
        <f>FIND("@", SUBSTITUTE(tblPassengerNames[[#This Row],[InParenthesesCleaned]], " ", "@", tblPassengerNames[[#This Row],[P_NSpaces]]))</f>
        <v>22</v>
      </c>
      <c r="O484" t="str">
        <f>IF(tblPassengerNames[[#This Row],[P_NSpaces]] = 0,
    tblPassengerNames[[#This Row],[InParenthesesCleaned]],
    LEFT(tblPassengerNames[[#This Row],[InParenthesesCleaned]], tblPassengerNames[[#This Row],[P_FinalSpacePos]] - 1)
)</f>
        <v>Juliette Marie Louise</v>
      </c>
      <c r="P484" t="str">
        <f>IFERROR(tblPassengerNames[[#This Row],[P_Forenames]], tblPassengerNames[[#This Row],[ConvForenames]])</f>
        <v>Juliette Marie Louise</v>
      </c>
      <c r="Q484" t="str">
        <f>MID(tblPassengerNames[[#This Row],[Name]], tblPassengerNames[[#This Row],[CommaPos]] + 2, tblPassengerNames[[#This Row],[DotPos]] - tblPassengerNames[[#This Row],[CommaPos]] - 1)</f>
        <v>Mrs.</v>
      </c>
      <c r="R484" t="str">
        <f>LEFT(tblPassengerNames[[#This Row],[Name]], tblPassengerNames[[#This Row],[CommaPos]] - 1)</f>
        <v>Laroche</v>
      </c>
    </row>
    <row r="485" spans="2:18" x14ac:dyDescent="0.25">
      <c r="B485" s="21">
        <v>483</v>
      </c>
      <c r="C485" s="21" t="s">
        <v>619</v>
      </c>
      <c r="D485" s="21" t="s">
        <v>136</v>
      </c>
      <c r="E485">
        <f>FIND(",", tblPassengerNames[[#This Row],[Name]])</f>
        <v>8</v>
      </c>
      <c r="F485">
        <f>FIND(".", tblPassengerNames[[#This Row],[Name]])</f>
        <v>14</v>
      </c>
      <c r="G485" t="e">
        <f>FIND("(", tblPassengerNames[[#This Row],[Name]])</f>
        <v>#VALUE!</v>
      </c>
      <c r="H485" t="e">
        <f>FIND(")", tblPassengerNames[[#This Row],[Name]])</f>
        <v>#VALUE!</v>
      </c>
      <c r="I485">
        <f>IFERROR(tblPassengerNames[[#This Row],[OpenParPos]] - 2, LEN(tblPassengerNames[[#This Row],[Name]]))</f>
        <v>21</v>
      </c>
      <c r="J485" t="str">
        <f>MID(tblPassengerNames[[#This Row],[Name]], tblPassengerNames[[#This Row],[DotPos]] + 2, tblPassengerNames[[#This Row],[EndOfConvFNPos]] - tblPassengerNames[[#This Row],[DotPos]] - 1)</f>
        <v>Bertha</v>
      </c>
      <c r="K485" t="e">
        <f>MID(tblPassengerNames[[#This Row],[Name]], tblPassengerNames[[#This Row],[OpenParPos]] + 1, tblPassengerNames[[#This Row],[CloseParPos]] - tblPassengerNames[[#This Row],[OpenParPos]] - 1)</f>
        <v>#VALUE!</v>
      </c>
      <c r="L485" t="e">
        <f>IF(AND(LEFT(tblPassengerNames[[#This Row],[InParentheses]], 1) = "'", RIGHT(tblPassengerNames[[#This Row],[InParentheses]], 1) = "'"),
    #VALUE!,
    tblPassengerNames[[#This Row],[InParentheses]]
)</f>
        <v>#VALUE!</v>
      </c>
      <c r="M485" t="e">
        <f>LEN(tblPassengerNames[[#This Row],[InParenthesesCleaned]]) - LEN(SUBSTITUTE(tblPassengerNames[[#This Row],[InParenthesesCleaned]], " ", ""))</f>
        <v>#VALUE!</v>
      </c>
      <c r="N485" t="e">
        <f>FIND("@", SUBSTITUTE(tblPassengerNames[[#This Row],[InParenthesesCleaned]], " ", "@", tblPassengerNames[[#This Row],[P_NSpaces]]))</f>
        <v>#VALUE!</v>
      </c>
      <c r="O485" t="e">
        <f>IF(tblPassengerNames[[#This Row],[P_NSpaces]] = 0,
    tblPassengerNames[[#This Row],[InParenthesesCleaned]],
    LEFT(tblPassengerNames[[#This Row],[InParenthesesCleaned]], tblPassengerNames[[#This Row],[P_FinalSpacePos]] - 1)
)</f>
        <v>#VALUE!</v>
      </c>
      <c r="P485" t="str">
        <f>IFERROR(tblPassengerNames[[#This Row],[P_Forenames]], tblPassengerNames[[#This Row],[ConvForenames]])</f>
        <v>Bertha</v>
      </c>
      <c r="Q485" t="str">
        <f>MID(tblPassengerNames[[#This Row],[Name]], tblPassengerNames[[#This Row],[CommaPos]] + 2, tblPassengerNames[[#This Row],[DotPos]] - tblPassengerNames[[#This Row],[CommaPos]] - 1)</f>
        <v>Miss.</v>
      </c>
      <c r="R485" t="str">
        <f>LEFT(tblPassengerNames[[#This Row],[Name]], tblPassengerNames[[#This Row],[CommaPos]] - 1)</f>
        <v>Lehmann</v>
      </c>
    </row>
    <row r="486" spans="2:18" x14ac:dyDescent="0.25">
      <c r="B486" s="21">
        <v>484</v>
      </c>
      <c r="C486" s="21" t="s">
        <v>620</v>
      </c>
      <c r="D486" s="21" t="s">
        <v>136</v>
      </c>
      <c r="E486">
        <f>FIND(",", tblPassengerNames[[#This Row],[Name]])</f>
        <v>7</v>
      </c>
      <c r="F486">
        <f>FIND(".", tblPassengerNames[[#This Row],[Name]])</f>
        <v>13</v>
      </c>
      <c r="G486" t="e">
        <f>FIND("(", tblPassengerNames[[#This Row],[Name]])</f>
        <v>#VALUE!</v>
      </c>
      <c r="H486" t="e">
        <f>FIND(")", tblPassengerNames[[#This Row],[Name]])</f>
        <v>#VALUE!</v>
      </c>
      <c r="I486">
        <f>IFERROR(tblPassengerNames[[#This Row],[OpenParPos]] - 2, LEN(tblPassengerNames[[#This Row],[Name]]))</f>
        <v>26</v>
      </c>
      <c r="J486" t="str">
        <f>MID(tblPassengerNames[[#This Row],[Name]], tblPassengerNames[[#This Row],[DotPos]] + 2, tblPassengerNames[[#This Row],[EndOfConvFNPos]] - tblPassengerNames[[#This Row],[DotPos]] - 1)</f>
        <v>Jessie Wills</v>
      </c>
      <c r="K486" t="e">
        <f>MID(tblPassengerNames[[#This Row],[Name]], tblPassengerNames[[#This Row],[OpenParPos]] + 1, tblPassengerNames[[#This Row],[CloseParPos]] - tblPassengerNames[[#This Row],[OpenParPos]] - 1)</f>
        <v>#VALUE!</v>
      </c>
      <c r="L486" t="e">
        <f>IF(AND(LEFT(tblPassengerNames[[#This Row],[InParentheses]], 1) = "'", RIGHT(tblPassengerNames[[#This Row],[InParentheses]], 1) = "'"),
    #VALUE!,
    tblPassengerNames[[#This Row],[InParentheses]]
)</f>
        <v>#VALUE!</v>
      </c>
      <c r="M486" t="e">
        <f>LEN(tblPassengerNames[[#This Row],[InParenthesesCleaned]]) - LEN(SUBSTITUTE(tblPassengerNames[[#This Row],[InParenthesesCleaned]], " ", ""))</f>
        <v>#VALUE!</v>
      </c>
      <c r="N486" t="e">
        <f>FIND("@", SUBSTITUTE(tblPassengerNames[[#This Row],[InParenthesesCleaned]], " ", "@", tblPassengerNames[[#This Row],[P_NSpaces]]))</f>
        <v>#VALUE!</v>
      </c>
      <c r="O486" t="e">
        <f>IF(tblPassengerNames[[#This Row],[P_NSpaces]] = 0,
    tblPassengerNames[[#This Row],[InParenthesesCleaned]],
    LEFT(tblPassengerNames[[#This Row],[InParenthesesCleaned]], tblPassengerNames[[#This Row],[P_FinalSpacePos]] - 1)
)</f>
        <v>#VALUE!</v>
      </c>
      <c r="P486" t="str">
        <f>IFERROR(tblPassengerNames[[#This Row],[P_Forenames]], tblPassengerNames[[#This Row],[ConvForenames]])</f>
        <v>Jessie Wills</v>
      </c>
      <c r="Q486" t="str">
        <f>MID(tblPassengerNames[[#This Row],[Name]], tblPassengerNames[[#This Row],[CommaPos]] + 2, tblPassengerNames[[#This Row],[DotPos]] - tblPassengerNames[[#This Row],[CommaPos]] - 1)</f>
        <v>Miss.</v>
      </c>
      <c r="R486" t="str">
        <f>LEFT(tblPassengerNames[[#This Row],[Name]], tblPassengerNames[[#This Row],[CommaPos]] - 1)</f>
        <v>Leitch</v>
      </c>
    </row>
    <row r="487" spans="2:18" x14ac:dyDescent="0.25">
      <c r="B487" s="21">
        <v>485</v>
      </c>
      <c r="C487" s="21" t="s">
        <v>621</v>
      </c>
      <c r="D487" s="21" t="s">
        <v>136</v>
      </c>
      <c r="E487">
        <f>FIND(",", tblPassengerNames[[#This Row],[Name]])</f>
        <v>7</v>
      </c>
      <c r="F487">
        <f>FIND(".", tblPassengerNames[[#This Row],[Name]])</f>
        <v>12</v>
      </c>
      <c r="G487">
        <f>FIND("(", tblPassengerNames[[#This Row],[Name]])</f>
        <v>14</v>
      </c>
      <c r="H487">
        <f>FIND(")", tblPassengerNames[[#This Row],[Name]])</f>
        <v>28</v>
      </c>
      <c r="I487">
        <f>IFERROR(tblPassengerNames[[#This Row],[OpenParPos]] - 2, LEN(tblPassengerNames[[#This Row],[Name]]))</f>
        <v>12</v>
      </c>
      <c r="J487" t="e">
        <f>MID(tblPassengerNames[[#This Row],[Name]], tblPassengerNames[[#This Row],[DotPos]] + 2, tblPassengerNames[[#This Row],[EndOfConvFNPos]] - tblPassengerNames[[#This Row],[DotPos]] - 1)</f>
        <v>#VALUE!</v>
      </c>
      <c r="K487" t="str">
        <f>MID(tblPassengerNames[[#This Row],[Name]], tblPassengerNames[[#This Row],[OpenParPos]] + 1, tblPassengerNames[[#This Row],[CloseParPos]] - tblPassengerNames[[#This Row],[OpenParPos]] - 1)</f>
        <v>Amelia Milley</v>
      </c>
      <c r="L487" t="str">
        <f>IF(AND(LEFT(tblPassengerNames[[#This Row],[InParentheses]], 1) = "'", RIGHT(tblPassengerNames[[#This Row],[InParentheses]], 1) = "'"),
    #VALUE!,
    tblPassengerNames[[#This Row],[InParentheses]]
)</f>
        <v>Amelia Milley</v>
      </c>
      <c r="M487">
        <f>LEN(tblPassengerNames[[#This Row],[InParenthesesCleaned]]) - LEN(SUBSTITUTE(tblPassengerNames[[#This Row],[InParenthesesCleaned]], " ", ""))</f>
        <v>1</v>
      </c>
      <c r="N487">
        <f>FIND("@", SUBSTITUTE(tblPassengerNames[[#This Row],[InParenthesesCleaned]], " ", "@", tblPassengerNames[[#This Row],[P_NSpaces]]))</f>
        <v>7</v>
      </c>
      <c r="O487" t="str">
        <f>IF(tblPassengerNames[[#This Row],[P_NSpaces]] = 0,
    tblPassengerNames[[#This Row],[InParenthesesCleaned]],
    LEFT(tblPassengerNames[[#This Row],[InParenthesesCleaned]], tblPassengerNames[[#This Row],[P_FinalSpacePos]] - 1)
)</f>
        <v>Amelia</v>
      </c>
      <c r="P487" t="str">
        <f>IFERROR(tblPassengerNames[[#This Row],[P_Forenames]], tblPassengerNames[[#This Row],[ConvForenames]])</f>
        <v>Amelia</v>
      </c>
      <c r="Q487" t="str">
        <f>MID(tblPassengerNames[[#This Row],[Name]], tblPassengerNames[[#This Row],[CommaPos]] + 2, tblPassengerNames[[#This Row],[DotPos]] - tblPassengerNames[[#This Row],[CommaPos]] - 1)</f>
        <v>Mrs.</v>
      </c>
      <c r="R487" t="str">
        <f>LEFT(tblPassengerNames[[#This Row],[Name]], tblPassengerNames[[#This Row],[CommaPos]] - 1)</f>
        <v>Lemore</v>
      </c>
    </row>
    <row r="488" spans="2:18" x14ac:dyDescent="0.25">
      <c r="B488" s="21">
        <v>486</v>
      </c>
      <c r="C488" s="21" t="s">
        <v>622</v>
      </c>
      <c r="D488" s="21" t="s">
        <v>138</v>
      </c>
      <c r="E488">
        <f>FIND(",", tblPassengerNames[[#This Row],[Name]])</f>
        <v>5</v>
      </c>
      <c r="F488">
        <f>FIND(".", tblPassengerNames[[#This Row],[Name]])</f>
        <v>9</v>
      </c>
      <c r="G488" t="e">
        <f>FIND("(", tblPassengerNames[[#This Row],[Name]])</f>
        <v>#VALUE!</v>
      </c>
      <c r="H488" t="e">
        <f>FIND(")", tblPassengerNames[[#This Row],[Name]])</f>
        <v>#VALUE!</v>
      </c>
      <c r="I488">
        <f>IFERROR(tblPassengerNames[[#This Row],[OpenParPos]] - 2, LEN(tblPassengerNames[[#This Row],[Name]]))</f>
        <v>22</v>
      </c>
      <c r="J488" t="str">
        <f>MID(tblPassengerNames[[#This Row],[Name]], tblPassengerNames[[#This Row],[DotPos]] + 2, tblPassengerNames[[#This Row],[EndOfConvFNPos]] - tblPassengerNames[[#This Row],[DotPos]] - 1)</f>
        <v>Rene Jacques</v>
      </c>
      <c r="K488" t="e">
        <f>MID(tblPassengerNames[[#This Row],[Name]], tblPassengerNames[[#This Row],[OpenParPos]] + 1, tblPassengerNames[[#This Row],[CloseParPos]] - tblPassengerNames[[#This Row],[OpenParPos]] - 1)</f>
        <v>#VALUE!</v>
      </c>
      <c r="L488" t="e">
        <f>IF(AND(LEFT(tblPassengerNames[[#This Row],[InParentheses]], 1) = "'", RIGHT(tblPassengerNames[[#This Row],[InParentheses]], 1) = "'"),
    #VALUE!,
    tblPassengerNames[[#This Row],[InParentheses]]
)</f>
        <v>#VALUE!</v>
      </c>
      <c r="M488" t="e">
        <f>LEN(tblPassengerNames[[#This Row],[InParenthesesCleaned]]) - LEN(SUBSTITUTE(tblPassengerNames[[#This Row],[InParenthesesCleaned]], " ", ""))</f>
        <v>#VALUE!</v>
      </c>
      <c r="N488" t="e">
        <f>FIND("@", SUBSTITUTE(tblPassengerNames[[#This Row],[InParenthesesCleaned]], " ", "@", tblPassengerNames[[#This Row],[P_NSpaces]]))</f>
        <v>#VALUE!</v>
      </c>
      <c r="O488" t="e">
        <f>IF(tblPassengerNames[[#This Row],[P_NSpaces]] = 0,
    tblPassengerNames[[#This Row],[InParenthesesCleaned]],
    LEFT(tblPassengerNames[[#This Row],[InParenthesesCleaned]], tblPassengerNames[[#This Row],[P_FinalSpacePos]] - 1)
)</f>
        <v>#VALUE!</v>
      </c>
      <c r="P488" t="str">
        <f>IFERROR(tblPassengerNames[[#This Row],[P_Forenames]], tblPassengerNames[[#This Row],[ConvForenames]])</f>
        <v>Rene Jacques</v>
      </c>
      <c r="Q488" t="str">
        <f>MID(tblPassengerNames[[#This Row],[Name]], tblPassengerNames[[#This Row],[CommaPos]] + 2, tblPassengerNames[[#This Row],[DotPos]] - tblPassengerNames[[#This Row],[CommaPos]] - 1)</f>
        <v>Mr.</v>
      </c>
      <c r="R488" t="str">
        <f>LEFT(tblPassengerNames[[#This Row],[Name]], tblPassengerNames[[#This Row],[CommaPos]] - 1)</f>
        <v>Levy</v>
      </c>
    </row>
    <row r="489" spans="2:18" x14ac:dyDescent="0.25">
      <c r="B489" s="21">
        <v>487</v>
      </c>
      <c r="C489" s="21" t="s">
        <v>623</v>
      </c>
      <c r="D489" s="21" t="s">
        <v>138</v>
      </c>
      <c r="E489">
        <f>FIND(",", tblPassengerNames[[#This Row],[Name]])</f>
        <v>7</v>
      </c>
      <c r="F489">
        <f>FIND(".", tblPassengerNames[[#This Row],[Name]])</f>
        <v>11</v>
      </c>
      <c r="G489" t="e">
        <f>FIND("(", tblPassengerNames[[#This Row],[Name]])</f>
        <v>#VALUE!</v>
      </c>
      <c r="H489" t="e">
        <f>FIND(")", tblPassengerNames[[#This Row],[Name]])</f>
        <v>#VALUE!</v>
      </c>
      <c r="I489">
        <f>IFERROR(tblPassengerNames[[#This Row],[OpenParPos]] - 2, LEN(tblPassengerNames[[#This Row],[Name]]))</f>
        <v>33</v>
      </c>
      <c r="J489" t="str">
        <f>MID(tblPassengerNames[[#This Row],[Name]], tblPassengerNames[[#This Row],[DotPos]] + 2, tblPassengerNames[[#This Row],[EndOfConvFNPos]] - tblPassengerNames[[#This Row],[DotPos]] - 1)</f>
        <v>Robert William Norman</v>
      </c>
      <c r="K489" t="e">
        <f>MID(tblPassengerNames[[#This Row],[Name]], tblPassengerNames[[#This Row],[OpenParPos]] + 1, tblPassengerNames[[#This Row],[CloseParPos]] - tblPassengerNames[[#This Row],[OpenParPos]] - 1)</f>
        <v>#VALUE!</v>
      </c>
      <c r="L489" t="e">
        <f>IF(AND(LEFT(tblPassengerNames[[#This Row],[InParentheses]], 1) = "'", RIGHT(tblPassengerNames[[#This Row],[InParentheses]], 1) = "'"),
    #VALUE!,
    tblPassengerNames[[#This Row],[InParentheses]]
)</f>
        <v>#VALUE!</v>
      </c>
      <c r="M489" t="e">
        <f>LEN(tblPassengerNames[[#This Row],[InParenthesesCleaned]]) - LEN(SUBSTITUTE(tblPassengerNames[[#This Row],[InParenthesesCleaned]], " ", ""))</f>
        <v>#VALUE!</v>
      </c>
      <c r="N489" t="e">
        <f>FIND("@", SUBSTITUTE(tblPassengerNames[[#This Row],[InParenthesesCleaned]], " ", "@", tblPassengerNames[[#This Row],[P_NSpaces]]))</f>
        <v>#VALUE!</v>
      </c>
      <c r="O489" t="e">
        <f>IF(tblPassengerNames[[#This Row],[P_NSpaces]] = 0,
    tblPassengerNames[[#This Row],[InParenthesesCleaned]],
    LEFT(tblPassengerNames[[#This Row],[InParenthesesCleaned]], tblPassengerNames[[#This Row],[P_FinalSpacePos]] - 1)
)</f>
        <v>#VALUE!</v>
      </c>
      <c r="P489" t="str">
        <f>IFERROR(tblPassengerNames[[#This Row],[P_Forenames]], tblPassengerNames[[#This Row],[ConvForenames]])</f>
        <v>Robert William Norman</v>
      </c>
      <c r="Q489" t="str">
        <f>MID(tblPassengerNames[[#This Row],[Name]], tblPassengerNames[[#This Row],[CommaPos]] + 2, tblPassengerNames[[#This Row],[DotPos]] - tblPassengerNames[[#This Row],[CommaPos]] - 1)</f>
        <v>Mr.</v>
      </c>
      <c r="R489" t="str">
        <f>LEFT(tblPassengerNames[[#This Row],[Name]], tblPassengerNames[[#This Row],[CommaPos]] - 1)</f>
        <v>Leyson</v>
      </c>
    </row>
    <row r="490" spans="2:18" x14ac:dyDescent="0.25">
      <c r="B490" s="21">
        <v>488</v>
      </c>
      <c r="C490" s="21" t="s">
        <v>624</v>
      </c>
      <c r="D490" s="21" t="s">
        <v>138</v>
      </c>
      <c r="E490">
        <f>FIND(",", tblPassengerNames[[#This Row],[Name]])</f>
        <v>8</v>
      </c>
      <c r="F490">
        <f>FIND(".", tblPassengerNames[[#This Row],[Name]])</f>
        <v>12</v>
      </c>
      <c r="G490" t="e">
        <f>FIND("(", tblPassengerNames[[#This Row],[Name]])</f>
        <v>#VALUE!</v>
      </c>
      <c r="H490" t="e">
        <f>FIND(")", tblPassengerNames[[#This Row],[Name]])</f>
        <v>#VALUE!</v>
      </c>
      <c r="I490">
        <f>IFERROR(tblPassengerNames[[#This Row],[OpenParPos]] - 2, LEN(tblPassengerNames[[#This Row],[Name]]))</f>
        <v>17</v>
      </c>
      <c r="J490" t="str">
        <f>MID(tblPassengerNames[[#This Row],[Name]], tblPassengerNames[[#This Row],[DotPos]] + 2, tblPassengerNames[[#This Row],[EndOfConvFNPos]] - tblPassengerNames[[#This Row],[DotPos]] - 1)</f>
        <v>John</v>
      </c>
      <c r="K490" t="e">
        <f>MID(tblPassengerNames[[#This Row],[Name]], tblPassengerNames[[#This Row],[OpenParPos]] + 1, tblPassengerNames[[#This Row],[CloseParPos]] - tblPassengerNames[[#This Row],[OpenParPos]] - 1)</f>
        <v>#VALUE!</v>
      </c>
      <c r="L490" t="e">
        <f>IF(AND(LEFT(tblPassengerNames[[#This Row],[InParentheses]], 1) = "'", RIGHT(tblPassengerNames[[#This Row],[InParentheses]], 1) = "'"),
    #VALUE!,
    tblPassengerNames[[#This Row],[InParentheses]]
)</f>
        <v>#VALUE!</v>
      </c>
      <c r="M490" t="e">
        <f>LEN(tblPassengerNames[[#This Row],[InParenthesesCleaned]]) - LEN(SUBSTITUTE(tblPassengerNames[[#This Row],[InParenthesesCleaned]], " ", ""))</f>
        <v>#VALUE!</v>
      </c>
      <c r="N490" t="e">
        <f>FIND("@", SUBSTITUTE(tblPassengerNames[[#This Row],[InParenthesesCleaned]], " ", "@", tblPassengerNames[[#This Row],[P_NSpaces]]))</f>
        <v>#VALUE!</v>
      </c>
      <c r="O490" t="e">
        <f>IF(tblPassengerNames[[#This Row],[P_NSpaces]] = 0,
    tblPassengerNames[[#This Row],[InParenthesesCleaned]],
    LEFT(tblPassengerNames[[#This Row],[InParenthesesCleaned]], tblPassengerNames[[#This Row],[P_FinalSpacePos]] - 1)
)</f>
        <v>#VALUE!</v>
      </c>
      <c r="P490" t="str">
        <f>IFERROR(tblPassengerNames[[#This Row],[P_Forenames]], tblPassengerNames[[#This Row],[ConvForenames]])</f>
        <v>John</v>
      </c>
      <c r="Q490" t="str">
        <f>MID(tblPassengerNames[[#This Row],[Name]], tblPassengerNames[[#This Row],[CommaPos]] + 2, tblPassengerNames[[#This Row],[DotPos]] - tblPassengerNames[[#This Row],[CommaPos]] - 1)</f>
        <v>Mr.</v>
      </c>
      <c r="R490" t="str">
        <f>LEFT(tblPassengerNames[[#This Row],[Name]], tblPassengerNames[[#This Row],[CommaPos]] - 1)</f>
        <v>Lingane</v>
      </c>
    </row>
    <row r="491" spans="2:18" x14ac:dyDescent="0.25">
      <c r="B491" s="21">
        <v>489</v>
      </c>
      <c r="C491" s="21" t="s">
        <v>625</v>
      </c>
      <c r="D491" s="21" t="s">
        <v>138</v>
      </c>
      <c r="E491">
        <f>FIND(",", tblPassengerNames[[#This Row],[Name]])</f>
        <v>6</v>
      </c>
      <c r="F491">
        <f>FIND(".", tblPassengerNames[[#This Row],[Name]])</f>
        <v>10</v>
      </c>
      <c r="G491" t="e">
        <f>FIND("(", tblPassengerNames[[#This Row],[Name]])</f>
        <v>#VALUE!</v>
      </c>
      <c r="H491" t="e">
        <f>FIND(")", tblPassengerNames[[#This Row],[Name]])</f>
        <v>#VALUE!</v>
      </c>
      <c r="I491">
        <f>IFERROR(tblPassengerNames[[#This Row],[OpenParPos]] - 2, LEN(tblPassengerNames[[#This Row],[Name]]))</f>
        <v>28</v>
      </c>
      <c r="J491" t="str">
        <f>MID(tblPassengerNames[[#This Row],[Name]], tblPassengerNames[[#This Row],[DotPos]] + 2, tblPassengerNames[[#This Row],[EndOfConvFNPos]] - tblPassengerNames[[#This Row],[DotPos]] - 1)</f>
        <v>Charles Alexander</v>
      </c>
      <c r="K491" t="e">
        <f>MID(tblPassengerNames[[#This Row],[Name]], tblPassengerNames[[#This Row],[OpenParPos]] + 1, tblPassengerNames[[#This Row],[CloseParPos]] - tblPassengerNames[[#This Row],[OpenParPos]] - 1)</f>
        <v>#VALUE!</v>
      </c>
      <c r="L491" t="e">
        <f>IF(AND(LEFT(tblPassengerNames[[#This Row],[InParentheses]], 1) = "'", RIGHT(tblPassengerNames[[#This Row],[InParentheses]], 1) = "'"),
    #VALUE!,
    tblPassengerNames[[#This Row],[InParentheses]]
)</f>
        <v>#VALUE!</v>
      </c>
      <c r="M491" t="e">
        <f>LEN(tblPassengerNames[[#This Row],[InParenthesesCleaned]]) - LEN(SUBSTITUTE(tblPassengerNames[[#This Row],[InParenthesesCleaned]], " ", ""))</f>
        <v>#VALUE!</v>
      </c>
      <c r="N491" t="e">
        <f>FIND("@", SUBSTITUTE(tblPassengerNames[[#This Row],[InParenthesesCleaned]], " ", "@", tblPassengerNames[[#This Row],[P_NSpaces]]))</f>
        <v>#VALUE!</v>
      </c>
      <c r="O491" t="e">
        <f>IF(tblPassengerNames[[#This Row],[P_NSpaces]] = 0,
    tblPassengerNames[[#This Row],[InParenthesesCleaned]],
    LEFT(tblPassengerNames[[#This Row],[InParenthesesCleaned]], tblPassengerNames[[#This Row],[P_FinalSpacePos]] - 1)
)</f>
        <v>#VALUE!</v>
      </c>
      <c r="P491" t="str">
        <f>IFERROR(tblPassengerNames[[#This Row],[P_Forenames]], tblPassengerNames[[#This Row],[ConvForenames]])</f>
        <v>Charles Alexander</v>
      </c>
      <c r="Q491" t="str">
        <f>MID(tblPassengerNames[[#This Row],[Name]], tblPassengerNames[[#This Row],[CommaPos]] + 2, tblPassengerNames[[#This Row],[DotPos]] - tblPassengerNames[[#This Row],[CommaPos]] - 1)</f>
        <v>Mr.</v>
      </c>
      <c r="R491" t="str">
        <f>LEFT(tblPassengerNames[[#This Row],[Name]], tblPassengerNames[[#This Row],[CommaPos]] - 1)</f>
        <v>Louch</v>
      </c>
    </row>
    <row r="492" spans="2:18" x14ac:dyDescent="0.25">
      <c r="B492" s="21">
        <v>490</v>
      </c>
      <c r="C492" s="21" t="s">
        <v>626</v>
      </c>
      <c r="D492" s="21" t="s">
        <v>136</v>
      </c>
      <c r="E492">
        <f>FIND(",", tblPassengerNames[[#This Row],[Name]])</f>
        <v>6</v>
      </c>
      <c r="F492">
        <f>FIND(".", tblPassengerNames[[#This Row],[Name]])</f>
        <v>11</v>
      </c>
      <c r="G492">
        <f>FIND("(", tblPassengerNames[[#This Row],[Name]])</f>
        <v>31</v>
      </c>
      <c r="H492">
        <f>FIND(")", tblPassengerNames[[#This Row],[Name]])</f>
        <v>51</v>
      </c>
      <c r="I492">
        <f>IFERROR(tblPassengerNames[[#This Row],[OpenParPos]] - 2, LEN(tblPassengerNames[[#This Row],[Name]]))</f>
        <v>29</v>
      </c>
      <c r="J492" t="str">
        <f>MID(tblPassengerNames[[#This Row],[Name]], tblPassengerNames[[#This Row],[DotPos]] + 2, tblPassengerNames[[#This Row],[EndOfConvFNPos]] - tblPassengerNames[[#This Row],[DotPos]] - 1)</f>
        <v>Charles Alexander</v>
      </c>
      <c r="K492" t="str">
        <f>MID(tblPassengerNames[[#This Row],[Name]], tblPassengerNames[[#This Row],[OpenParPos]] + 1, tblPassengerNames[[#This Row],[CloseParPos]] - tblPassengerNames[[#This Row],[OpenParPos]] - 1)</f>
        <v>Alice Adelaide Slow</v>
      </c>
      <c r="L492" t="str">
        <f>IF(AND(LEFT(tblPassengerNames[[#This Row],[InParentheses]], 1) = "'", RIGHT(tblPassengerNames[[#This Row],[InParentheses]], 1) = "'"),
    #VALUE!,
    tblPassengerNames[[#This Row],[InParentheses]]
)</f>
        <v>Alice Adelaide Slow</v>
      </c>
      <c r="M492">
        <f>LEN(tblPassengerNames[[#This Row],[InParenthesesCleaned]]) - LEN(SUBSTITUTE(tblPassengerNames[[#This Row],[InParenthesesCleaned]], " ", ""))</f>
        <v>2</v>
      </c>
      <c r="N492">
        <f>FIND("@", SUBSTITUTE(tblPassengerNames[[#This Row],[InParenthesesCleaned]], " ", "@", tblPassengerNames[[#This Row],[P_NSpaces]]))</f>
        <v>15</v>
      </c>
      <c r="O492" t="str">
        <f>IF(tblPassengerNames[[#This Row],[P_NSpaces]] = 0,
    tblPassengerNames[[#This Row],[InParenthesesCleaned]],
    LEFT(tblPassengerNames[[#This Row],[InParenthesesCleaned]], tblPassengerNames[[#This Row],[P_FinalSpacePos]] - 1)
)</f>
        <v>Alice Adelaide</v>
      </c>
      <c r="P492" t="str">
        <f>IFERROR(tblPassengerNames[[#This Row],[P_Forenames]], tblPassengerNames[[#This Row],[ConvForenames]])</f>
        <v>Alice Adelaide</v>
      </c>
      <c r="Q492" t="str">
        <f>MID(tblPassengerNames[[#This Row],[Name]], tblPassengerNames[[#This Row],[CommaPos]] + 2, tblPassengerNames[[#This Row],[DotPos]] - tblPassengerNames[[#This Row],[CommaPos]] - 1)</f>
        <v>Mrs.</v>
      </c>
      <c r="R492" t="str">
        <f>LEFT(tblPassengerNames[[#This Row],[Name]], tblPassengerNames[[#This Row],[CommaPos]] - 1)</f>
        <v>Louch</v>
      </c>
    </row>
    <row r="493" spans="2:18" x14ac:dyDescent="0.25">
      <c r="B493" s="21">
        <v>491</v>
      </c>
      <c r="C493" s="21" t="s">
        <v>627</v>
      </c>
      <c r="D493" s="21" t="s">
        <v>136</v>
      </c>
      <c r="E493">
        <f>FIND(",", tblPassengerNames[[#This Row],[Name]])</f>
        <v>5</v>
      </c>
      <c r="F493">
        <f>FIND(".", tblPassengerNames[[#This Row],[Name]])</f>
        <v>10</v>
      </c>
      <c r="G493">
        <f>FIND("(", tblPassengerNames[[#This Row],[Name]])</f>
        <v>12</v>
      </c>
      <c r="H493">
        <f>FIND(")", tblPassengerNames[[#This Row],[Name]])</f>
        <v>17</v>
      </c>
      <c r="I493">
        <f>IFERROR(tblPassengerNames[[#This Row],[OpenParPos]] - 2, LEN(tblPassengerNames[[#This Row],[Name]]))</f>
        <v>10</v>
      </c>
      <c r="J493" t="e">
        <f>MID(tblPassengerNames[[#This Row],[Name]], tblPassengerNames[[#This Row],[DotPos]] + 2, tblPassengerNames[[#This Row],[EndOfConvFNPos]] - tblPassengerNames[[#This Row],[DotPos]] - 1)</f>
        <v>#VALUE!</v>
      </c>
      <c r="K493" t="str">
        <f>MID(tblPassengerNames[[#This Row],[Name]], tblPassengerNames[[#This Row],[OpenParPos]] + 1, tblPassengerNames[[#This Row],[CloseParPos]] - tblPassengerNames[[#This Row],[OpenParPos]] - 1)</f>
        <v>Mary</v>
      </c>
      <c r="L493" t="str">
        <f>IF(AND(LEFT(tblPassengerNames[[#This Row],[InParentheses]], 1) = "'", RIGHT(tblPassengerNames[[#This Row],[InParentheses]], 1) = "'"),
    #VALUE!,
    tblPassengerNames[[#This Row],[InParentheses]]
)</f>
        <v>Mary</v>
      </c>
      <c r="M493">
        <f>LEN(tblPassengerNames[[#This Row],[InParenthesesCleaned]]) - LEN(SUBSTITUTE(tblPassengerNames[[#This Row],[InParenthesesCleaned]], " ", ""))</f>
        <v>0</v>
      </c>
      <c r="N493" t="e">
        <f>FIND("@", SUBSTITUTE(tblPassengerNames[[#This Row],[InParenthesesCleaned]], " ", "@", tblPassengerNames[[#This Row],[P_NSpaces]]))</f>
        <v>#VALUE!</v>
      </c>
      <c r="O493" t="str">
        <f>IF(tblPassengerNames[[#This Row],[P_NSpaces]] = 0,
    tblPassengerNames[[#This Row],[InParenthesesCleaned]],
    LEFT(tblPassengerNames[[#This Row],[InParenthesesCleaned]], tblPassengerNames[[#This Row],[P_FinalSpacePos]] - 1)
)</f>
        <v>Mary</v>
      </c>
      <c r="P493" t="str">
        <f>IFERROR(tblPassengerNames[[#This Row],[P_Forenames]], tblPassengerNames[[#This Row],[ConvForenames]])</f>
        <v>Mary</v>
      </c>
      <c r="Q493" t="str">
        <f>MID(tblPassengerNames[[#This Row],[Name]], tblPassengerNames[[#This Row],[CommaPos]] + 2, tblPassengerNames[[#This Row],[DotPos]] - tblPassengerNames[[#This Row],[CommaPos]] - 1)</f>
        <v>Mrs.</v>
      </c>
      <c r="R493" t="str">
        <f>LEFT(tblPassengerNames[[#This Row],[Name]], tblPassengerNames[[#This Row],[CommaPos]] - 1)</f>
        <v>Mack</v>
      </c>
    </row>
    <row r="494" spans="2:18" x14ac:dyDescent="0.25">
      <c r="B494" s="21">
        <v>492</v>
      </c>
      <c r="C494" s="21" t="s">
        <v>628</v>
      </c>
      <c r="D494" s="21" t="s">
        <v>138</v>
      </c>
      <c r="E494">
        <f>FIND(",", tblPassengerNames[[#This Row],[Name]])</f>
        <v>10</v>
      </c>
      <c r="F494">
        <f>FIND(".", tblPassengerNames[[#This Row],[Name]])</f>
        <v>14</v>
      </c>
      <c r="G494" t="e">
        <f>FIND("(", tblPassengerNames[[#This Row],[Name]])</f>
        <v>#VALUE!</v>
      </c>
      <c r="H494" t="e">
        <f>FIND(")", tblPassengerNames[[#This Row],[Name]])</f>
        <v>#VALUE!</v>
      </c>
      <c r="I494">
        <f>IFERROR(tblPassengerNames[[#This Row],[OpenParPos]] - 2, LEN(tblPassengerNames[[#This Row],[Name]]))</f>
        <v>19</v>
      </c>
      <c r="J494" t="str">
        <f>MID(tblPassengerNames[[#This Row],[Name]], tblPassengerNames[[#This Row],[DotPos]] + 2, tblPassengerNames[[#This Row],[EndOfConvFNPos]] - tblPassengerNames[[#This Row],[DotPos]] - 1)</f>
        <v>Noel</v>
      </c>
      <c r="K494" t="e">
        <f>MID(tblPassengerNames[[#This Row],[Name]], tblPassengerNames[[#This Row],[OpenParPos]] + 1, tblPassengerNames[[#This Row],[CloseParPos]] - tblPassengerNames[[#This Row],[OpenParPos]] - 1)</f>
        <v>#VALUE!</v>
      </c>
      <c r="L494" t="e">
        <f>IF(AND(LEFT(tblPassengerNames[[#This Row],[InParentheses]], 1) = "'", RIGHT(tblPassengerNames[[#This Row],[InParentheses]], 1) = "'"),
    #VALUE!,
    tblPassengerNames[[#This Row],[InParentheses]]
)</f>
        <v>#VALUE!</v>
      </c>
      <c r="M494" t="e">
        <f>LEN(tblPassengerNames[[#This Row],[InParenthesesCleaned]]) - LEN(SUBSTITUTE(tblPassengerNames[[#This Row],[InParenthesesCleaned]], " ", ""))</f>
        <v>#VALUE!</v>
      </c>
      <c r="N494" t="e">
        <f>FIND("@", SUBSTITUTE(tblPassengerNames[[#This Row],[InParenthesesCleaned]], " ", "@", tblPassengerNames[[#This Row],[P_NSpaces]]))</f>
        <v>#VALUE!</v>
      </c>
      <c r="O494" t="e">
        <f>IF(tblPassengerNames[[#This Row],[P_NSpaces]] = 0,
    tblPassengerNames[[#This Row],[InParenthesesCleaned]],
    LEFT(tblPassengerNames[[#This Row],[InParenthesesCleaned]], tblPassengerNames[[#This Row],[P_FinalSpacePos]] - 1)
)</f>
        <v>#VALUE!</v>
      </c>
      <c r="P494" t="str">
        <f>IFERROR(tblPassengerNames[[#This Row],[P_Forenames]], tblPassengerNames[[#This Row],[ConvForenames]])</f>
        <v>Noel</v>
      </c>
      <c r="Q494" t="str">
        <f>MID(tblPassengerNames[[#This Row],[Name]], tblPassengerNames[[#This Row],[CommaPos]] + 2, tblPassengerNames[[#This Row],[DotPos]] - tblPassengerNames[[#This Row],[CommaPos]] - 1)</f>
        <v>Mr.</v>
      </c>
      <c r="R494" t="str">
        <f>LEFT(tblPassengerNames[[#This Row],[Name]], tblPassengerNames[[#This Row],[CommaPos]] - 1)</f>
        <v>Malachard</v>
      </c>
    </row>
    <row r="495" spans="2:18" x14ac:dyDescent="0.25">
      <c r="B495" s="21">
        <v>493</v>
      </c>
      <c r="C495" s="21" t="s">
        <v>629</v>
      </c>
      <c r="D495" s="21" t="s">
        <v>138</v>
      </c>
      <c r="E495">
        <f>FIND(",", tblPassengerNames[[#This Row],[Name]])</f>
        <v>7</v>
      </c>
      <c r="F495">
        <f>FIND(".", tblPassengerNames[[#This Row],[Name]])</f>
        <v>15</v>
      </c>
      <c r="G495" t="e">
        <f>FIND("(", tblPassengerNames[[#This Row],[Name]])</f>
        <v>#VALUE!</v>
      </c>
      <c r="H495" t="e">
        <f>FIND(")", tblPassengerNames[[#This Row],[Name]])</f>
        <v>#VALUE!</v>
      </c>
      <c r="I495">
        <f>IFERROR(tblPassengerNames[[#This Row],[OpenParPos]] - 2, LEN(tblPassengerNames[[#This Row],[Name]]))</f>
        <v>21</v>
      </c>
      <c r="J495" t="str">
        <f>MID(tblPassengerNames[[#This Row],[Name]], tblPassengerNames[[#This Row],[DotPos]] + 2, tblPassengerNames[[#This Row],[EndOfConvFNPos]] - tblPassengerNames[[#This Row],[DotPos]] - 1)</f>
        <v>Andre</v>
      </c>
      <c r="K495" t="e">
        <f>MID(tblPassengerNames[[#This Row],[Name]], tblPassengerNames[[#This Row],[OpenParPos]] + 1, tblPassengerNames[[#This Row],[CloseParPos]] - tblPassengerNames[[#This Row],[OpenParPos]] - 1)</f>
        <v>#VALUE!</v>
      </c>
      <c r="L495" t="e">
        <f>IF(AND(LEFT(tblPassengerNames[[#This Row],[InParentheses]], 1) = "'", RIGHT(tblPassengerNames[[#This Row],[InParentheses]], 1) = "'"),
    #VALUE!,
    tblPassengerNames[[#This Row],[InParentheses]]
)</f>
        <v>#VALUE!</v>
      </c>
      <c r="M495" t="e">
        <f>LEN(tblPassengerNames[[#This Row],[InParenthesesCleaned]]) - LEN(SUBSTITUTE(tblPassengerNames[[#This Row],[InParenthesesCleaned]], " ", ""))</f>
        <v>#VALUE!</v>
      </c>
      <c r="N495" t="e">
        <f>FIND("@", SUBSTITUTE(tblPassengerNames[[#This Row],[InParenthesesCleaned]], " ", "@", tblPassengerNames[[#This Row],[P_NSpaces]]))</f>
        <v>#VALUE!</v>
      </c>
      <c r="O495" t="e">
        <f>IF(tblPassengerNames[[#This Row],[P_NSpaces]] = 0,
    tblPassengerNames[[#This Row],[InParenthesesCleaned]],
    LEFT(tblPassengerNames[[#This Row],[InParenthesesCleaned]], tblPassengerNames[[#This Row],[P_FinalSpacePos]] - 1)
)</f>
        <v>#VALUE!</v>
      </c>
      <c r="P495" t="str">
        <f>IFERROR(tblPassengerNames[[#This Row],[P_Forenames]], tblPassengerNames[[#This Row],[ConvForenames]])</f>
        <v>Andre</v>
      </c>
      <c r="Q495" t="str">
        <f>MID(tblPassengerNames[[#This Row],[Name]], tblPassengerNames[[#This Row],[CommaPos]] + 2, tblPassengerNames[[#This Row],[DotPos]] - tblPassengerNames[[#This Row],[CommaPos]] - 1)</f>
        <v>Master.</v>
      </c>
      <c r="R495" t="str">
        <f>LEFT(tblPassengerNames[[#This Row],[Name]], tblPassengerNames[[#This Row],[CommaPos]] - 1)</f>
        <v>Mallet</v>
      </c>
    </row>
    <row r="496" spans="2:18" x14ac:dyDescent="0.25">
      <c r="B496" s="21">
        <v>494</v>
      </c>
      <c r="C496" s="21" t="s">
        <v>630</v>
      </c>
      <c r="D496" s="21" t="s">
        <v>138</v>
      </c>
      <c r="E496">
        <f>FIND(",", tblPassengerNames[[#This Row],[Name]])</f>
        <v>7</v>
      </c>
      <c r="F496">
        <f>FIND(".", tblPassengerNames[[#This Row],[Name]])</f>
        <v>11</v>
      </c>
      <c r="G496" t="e">
        <f>FIND("(", tblPassengerNames[[#This Row],[Name]])</f>
        <v>#VALUE!</v>
      </c>
      <c r="H496" t="e">
        <f>FIND(")", tblPassengerNames[[#This Row],[Name]])</f>
        <v>#VALUE!</v>
      </c>
      <c r="I496">
        <f>IFERROR(tblPassengerNames[[#This Row],[OpenParPos]] - 2, LEN(tblPassengerNames[[#This Row],[Name]]))</f>
        <v>18</v>
      </c>
      <c r="J496" t="str">
        <f>MID(tblPassengerNames[[#This Row],[Name]], tblPassengerNames[[#This Row],[DotPos]] + 2, tblPassengerNames[[#This Row],[EndOfConvFNPos]] - tblPassengerNames[[#This Row],[DotPos]] - 1)</f>
        <v>Albert</v>
      </c>
      <c r="K496" t="e">
        <f>MID(tblPassengerNames[[#This Row],[Name]], tblPassengerNames[[#This Row],[OpenParPos]] + 1, tblPassengerNames[[#This Row],[CloseParPos]] - tblPassengerNames[[#This Row],[OpenParPos]] - 1)</f>
        <v>#VALUE!</v>
      </c>
      <c r="L496" t="e">
        <f>IF(AND(LEFT(tblPassengerNames[[#This Row],[InParentheses]], 1) = "'", RIGHT(tblPassengerNames[[#This Row],[InParentheses]], 1) = "'"),
    #VALUE!,
    tblPassengerNames[[#This Row],[InParentheses]]
)</f>
        <v>#VALUE!</v>
      </c>
      <c r="M496" t="e">
        <f>LEN(tblPassengerNames[[#This Row],[InParenthesesCleaned]]) - LEN(SUBSTITUTE(tblPassengerNames[[#This Row],[InParenthesesCleaned]], " ", ""))</f>
        <v>#VALUE!</v>
      </c>
      <c r="N496" t="e">
        <f>FIND("@", SUBSTITUTE(tblPassengerNames[[#This Row],[InParenthesesCleaned]], " ", "@", tblPassengerNames[[#This Row],[P_NSpaces]]))</f>
        <v>#VALUE!</v>
      </c>
      <c r="O496" t="e">
        <f>IF(tblPassengerNames[[#This Row],[P_NSpaces]] = 0,
    tblPassengerNames[[#This Row],[InParenthesesCleaned]],
    LEFT(tblPassengerNames[[#This Row],[InParenthesesCleaned]], tblPassengerNames[[#This Row],[P_FinalSpacePos]] - 1)
)</f>
        <v>#VALUE!</v>
      </c>
      <c r="P496" t="str">
        <f>IFERROR(tblPassengerNames[[#This Row],[P_Forenames]], tblPassengerNames[[#This Row],[ConvForenames]])</f>
        <v>Albert</v>
      </c>
      <c r="Q496" t="str">
        <f>MID(tblPassengerNames[[#This Row],[Name]], tblPassengerNames[[#This Row],[CommaPos]] + 2, tblPassengerNames[[#This Row],[DotPos]] - tblPassengerNames[[#This Row],[CommaPos]] - 1)</f>
        <v>Mr.</v>
      </c>
      <c r="R496" t="str">
        <f>LEFT(tblPassengerNames[[#This Row],[Name]], tblPassengerNames[[#This Row],[CommaPos]] - 1)</f>
        <v>Mallet</v>
      </c>
    </row>
    <row r="497" spans="2:18" x14ac:dyDescent="0.25">
      <c r="B497" s="21">
        <v>495</v>
      </c>
      <c r="C497" s="21" t="s">
        <v>631</v>
      </c>
      <c r="D497" s="21" t="s">
        <v>136</v>
      </c>
      <c r="E497">
        <f>FIND(",", tblPassengerNames[[#This Row],[Name]])</f>
        <v>7</v>
      </c>
      <c r="F497">
        <f>FIND(".", tblPassengerNames[[#This Row],[Name]])</f>
        <v>12</v>
      </c>
      <c r="G497">
        <f>FIND("(", tblPassengerNames[[#This Row],[Name]])</f>
        <v>21</v>
      </c>
      <c r="H497">
        <f>FIND(")", tblPassengerNames[[#This Row],[Name]])</f>
        <v>39</v>
      </c>
      <c r="I497">
        <f>IFERROR(tblPassengerNames[[#This Row],[OpenParPos]] - 2, LEN(tblPassengerNames[[#This Row],[Name]]))</f>
        <v>19</v>
      </c>
      <c r="J497" t="str">
        <f>MID(tblPassengerNames[[#This Row],[Name]], tblPassengerNames[[#This Row],[DotPos]] + 2, tblPassengerNames[[#This Row],[EndOfConvFNPos]] - tblPassengerNames[[#This Row],[DotPos]] - 1)</f>
        <v>Albert</v>
      </c>
      <c r="K497" t="str">
        <f>MID(tblPassengerNames[[#This Row],[Name]], tblPassengerNames[[#This Row],[OpenParPos]] + 1, tblPassengerNames[[#This Row],[CloseParPos]] - tblPassengerNames[[#This Row],[OpenParPos]] - 1)</f>
        <v>Antoinette Magnin</v>
      </c>
      <c r="L497" t="str">
        <f>IF(AND(LEFT(tblPassengerNames[[#This Row],[InParentheses]], 1) = "'", RIGHT(tblPassengerNames[[#This Row],[InParentheses]], 1) = "'"),
    #VALUE!,
    tblPassengerNames[[#This Row],[InParentheses]]
)</f>
        <v>Antoinette Magnin</v>
      </c>
      <c r="M497">
        <f>LEN(tblPassengerNames[[#This Row],[InParenthesesCleaned]]) - LEN(SUBSTITUTE(tblPassengerNames[[#This Row],[InParenthesesCleaned]], " ", ""))</f>
        <v>1</v>
      </c>
      <c r="N497">
        <f>FIND("@", SUBSTITUTE(tblPassengerNames[[#This Row],[InParenthesesCleaned]], " ", "@", tblPassengerNames[[#This Row],[P_NSpaces]]))</f>
        <v>11</v>
      </c>
      <c r="O497" t="str">
        <f>IF(tblPassengerNames[[#This Row],[P_NSpaces]] = 0,
    tblPassengerNames[[#This Row],[InParenthesesCleaned]],
    LEFT(tblPassengerNames[[#This Row],[InParenthesesCleaned]], tblPassengerNames[[#This Row],[P_FinalSpacePos]] - 1)
)</f>
        <v>Antoinette</v>
      </c>
      <c r="P497" t="str">
        <f>IFERROR(tblPassengerNames[[#This Row],[P_Forenames]], tblPassengerNames[[#This Row],[ConvForenames]])</f>
        <v>Antoinette</v>
      </c>
      <c r="Q497" t="str">
        <f>MID(tblPassengerNames[[#This Row],[Name]], tblPassengerNames[[#This Row],[CommaPos]] + 2, tblPassengerNames[[#This Row],[DotPos]] - tblPassengerNames[[#This Row],[CommaPos]] - 1)</f>
        <v>Mrs.</v>
      </c>
      <c r="R497" t="str">
        <f>LEFT(tblPassengerNames[[#This Row],[Name]], tblPassengerNames[[#This Row],[CommaPos]] - 1)</f>
        <v>Mallet</v>
      </c>
    </row>
    <row r="498" spans="2:18" x14ac:dyDescent="0.25">
      <c r="B498" s="21">
        <v>496</v>
      </c>
      <c r="C498" s="21" t="s">
        <v>632</v>
      </c>
      <c r="D498" s="21" t="s">
        <v>138</v>
      </c>
      <c r="E498">
        <f>FIND(",", tblPassengerNames[[#This Row],[Name]])</f>
        <v>13</v>
      </c>
      <c r="F498">
        <f>FIND(".", tblPassengerNames[[#This Row],[Name]])</f>
        <v>17</v>
      </c>
      <c r="G498" t="e">
        <f>FIND("(", tblPassengerNames[[#This Row],[Name]])</f>
        <v>#VALUE!</v>
      </c>
      <c r="H498" t="e">
        <f>FIND(")", tblPassengerNames[[#This Row],[Name]])</f>
        <v>#VALUE!</v>
      </c>
      <c r="I498">
        <f>IFERROR(tblPassengerNames[[#This Row],[OpenParPos]] - 2, LEN(tblPassengerNames[[#This Row],[Name]]))</f>
        <v>33</v>
      </c>
      <c r="J498" t="str">
        <f>MID(tblPassengerNames[[#This Row],[Name]], tblPassengerNames[[#This Row],[DotPos]] + 2, tblPassengerNames[[#This Row],[EndOfConvFNPos]] - tblPassengerNames[[#This Row],[DotPos]] - 1)</f>
        <v>Serafino Emilio</v>
      </c>
      <c r="K498" t="e">
        <f>MID(tblPassengerNames[[#This Row],[Name]], tblPassengerNames[[#This Row],[OpenParPos]] + 1, tblPassengerNames[[#This Row],[CloseParPos]] - tblPassengerNames[[#This Row],[OpenParPos]] - 1)</f>
        <v>#VALUE!</v>
      </c>
      <c r="L498" t="e">
        <f>IF(AND(LEFT(tblPassengerNames[[#This Row],[InParentheses]], 1) = "'", RIGHT(tblPassengerNames[[#This Row],[InParentheses]], 1) = "'"),
    #VALUE!,
    tblPassengerNames[[#This Row],[InParentheses]]
)</f>
        <v>#VALUE!</v>
      </c>
      <c r="M498" t="e">
        <f>LEN(tblPassengerNames[[#This Row],[InParenthesesCleaned]]) - LEN(SUBSTITUTE(tblPassengerNames[[#This Row],[InParenthesesCleaned]], " ", ""))</f>
        <v>#VALUE!</v>
      </c>
      <c r="N498" t="e">
        <f>FIND("@", SUBSTITUTE(tblPassengerNames[[#This Row],[InParenthesesCleaned]], " ", "@", tblPassengerNames[[#This Row],[P_NSpaces]]))</f>
        <v>#VALUE!</v>
      </c>
      <c r="O498" t="e">
        <f>IF(tblPassengerNames[[#This Row],[P_NSpaces]] = 0,
    tblPassengerNames[[#This Row],[InParenthesesCleaned]],
    LEFT(tblPassengerNames[[#This Row],[InParenthesesCleaned]], tblPassengerNames[[#This Row],[P_FinalSpacePos]] - 1)
)</f>
        <v>#VALUE!</v>
      </c>
      <c r="P498" t="str">
        <f>IFERROR(tblPassengerNames[[#This Row],[P_Forenames]], tblPassengerNames[[#This Row],[ConvForenames]])</f>
        <v>Serafino Emilio</v>
      </c>
      <c r="Q498" t="str">
        <f>MID(tblPassengerNames[[#This Row],[Name]], tblPassengerNames[[#This Row],[CommaPos]] + 2, tblPassengerNames[[#This Row],[DotPos]] - tblPassengerNames[[#This Row],[CommaPos]] - 1)</f>
        <v>Mr.</v>
      </c>
      <c r="R498" t="str">
        <f>LEFT(tblPassengerNames[[#This Row],[Name]], tblPassengerNames[[#This Row],[CommaPos]] - 1)</f>
        <v>Mangiavacchi</v>
      </c>
    </row>
    <row r="499" spans="2:18" x14ac:dyDescent="0.25">
      <c r="B499" s="21">
        <v>497</v>
      </c>
      <c r="C499" s="21" t="s">
        <v>633</v>
      </c>
      <c r="D499" s="21" t="s">
        <v>138</v>
      </c>
      <c r="E499">
        <f>FIND(",", tblPassengerNames[[#This Row],[Name]])</f>
        <v>9</v>
      </c>
      <c r="F499">
        <f>FIND(".", tblPassengerNames[[#This Row],[Name]])</f>
        <v>13</v>
      </c>
      <c r="G499" t="e">
        <f>FIND("(", tblPassengerNames[[#This Row],[Name]])</f>
        <v>#VALUE!</v>
      </c>
      <c r="H499" t="e">
        <f>FIND(")", tblPassengerNames[[#This Row],[Name]])</f>
        <v>#VALUE!</v>
      </c>
      <c r="I499">
        <f>IFERROR(tblPassengerNames[[#This Row],[OpenParPos]] - 2, LEN(tblPassengerNames[[#This Row],[Name]]))</f>
        <v>26</v>
      </c>
      <c r="J499" t="str">
        <f>MID(tblPassengerNames[[#This Row],[Name]], tblPassengerNames[[#This Row],[DotPos]] + 2, tblPassengerNames[[#This Row],[EndOfConvFNPos]] - tblPassengerNames[[#This Row],[DotPos]] - 1)</f>
        <v>William John</v>
      </c>
      <c r="K499" t="e">
        <f>MID(tblPassengerNames[[#This Row],[Name]], tblPassengerNames[[#This Row],[OpenParPos]] + 1, tblPassengerNames[[#This Row],[CloseParPos]] - tblPassengerNames[[#This Row],[OpenParPos]] - 1)</f>
        <v>#VALUE!</v>
      </c>
      <c r="L499" t="e">
        <f>IF(AND(LEFT(tblPassengerNames[[#This Row],[InParentheses]], 1) = "'", RIGHT(tblPassengerNames[[#This Row],[InParentheses]], 1) = "'"),
    #VALUE!,
    tblPassengerNames[[#This Row],[InParentheses]]
)</f>
        <v>#VALUE!</v>
      </c>
      <c r="M499" t="e">
        <f>LEN(tblPassengerNames[[#This Row],[InParenthesesCleaned]]) - LEN(SUBSTITUTE(tblPassengerNames[[#This Row],[InParenthesesCleaned]], " ", ""))</f>
        <v>#VALUE!</v>
      </c>
      <c r="N499" t="e">
        <f>FIND("@", SUBSTITUTE(tblPassengerNames[[#This Row],[InParenthesesCleaned]], " ", "@", tblPassengerNames[[#This Row],[P_NSpaces]]))</f>
        <v>#VALUE!</v>
      </c>
      <c r="O499" t="e">
        <f>IF(tblPassengerNames[[#This Row],[P_NSpaces]] = 0,
    tblPassengerNames[[#This Row],[InParenthesesCleaned]],
    LEFT(tblPassengerNames[[#This Row],[InParenthesesCleaned]], tblPassengerNames[[#This Row],[P_FinalSpacePos]] - 1)
)</f>
        <v>#VALUE!</v>
      </c>
      <c r="P499" t="str">
        <f>IFERROR(tblPassengerNames[[#This Row],[P_Forenames]], tblPassengerNames[[#This Row],[ConvForenames]])</f>
        <v>William John</v>
      </c>
      <c r="Q499" t="str">
        <f>MID(tblPassengerNames[[#This Row],[Name]], tblPassengerNames[[#This Row],[CommaPos]] + 2, tblPassengerNames[[#This Row],[DotPos]] - tblPassengerNames[[#This Row],[CommaPos]] - 1)</f>
        <v>Mr.</v>
      </c>
      <c r="R499" t="str">
        <f>LEFT(tblPassengerNames[[#This Row],[Name]], tblPassengerNames[[#This Row],[CommaPos]] - 1)</f>
        <v>Matthews</v>
      </c>
    </row>
    <row r="500" spans="2:18" x14ac:dyDescent="0.25">
      <c r="B500" s="21">
        <v>498</v>
      </c>
      <c r="C500" s="21" t="s">
        <v>634</v>
      </c>
      <c r="D500" s="21" t="s">
        <v>138</v>
      </c>
      <c r="E500">
        <f>FIND(",", tblPassengerNames[[#This Row],[Name]])</f>
        <v>8</v>
      </c>
      <c r="F500">
        <f>FIND(".", tblPassengerNames[[#This Row],[Name]])</f>
        <v>12</v>
      </c>
      <c r="G500" t="e">
        <f>FIND("(", tblPassengerNames[[#This Row],[Name]])</f>
        <v>#VALUE!</v>
      </c>
      <c r="H500" t="e">
        <f>FIND(")", tblPassengerNames[[#This Row],[Name]])</f>
        <v>#VALUE!</v>
      </c>
      <c r="I500">
        <f>IFERROR(tblPassengerNames[[#This Row],[OpenParPos]] - 2, LEN(tblPassengerNames[[#This Row],[Name]]))</f>
        <v>25</v>
      </c>
      <c r="J500" t="str">
        <f>MID(tblPassengerNames[[#This Row],[Name]], tblPassengerNames[[#This Row],[DotPos]] + 2, tblPassengerNames[[#This Row],[EndOfConvFNPos]] - tblPassengerNames[[#This Row],[DotPos]] - 1)</f>
        <v>Frank Hubert</v>
      </c>
      <c r="K500" t="e">
        <f>MID(tblPassengerNames[[#This Row],[Name]], tblPassengerNames[[#This Row],[OpenParPos]] + 1, tblPassengerNames[[#This Row],[CloseParPos]] - tblPassengerNames[[#This Row],[OpenParPos]] - 1)</f>
        <v>#VALUE!</v>
      </c>
      <c r="L500" t="e">
        <f>IF(AND(LEFT(tblPassengerNames[[#This Row],[InParentheses]], 1) = "'", RIGHT(tblPassengerNames[[#This Row],[InParentheses]], 1) = "'"),
    #VALUE!,
    tblPassengerNames[[#This Row],[InParentheses]]
)</f>
        <v>#VALUE!</v>
      </c>
      <c r="M500" t="e">
        <f>LEN(tblPassengerNames[[#This Row],[InParenthesesCleaned]]) - LEN(SUBSTITUTE(tblPassengerNames[[#This Row],[InParenthesesCleaned]], " ", ""))</f>
        <v>#VALUE!</v>
      </c>
      <c r="N500" t="e">
        <f>FIND("@", SUBSTITUTE(tblPassengerNames[[#This Row],[InParenthesesCleaned]], " ", "@", tblPassengerNames[[#This Row],[P_NSpaces]]))</f>
        <v>#VALUE!</v>
      </c>
      <c r="O500" t="e">
        <f>IF(tblPassengerNames[[#This Row],[P_NSpaces]] = 0,
    tblPassengerNames[[#This Row],[InParenthesesCleaned]],
    LEFT(tblPassengerNames[[#This Row],[InParenthesesCleaned]], tblPassengerNames[[#This Row],[P_FinalSpacePos]] - 1)
)</f>
        <v>#VALUE!</v>
      </c>
      <c r="P500" t="str">
        <f>IFERROR(tblPassengerNames[[#This Row],[P_Forenames]], tblPassengerNames[[#This Row],[ConvForenames]])</f>
        <v>Frank Hubert</v>
      </c>
      <c r="Q500" t="str">
        <f>MID(tblPassengerNames[[#This Row],[Name]], tblPassengerNames[[#This Row],[CommaPos]] + 2, tblPassengerNames[[#This Row],[DotPos]] - tblPassengerNames[[#This Row],[CommaPos]] - 1)</f>
        <v>Mr.</v>
      </c>
      <c r="R500" t="str">
        <f>LEFT(tblPassengerNames[[#This Row],[Name]], tblPassengerNames[[#This Row],[CommaPos]] - 1)</f>
        <v>Maybery</v>
      </c>
    </row>
    <row r="501" spans="2:18" x14ac:dyDescent="0.25">
      <c r="B501" s="21">
        <v>499</v>
      </c>
      <c r="C501" s="21" t="s">
        <v>635</v>
      </c>
      <c r="D501" s="21" t="s">
        <v>138</v>
      </c>
      <c r="E501">
        <f>FIND(",", tblPassengerNames[[#This Row],[Name]])</f>
        <v>7</v>
      </c>
      <c r="F501">
        <f>FIND(".", tblPassengerNames[[#This Row],[Name]])</f>
        <v>11</v>
      </c>
      <c r="G501" t="e">
        <f>FIND("(", tblPassengerNames[[#This Row],[Name]])</f>
        <v>#VALUE!</v>
      </c>
      <c r="H501" t="e">
        <f>FIND(")", tblPassengerNames[[#This Row],[Name]])</f>
        <v>#VALUE!</v>
      </c>
      <c r="I501">
        <f>IFERROR(tblPassengerNames[[#This Row],[OpenParPos]] - 2, LEN(tblPassengerNames[[#This Row],[Name]]))</f>
        <v>25</v>
      </c>
      <c r="J501" t="str">
        <f>MID(tblPassengerNames[[#This Row],[Name]], tblPassengerNames[[#This Row],[DotPos]] + 2, tblPassengerNames[[#This Row],[EndOfConvFNPos]] - tblPassengerNames[[#This Row],[DotPos]] - 1)</f>
        <v>Arthur Gordon</v>
      </c>
      <c r="K501" t="e">
        <f>MID(tblPassengerNames[[#This Row],[Name]], tblPassengerNames[[#This Row],[OpenParPos]] + 1, tblPassengerNames[[#This Row],[CloseParPos]] - tblPassengerNames[[#This Row],[OpenParPos]] - 1)</f>
        <v>#VALUE!</v>
      </c>
      <c r="L501" t="e">
        <f>IF(AND(LEFT(tblPassengerNames[[#This Row],[InParentheses]], 1) = "'", RIGHT(tblPassengerNames[[#This Row],[InParentheses]], 1) = "'"),
    #VALUE!,
    tblPassengerNames[[#This Row],[InParentheses]]
)</f>
        <v>#VALUE!</v>
      </c>
      <c r="M501" t="e">
        <f>LEN(tblPassengerNames[[#This Row],[InParenthesesCleaned]]) - LEN(SUBSTITUTE(tblPassengerNames[[#This Row],[InParenthesesCleaned]], " ", ""))</f>
        <v>#VALUE!</v>
      </c>
      <c r="N501" t="e">
        <f>FIND("@", SUBSTITUTE(tblPassengerNames[[#This Row],[InParenthesesCleaned]], " ", "@", tblPassengerNames[[#This Row],[P_NSpaces]]))</f>
        <v>#VALUE!</v>
      </c>
      <c r="O501" t="e">
        <f>IF(tblPassengerNames[[#This Row],[P_NSpaces]] = 0,
    tblPassengerNames[[#This Row],[InParenthesesCleaned]],
    LEFT(tblPassengerNames[[#This Row],[InParenthesesCleaned]], tblPassengerNames[[#This Row],[P_FinalSpacePos]] - 1)
)</f>
        <v>#VALUE!</v>
      </c>
      <c r="P501" t="str">
        <f>IFERROR(tblPassengerNames[[#This Row],[P_Forenames]], tblPassengerNames[[#This Row],[ConvForenames]])</f>
        <v>Arthur Gordon</v>
      </c>
      <c r="Q501" t="str">
        <f>MID(tblPassengerNames[[#This Row],[Name]], tblPassengerNames[[#This Row],[CommaPos]] + 2, tblPassengerNames[[#This Row],[DotPos]] - tblPassengerNames[[#This Row],[CommaPos]] - 1)</f>
        <v>Mr.</v>
      </c>
      <c r="R501" t="str">
        <f>LEFT(tblPassengerNames[[#This Row],[Name]], tblPassengerNames[[#This Row],[CommaPos]] - 1)</f>
        <v>McCrae</v>
      </c>
    </row>
    <row r="502" spans="2:18" x14ac:dyDescent="0.25">
      <c r="B502" s="21">
        <v>500</v>
      </c>
      <c r="C502" s="21" t="s">
        <v>636</v>
      </c>
      <c r="D502" s="21" t="s">
        <v>138</v>
      </c>
      <c r="E502">
        <f>FIND(",", tblPassengerNames[[#This Row],[Name]])</f>
        <v>7</v>
      </c>
      <c r="F502">
        <f>FIND(".", tblPassengerNames[[#This Row],[Name]])</f>
        <v>11</v>
      </c>
      <c r="G502" t="e">
        <f>FIND("(", tblPassengerNames[[#This Row],[Name]])</f>
        <v>#VALUE!</v>
      </c>
      <c r="H502" t="e">
        <f>FIND(")", tblPassengerNames[[#This Row],[Name]])</f>
        <v>#VALUE!</v>
      </c>
      <c r="I502">
        <f>IFERROR(tblPassengerNames[[#This Row],[OpenParPos]] - 2, LEN(tblPassengerNames[[#This Row],[Name]]))</f>
        <v>25</v>
      </c>
      <c r="J502" t="str">
        <f>MID(tblPassengerNames[[#This Row],[Name]], tblPassengerNames[[#This Row],[DotPos]] + 2, tblPassengerNames[[#This Row],[EndOfConvFNPos]] - tblPassengerNames[[#This Row],[DotPos]] - 1)</f>
        <v>James Matthew</v>
      </c>
      <c r="K502" t="e">
        <f>MID(tblPassengerNames[[#This Row],[Name]], tblPassengerNames[[#This Row],[OpenParPos]] + 1, tblPassengerNames[[#This Row],[CloseParPos]] - tblPassengerNames[[#This Row],[OpenParPos]] - 1)</f>
        <v>#VALUE!</v>
      </c>
      <c r="L502" t="e">
        <f>IF(AND(LEFT(tblPassengerNames[[#This Row],[InParentheses]], 1) = "'", RIGHT(tblPassengerNames[[#This Row],[InParentheses]], 1) = "'"),
    #VALUE!,
    tblPassengerNames[[#This Row],[InParentheses]]
)</f>
        <v>#VALUE!</v>
      </c>
      <c r="M502" t="e">
        <f>LEN(tblPassengerNames[[#This Row],[InParenthesesCleaned]]) - LEN(SUBSTITUTE(tblPassengerNames[[#This Row],[InParenthesesCleaned]], " ", ""))</f>
        <v>#VALUE!</v>
      </c>
      <c r="N502" t="e">
        <f>FIND("@", SUBSTITUTE(tblPassengerNames[[#This Row],[InParenthesesCleaned]], " ", "@", tblPassengerNames[[#This Row],[P_NSpaces]]))</f>
        <v>#VALUE!</v>
      </c>
      <c r="O502" t="e">
        <f>IF(tblPassengerNames[[#This Row],[P_NSpaces]] = 0,
    tblPassengerNames[[#This Row],[InParenthesesCleaned]],
    LEFT(tblPassengerNames[[#This Row],[InParenthesesCleaned]], tblPassengerNames[[#This Row],[P_FinalSpacePos]] - 1)
)</f>
        <v>#VALUE!</v>
      </c>
      <c r="P502" t="str">
        <f>IFERROR(tblPassengerNames[[#This Row],[P_Forenames]], tblPassengerNames[[#This Row],[ConvForenames]])</f>
        <v>James Matthew</v>
      </c>
      <c r="Q502" t="str">
        <f>MID(tblPassengerNames[[#This Row],[Name]], tblPassengerNames[[#This Row],[CommaPos]] + 2, tblPassengerNames[[#This Row],[DotPos]] - tblPassengerNames[[#This Row],[CommaPos]] - 1)</f>
        <v>Mr.</v>
      </c>
      <c r="R502" t="str">
        <f>LEFT(tblPassengerNames[[#This Row],[Name]], tblPassengerNames[[#This Row],[CommaPos]] - 1)</f>
        <v>McCrie</v>
      </c>
    </row>
    <row r="503" spans="2:18" x14ac:dyDescent="0.25">
      <c r="B503" s="21">
        <v>501</v>
      </c>
      <c r="C503" s="21" t="s">
        <v>637</v>
      </c>
      <c r="D503" s="21" t="s">
        <v>138</v>
      </c>
      <c r="E503">
        <f>FIND(",", tblPassengerNames[[#This Row],[Name]])</f>
        <v>7</v>
      </c>
      <c r="F503">
        <f>FIND(".", tblPassengerNames[[#This Row],[Name]])</f>
        <v>11</v>
      </c>
      <c r="G503" t="e">
        <f>FIND("(", tblPassengerNames[[#This Row],[Name]])</f>
        <v>#VALUE!</v>
      </c>
      <c r="H503" t="e">
        <f>FIND(")", tblPassengerNames[[#This Row],[Name]])</f>
        <v>#VALUE!</v>
      </c>
      <c r="I503">
        <f>IFERROR(tblPassengerNames[[#This Row],[OpenParPos]] - 2, LEN(tblPassengerNames[[#This Row],[Name]]))</f>
        <v>23</v>
      </c>
      <c r="J503" t="str">
        <f>MID(tblPassengerNames[[#This Row],[Name]], tblPassengerNames[[#This Row],[DotPos]] + 2, tblPassengerNames[[#This Row],[EndOfConvFNPos]] - tblPassengerNames[[#This Row],[DotPos]] - 1)</f>
        <v>Peter David</v>
      </c>
      <c r="K503" t="e">
        <f>MID(tblPassengerNames[[#This Row],[Name]], tblPassengerNames[[#This Row],[OpenParPos]] + 1, tblPassengerNames[[#This Row],[CloseParPos]] - tblPassengerNames[[#This Row],[OpenParPos]] - 1)</f>
        <v>#VALUE!</v>
      </c>
      <c r="L503" t="e">
        <f>IF(AND(LEFT(tblPassengerNames[[#This Row],[InParentheses]], 1) = "'", RIGHT(tblPassengerNames[[#This Row],[InParentheses]], 1) = "'"),
    #VALUE!,
    tblPassengerNames[[#This Row],[InParentheses]]
)</f>
        <v>#VALUE!</v>
      </c>
      <c r="M503" t="e">
        <f>LEN(tblPassengerNames[[#This Row],[InParenthesesCleaned]]) - LEN(SUBSTITUTE(tblPassengerNames[[#This Row],[InParenthesesCleaned]], " ", ""))</f>
        <v>#VALUE!</v>
      </c>
      <c r="N503" t="e">
        <f>FIND("@", SUBSTITUTE(tblPassengerNames[[#This Row],[InParenthesesCleaned]], " ", "@", tblPassengerNames[[#This Row],[P_NSpaces]]))</f>
        <v>#VALUE!</v>
      </c>
      <c r="O503" t="e">
        <f>IF(tblPassengerNames[[#This Row],[P_NSpaces]] = 0,
    tblPassengerNames[[#This Row],[InParenthesesCleaned]],
    LEFT(tblPassengerNames[[#This Row],[InParenthesesCleaned]], tblPassengerNames[[#This Row],[P_FinalSpacePos]] - 1)
)</f>
        <v>#VALUE!</v>
      </c>
      <c r="P503" t="str">
        <f>IFERROR(tblPassengerNames[[#This Row],[P_Forenames]], tblPassengerNames[[#This Row],[ConvForenames]])</f>
        <v>Peter David</v>
      </c>
      <c r="Q503" t="str">
        <f>MID(tblPassengerNames[[#This Row],[Name]], tblPassengerNames[[#This Row],[CommaPos]] + 2, tblPassengerNames[[#This Row],[DotPos]] - tblPassengerNames[[#This Row],[CommaPos]] - 1)</f>
        <v>Mr.</v>
      </c>
      <c r="R503" t="str">
        <f>LEFT(tblPassengerNames[[#This Row],[Name]], tblPassengerNames[[#This Row],[CommaPos]] - 1)</f>
        <v>McKane</v>
      </c>
    </row>
    <row r="504" spans="2:18" x14ac:dyDescent="0.25">
      <c r="B504" s="21">
        <v>502</v>
      </c>
      <c r="C504" s="21" t="s">
        <v>638</v>
      </c>
      <c r="D504" s="21" t="s">
        <v>136</v>
      </c>
      <c r="E504">
        <f>FIND(",", tblPassengerNames[[#This Row],[Name]])</f>
        <v>10</v>
      </c>
      <c r="F504">
        <f>FIND(".", tblPassengerNames[[#This Row],[Name]])</f>
        <v>16</v>
      </c>
      <c r="G504" t="e">
        <f>FIND("(", tblPassengerNames[[#This Row],[Name]])</f>
        <v>#VALUE!</v>
      </c>
      <c r="H504" t="e">
        <f>FIND(")", tblPassengerNames[[#This Row],[Name]])</f>
        <v>#VALUE!</v>
      </c>
      <c r="I504">
        <f>IFERROR(tblPassengerNames[[#This Row],[OpenParPos]] - 2, LEN(tblPassengerNames[[#This Row],[Name]]))</f>
        <v>33</v>
      </c>
      <c r="J504" t="str">
        <f>MID(tblPassengerNames[[#This Row],[Name]], tblPassengerNames[[#This Row],[DotPos]] + 2, tblPassengerNames[[#This Row],[EndOfConvFNPos]] - tblPassengerNames[[#This Row],[DotPos]] - 1)</f>
        <v>Madeleine Violet</v>
      </c>
      <c r="K504" t="e">
        <f>MID(tblPassengerNames[[#This Row],[Name]], tblPassengerNames[[#This Row],[OpenParPos]] + 1, tblPassengerNames[[#This Row],[CloseParPos]] - tblPassengerNames[[#This Row],[OpenParPos]] - 1)</f>
        <v>#VALUE!</v>
      </c>
      <c r="L504" t="e">
        <f>IF(AND(LEFT(tblPassengerNames[[#This Row],[InParentheses]], 1) = "'", RIGHT(tblPassengerNames[[#This Row],[InParentheses]], 1) = "'"),
    #VALUE!,
    tblPassengerNames[[#This Row],[InParentheses]]
)</f>
        <v>#VALUE!</v>
      </c>
      <c r="M504" t="e">
        <f>LEN(tblPassengerNames[[#This Row],[InParenthesesCleaned]]) - LEN(SUBSTITUTE(tblPassengerNames[[#This Row],[InParenthesesCleaned]], " ", ""))</f>
        <v>#VALUE!</v>
      </c>
      <c r="N504" t="e">
        <f>FIND("@", SUBSTITUTE(tblPassengerNames[[#This Row],[InParenthesesCleaned]], " ", "@", tblPassengerNames[[#This Row],[P_NSpaces]]))</f>
        <v>#VALUE!</v>
      </c>
      <c r="O504" t="e">
        <f>IF(tblPassengerNames[[#This Row],[P_NSpaces]] = 0,
    tblPassengerNames[[#This Row],[InParenthesesCleaned]],
    LEFT(tblPassengerNames[[#This Row],[InParenthesesCleaned]], tblPassengerNames[[#This Row],[P_FinalSpacePos]] - 1)
)</f>
        <v>#VALUE!</v>
      </c>
      <c r="P504" t="str">
        <f>IFERROR(tblPassengerNames[[#This Row],[P_Forenames]], tblPassengerNames[[#This Row],[ConvForenames]])</f>
        <v>Madeleine Violet</v>
      </c>
      <c r="Q504" t="str">
        <f>MID(tblPassengerNames[[#This Row],[Name]], tblPassengerNames[[#This Row],[CommaPos]] + 2, tblPassengerNames[[#This Row],[DotPos]] - tblPassengerNames[[#This Row],[CommaPos]] - 1)</f>
        <v>Miss.</v>
      </c>
      <c r="R504" t="str">
        <f>LEFT(tblPassengerNames[[#This Row],[Name]], tblPassengerNames[[#This Row],[CommaPos]] - 1)</f>
        <v>Mellinger</v>
      </c>
    </row>
    <row r="505" spans="2:18" x14ac:dyDescent="0.25">
      <c r="B505" s="21">
        <v>503</v>
      </c>
      <c r="C505" s="21" t="s">
        <v>639</v>
      </c>
      <c r="D505" s="21" t="s">
        <v>136</v>
      </c>
      <c r="E505">
        <f>FIND(",", tblPassengerNames[[#This Row],[Name]])</f>
        <v>10</v>
      </c>
      <c r="F505">
        <f>FIND(".", tblPassengerNames[[#This Row],[Name]])</f>
        <v>15</v>
      </c>
      <c r="G505">
        <f>FIND("(", tblPassengerNames[[#This Row],[Name]])</f>
        <v>17</v>
      </c>
      <c r="H505">
        <f>FIND(")", tblPassengerNames[[#This Row],[Name]])</f>
        <v>41</v>
      </c>
      <c r="I505">
        <f>IFERROR(tblPassengerNames[[#This Row],[OpenParPos]] - 2, LEN(tblPassengerNames[[#This Row],[Name]]))</f>
        <v>15</v>
      </c>
      <c r="J505" t="e">
        <f>MID(tblPassengerNames[[#This Row],[Name]], tblPassengerNames[[#This Row],[DotPos]] + 2, tblPassengerNames[[#This Row],[EndOfConvFNPos]] - tblPassengerNames[[#This Row],[DotPos]] - 1)</f>
        <v>#VALUE!</v>
      </c>
      <c r="K505" t="str">
        <f>MID(tblPassengerNames[[#This Row],[Name]], tblPassengerNames[[#This Row],[OpenParPos]] + 1, tblPassengerNames[[#This Row],[CloseParPos]] - tblPassengerNames[[#This Row],[OpenParPos]] - 1)</f>
        <v>Elizabeth Anne Maidment</v>
      </c>
      <c r="L505" t="str">
        <f>IF(AND(LEFT(tblPassengerNames[[#This Row],[InParentheses]], 1) = "'", RIGHT(tblPassengerNames[[#This Row],[InParentheses]], 1) = "'"),
    #VALUE!,
    tblPassengerNames[[#This Row],[InParentheses]]
)</f>
        <v>Elizabeth Anne Maidment</v>
      </c>
      <c r="M505">
        <f>LEN(tblPassengerNames[[#This Row],[InParenthesesCleaned]]) - LEN(SUBSTITUTE(tblPassengerNames[[#This Row],[InParenthesesCleaned]], " ", ""))</f>
        <v>2</v>
      </c>
      <c r="N505">
        <f>FIND("@", SUBSTITUTE(tblPassengerNames[[#This Row],[InParenthesesCleaned]], " ", "@", tblPassengerNames[[#This Row],[P_NSpaces]]))</f>
        <v>15</v>
      </c>
      <c r="O505" t="str">
        <f>IF(tblPassengerNames[[#This Row],[P_NSpaces]] = 0,
    tblPassengerNames[[#This Row],[InParenthesesCleaned]],
    LEFT(tblPassengerNames[[#This Row],[InParenthesesCleaned]], tblPassengerNames[[#This Row],[P_FinalSpacePos]] - 1)
)</f>
        <v>Elizabeth Anne</v>
      </c>
      <c r="P505" t="str">
        <f>IFERROR(tblPassengerNames[[#This Row],[P_Forenames]], tblPassengerNames[[#This Row],[ConvForenames]])</f>
        <v>Elizabeth Anne</v>
      </c>
      <c r="Q505" t="str">
        <f>MID(tblPassengerNames[[#This Row],[Name]], tblPassengerNames[[#This Row],[CommaPos]] + 2, tblPassengerNames[[#This Row],[DotPos]] - tblPassengerNames[[#This Row],[CommaPos]] - 1)</f>
        <v>Mrs.</v>
      </c>
      <c r="R505" t="str">
        <f>LEFT(tblPassengerNames[[#This Row],[Name]], tblPassengerNames[[#This Row],[CommaPos]] - 1)</f>
        <v>Mellinger</v>
      </c>
    </row>
    <row r="506" spans="2:18" x14ac:dyDescent="0.25">
      <c r="B506" s="21">
        <v>504</v>
      </c>
      <c r="C506" s="21" t="s">
        <v>640</v>
      </c>
      <c r="D506" s="21" t="s">
        <v>138</v>
      </c>
      <c r="E506">
        <f>FIND(",", tblPassengerNames[[#This Row],[Name]])</f>
        <v>8</v>
      </c>
      <c r="F506">
        <f>FIND(".", tblPassengerNames[[#This Row],[Name]])</f>
        <v>12</v>
      </c>
      <c r="G506" t="e">
        <f>FIND("(", tblPassengerNames[[#This Row],[Name]])</f>
        <v>#VALUE!</v>
      </c>
      <c r="H506" t="e">
        <f>FIND(")", tblPassengerNames[[#This Row],[Name]])</f>
        <v>#VALUE!</v>
      </c>
      <c r="I506">
        <f>IFERROR(tblPassengerNames[[#This Row],[OpenParPos]] - 2, LEN(tblPassengerNames[[#This Row],[Name]]))</f>
        <v>25</v>
      </c>
      <c r="J506" t="str">
        <f>MID(tblPassengerNames[[#This Row],[Name]], tblPassengerNames[[#This Row],[DotPos]] + 2, tblPassengerNames[[#This Row],[EndOfConvFNPos]] - tblPassengerNames[[#This Row],[DotPos]] - 1)</f>
        <v>William John</v>
      </c>
      <c r="K506" t="e">
        <f>MID(tblPassengerNames[[#This Row],[Name]], tblPassengerNames[[#This Row],[OpenParPos]] + 1, tblPassengerNames[[#This Row],[CloseParPos]] - tblPassengerNames[[#This Row],[OpenParPos]] - 1)</f>
        <v>#VALUE!</v>
      </c>
      <c r="L506" t="e">
        <f>IF(AND(LEFT(tblPassengerNames[[#This Row],[InParentheses]], 1) = "'", RIGHT(tblPassengerNames[[#This Row],[InParentheses]], 1) = "'"),
    #VALUE!,
    tblPassengerNames[[#This Row],[InParentheses]]
)</f>
        <v>#VALUE!</v>
      </c>
      <c r="M506" t="e">
        <f>LEN(tblPassengerNames[[#This Row],[InParenthesesCleaned]]) - LEN(SUBSTITUTE(tblPassengerNames[[#This Row],[InParenthesesCleaned]], " ", ""))</f>
        <v>#VALUE!</v>
      </c>
      <c r="N506" t="e">
        <f>FIND("@", SUBSTITUTE(tblPassengerNames[[#This Row],[InParenthesesCleaned]], " ", "@", tblPassengerNames[[#This Row],[P_NSpaces]]))</f>
        <v>#VALUE!</v>
      </c>
      <c r="O506" t="e">
        <f>IF(tblPassengerNames[[#This Row],[P_NSpaces]] = 0,
    tblPassengerNames[[#This Row],[InParenthesesCleaned]],
    LEFT(tblPassengerNames[[#This Row],[InParenthesesCleaned]], tblPassengerNames[[#This Row],[P_FinalSpacePos]] - 1)
)</f>
        <v>#VALUE!</v>
      </c>
      <c r="P506" t="str">
        <f>IFERROR(tblPassengerNames[[#This Row],[P_Forenames]], tblPassengerNames[[#This Row],[ConvForenames]])</f>
        <v>William John</v>
      </c>
      <c r="Q506" t="str">
        <f>MID(tblPassengerNames[[#This Row],[Name]], tblPassengerNames[[#This Row],[CommaPos]] + 2, tblPassengerNames[[#This Row],[DotPos]] - tblPassengerNames[[#This Row],[CommaPos]] - 1)</f>
        <v>Mr.</v>
      </c>
      <c r="R506" t="str">
        <f>LEFT(tblPassengerNames[[#This Row],[Name]], tblPassengerNames[[#This Row],[CommaPos]] - 1)</f>
        <v>Mellors</v>
      </c>
    </row>
    <row r="507" spans="2:18" x14ac:dyDescent="0.25">
      <c r="B507" s="21">
        <v>505</v>
      </c>
      <c r="C507" s="21" t="s">
        <v>641</v>
      </c>
      <c r="D507" s="21" t="s">
        <v>138</v>
      </c>
      <c r="E507">
        <f>FIND(",", tblPassengerNames[[#This Row],[Name]])</f>
        <v>6</v>
      </c>
      <c r="F507">
        <f>FIND(".", tblPassengerNames[[#This Row],[Name]])</f>
        <v>10</v>
      </c>
      <c r="G507" t="e">
        <f>FIND("(", tblPassengerNames[[#This Row],[Name]])</f>
        <v>#VALUE!</v>
      </c>
      <c r="H507" t="e">
        <f>FIND(")", tblPassengerNames[[#This Row],[Name]])</f>
        <v>#VALUE!</v>
      </c>
      <c r="I507">
        <f>IFERROR(tblPassengerNames[[#This Row],[OpenParPos]] - 2, LEN(tblPassengerNames[[#This Row],[Name]]))</f>
        <v>17</v>
      </c>
      <c r="J507" t="str">
        <f>MID(tblPassengerNames[[#This Row],[Name]], tblPassengerNames[[#This Row],[DotPos]] + 2, tblPassengerNames[[#This Row],[EndOfConvFNPos]] - tblPassengerNames[[#This Row],[DotPos]] - 1)</f>
        <v>August</v>
      </c>
      <c r="K507" t="e">
        <f>MID(tblPassengerNames[[#This Row],[Name]], tblPassengerNames[[#This Row],[OpenParPos]] + 1, tblPassengerNames[[#This Row],[CloseParPos]] - tblPassengerNames[[#This Row],[OpenParPos]] - 1)</f>
        <v>#VALUE!</v>
      </c>
      <c r="L507" t="e">
        <f>IF(AND(LEFT(tblPassengerNames[[#This Row],[InParentheses]], 1) = "'", RIGHT(tblPassengerNames[[#This Row],[InParentheses]], 1) = "'"),
    #VALUE!,
    tblPassengerNames[[#This Row],[InParentheses]]
)</f>
        <v>#VALUE!</v>
      </c>
      <c r="M507" t="e">
        <f>LEN(tblPassengerNames[[#This Row],[InParenthesesCleaned]]) - LEN(SUBSTITUTE(tblPassengerNames[[#This Row],[InParenthesesCleaned]], " ", ""))</f>
        <v>#VALUE!</v>
      </c>
      <c r="N507" t="e">
        <f>FIND("@", SUBSTITUTE(tblPassengerNames[[#This Row],[InParenthesesCleaned]], " ", "@", tblPassengerNames[[#This Row],[P_NSpaces]]))</f>
        <v>#VALUE!</v>
      </c>
      <c r="O507" t="e">
        <f>IF(tblPassengerNames[[#This Row],[P_NSpaces]] = 0,
    tblPassengerNames[[#This Row],[InParenthesesCleaned]],
    LEFT(tblPassengerNames[[#This Row],[InParenthesesCleaned]], tblPassengerNames[[#This Row],[P_FinalSpacePos]] - 1)
)</f>
        <v>#VALUE!</v>
      </c>
      <c r="P507" t="str">
        <f>IFERROR(tblPassengerNames[[#This Row],[P_Forenames]], tblPassengerNames[[#This Row],[ConvForenames]])</f>
        <v>August</v>
      </c>
      <c r="Q507" t="str">
        <f>MID(tblPassengerNames[[#This Row],[Name]], tblPassengerNames[[#This Row],[CommaPos]] + 2, tblPassengerNames[[#This Row],[DotPos]] - tblPassengerNames[[#This Row],[CommaPos]] - 1)</f>
        <v>Mr.</v>
      </c>
      <c r="R507" t="str">
        <f>LEFT(tblPassengerNames[[#This Row],[Name]], tblPassengerNames[[#This Row],[CommaPos]] - 1)</f>
        <v>Meyer</v>
      </c>
    </row>
    <row r="508" spans="2:18" x14ac:dyDescent="0.25">
      <c r="B508" s="21">
        <v>506</v>
      </c>
      <c r="C508" s="21" t="s">
        <v>642</v>
      </c>
      <c r="D508" s="21" t="s">
        <v>138</v>
      </c>
      <c r="E508">
        <f>FIND(",", tblPassengerNames[[#This Row],[Name]])</f>
        <v>8</v>
      </c>
      <c r="F508">
        <f>FIND(".", tblPassengerNames[[#This Row],[Name]])</f>
        <v>12</v>
      </c>
      <c r="G508" t="e">
        <f>FIND("(", tblPassengerNames[[#This Row],[Name]])</f>
        <v>#VALUE!</v>
      </c>
      <c r="H508" t="e">
        <f>FIND(")", tblPassengerNames[[#This Row],[Name]])</f>
        <v>#VALUE!</v>
      </c>
      <c r="I508">
        <f>IFERROR(tblPassengerNames[[#This Row],[OpenParPos]] - 2, LEN(tblPassengerNames[[#This Row],[Name]]))</f>
        <v>28</v>
      </c>
      <c r="J508" t="str">
        <f>MID(tblPassengerNames[[#This Row],[Name]], tblPassengerNames[[#This Row],[DotPos]] + 2, tblPassengerNames[[#This Row],[EndOfConvFNPos]] - tblPassengerNames[[#This Row],[DotPos]] - 1)</f>
        <v>Jacob Christian</v>
      </c>
      <c r="K508" t="e">
        <f>MID(tblPassengerNames[[#This Row],[Name]], tblPassengerNames[[#This Row],[OpenParPos]] + 1, tblPassengerNames[[#This Row],[CloseParPos]] - tblPassengerNames[[#This Row],[OpenParPos]] - 1)</f>
        <v>#VALUE!</v>
      </c>
      <c r="L508" t="e">
        <f>IF(AND(LEFT(tblPassengerNames[[#This Row],[InParentheses]], 1) = "'", RIGHT(tblPassengerNames[[#This Row],[InParentheses]], 1) = "'"),
    #VALUE!,
    tblPassengerNames[[#This Row],[InParentheses]]
)</f>
        <v>#VALUE!</v>
      </c>
      <c r="M508" t="e">
        <f>LEN(tblPassengerNames[[#This Row],[InParenthesesCleaned]]) - LEN(SUBSTITUTE(tblPassengerNames[[#This Row],[InParenthesesCleaned]], " ", ""))</f>
        <v>#VALUE!</v>
      </c>
      <c r="N508" t="e">
        <f>FIND("@", SUBSTITUTE(tblPassengerNames[[#This Row],[InParenthesesCleaned]], " ", "@", tblPassengerNames[[#This Row],[P_NSpaces]]))</f>
        <v>#VALUE!</v>
      </c>
      <c r="O508" t="e">
        <f>IF(tblPassengerNames[[#This Row],[P_NSpaces]] = 0,
    tblPassengerNames[[#This Row],[InParenthesesCleaned]],
    LEFT(tblPassengerNames[[#This Row],[InParenthesesCleaned]], tblPassengerNames[[#This Row],[P_FinalSpacePos]] - 1)
)</f>
        <v>#VALUE!</v>
      </c>
      <c r="P508" t="str">
        <f>IFERROR(tblPassengerNames[[#This Row],[P_Forenames]], tblPassengerNames[[#This Row],[ConvForenames]])</f>
        <v>Jacob Christian</v>
      </c>
      <c r="Q508" t="str">
        <f>MID(tblPassengerNames[[#This Row],[Name]], tblPassengerNames[[#This Row],[CommaPos]] + 2, tblPassengerNames[[#This Row],[DotPos]] - tblPassengerNames[[#This Row],[CommaPos]] - 1)</f>
        <v>Mr.</v>
      </c>
      <c r="R508" t="str">
        <f>LEFT(tblPassengerNames[[#This Row],[Name]], tblPassengerNames[[#This Row],[CommaPos]] - 1)</f>
        <v>Milling</v>
      </c>
    </row>
    <row r="509" spans="2:18" x14ac:dyDescent="0.25">
      <c r="B509" s="21">
        <v>507</v>
      </c>
      <c r="C509" s="21" t="s">
        <v>643</v>
      </c>
      <c r="D509" s="21" t="s">
        <v>138</v>
      </c>
      <c r="E509">
        <f>FIND(",", tblPassengerNames[[#This Row],[Name]])</f>
        <v>9</v>
      </c>
      <c r="F509">
        <f>FIND(".", tblPassengerNames[[#This Row],[Name]])</f>
        <v>13</v>
      </c>
      <c r="G509" t="e">
        <f>FIND("(", tblPassengerNames[[#This Row],[Name]])</f>
        <v>#VALUE!</v>
      </c>
      <c r="H509" t="e">
        <f>FIND(")", tblPassengerNames[[#This Row],[Name]])</f>
        <v>#VALUE!</v>
      </c>
      <c r="I509">
        <f>IFERROR(tblPassengerNames[[#This Row],[OpenParPos]] - 2, LEN(tblPassengerNames[[#This Row],[Name]]))</f>
        <v>27</v>
      </c>
      <c r="J509" t="str">
        <f>MID(tblPassengerNames[[#This Row],[Name]], tblPassengerNames[[#This Row],[DotPos]] + 2, tblPassengerNames[[#This Row],[EndOfConvFNPos]] - tblPassengerNames[[#This Row],[DotPos]] - 1)</f>
        <v>Henry Michael</v>
      </c>
      <c r="K509" t="e">
        <f>MID(tblPassengerNames[[#This Row],[Name]], tblPassengerNames[[#This Row],[OpenParPos]] + 1, tblPassengerNames[[#This Row],[CloseParPos]] - tblPassengerNames[[#This Row],[OpenParPos]] - 1)</f>
        <v>#VALUE!</v>
      </c>
      <c r="L509" t="e">
        <f>IF(AND(LEFT(tblPassengerNames[[#This Row],[InParentheses]], 1) = "'", RIGHT(tblPassengerNames[[#This Row],[InParentheses]], 1) = "'"),
    #VALUE!,
    tblPassengerNames[[#This Row],[InParentheses]]
)</f>
        <v>#VALUE!</v>
      </c>
      <c r="M509" t="e">
        <f>LEN(tblPassengerNames[[#This Row],[InParenthesesCleaned]]) - LEN(SUBSTITUTE(tblPassengerNames[[#This Row],[InParenthesesCleaned]], " ", ""))</f>
        <v>#VALUE!</v>
      </c>
      <c r="N509" t="e">
        <f>FIND("@", SUBSTITUTE(tblPassengerNames[[#This Row],[InParenthesesCleaned]], " ", "@", tblPassengerNames[[#This Row],[P_NSpaces]]))</f>
        <v>#VALUE!</v>
      </c>
      <c r="O509" t="e">
        <f>IF(tblPassengerNames[[#This Row],[P_NSpaces]] = 0,
    tblPassengerNames[[#This Row],[InParenthesesCleaned]],
    LEFT(tblPassengerNames[[#This Row],[InParenthesesCleaned]], tblPassengerNames[[#This Row],[P_FinalSpacePos]] - 1)
)</f>
        <v>#VALUE!</v>
      </c>
      <c r="P509" t="str">
        <f>IFERROR(tblPassengerNames[[#This Row],[P_Forenames]], tblPassengerNames[[#This Row],[ConvForenames]])</f>
        <v>Henry Michael</v>
      </c>
      <c r="Q509" t="str">
        <f>MID(tblPassengerNames[[#This Row],[Name]], tblPassengerNames[[#This Row],[CommaPos]] + 2, tblPassengerNames[[#This Row],[DotPos]] - tblPassengerNames[[#This Row],[CommaPos]] - 1)</f>
        <v>Mr.</v>
      </c>
      <c r="R509" t="str">
        <f>LEFT(tblPassengerNames[[#This Row],[Name]], tblPassengerNames[[#This Row],[CommaPos]] - 1)</f>
        <v>Mitchell</v>
      </c>
    </row>
    <row r="510" spans="2:18" x14ac:dyDescent="0.25">
      <c r="B510" s="21">
        <v>508</v>
      </c>
      <c r="C510" s="21" t="s">
        <v>644</v>
      </c>
      <c r="D510" s="21" t="s">
        <v>138</v>
      </c>
      <c r="E510">
        <f>FIND(",", tblPassengerNames[[#This Row],[Name]])</f>
        <v>9</v>
      </c>
      <c r="F510">
        <f>FIND(".", tblPassengerNames[[#This Row],[Name]])</f>
        <v>14</v>
      </c>
      <c r="G510" t="e">
        <f>FIND("(", tblPassengerNames[[#This Row],[Name]])</f>
        <v>#VALUE!</v>
      </c>
      <c r="H510" t="e">
        <f>FIND(")", tblPassengerNames[[#This Row],[Name]])</f>
        <v>#VALUE!</v>
      </c>
      <c r="I510">
        <f>IFERROR(tblPassengerNames[[#This Row],[OpenParPos]] - 2, LEN(tblPassengerNames[[#This Row],[Name]]))</f>
        <v>21</v>
      </c>
      <c r="J510" t="str">
        <f>MID(tblPassengerNames[[#This Row],[Name]], tblPassengerNames[[#This Row],[DotPos]] + 2, tblPassengerNames[[#This Row],[EndOfConvFNPos]] - tblPassengerNames[[#This Row],[DotPos]] - 1)</f>
        <v>Juozas</v>
      </c>
      <c r="K510" t="e">
        <f>MID(tblPassengerNames[[#This Row],[Name]], tblPassengerNames[[#This Row],[OpenParPos]] + 1, tblPassengerNames[[#This Row],[CloseParPos]] - tblPassengerNames[[#This Row],[OpenParPos]] - 1)</f>
        <v>#VALUE!</v>
      </c>
      <c r="L510" t="e">
        <f>IF(AND(LEFT(tblPassengerNames[[#This Row],[InParentheses]], 1) = "'", RIGHT(tblPassengerNames[[#This Row],[InParentheses]], 1) = "'"),
    #VALUE!,
    tblPassengerNames[[#This Row],[InParentheses]]
)</f>
        <v>#VALUE!</v>
      </c>
      <c r="M510" t="e">
        <f>LEN(tblPassengerNames[[#This Row],[InParenthesesCleaned]]) - LEN(SUBSTITUTE(tblPassengerNames[[#This Row],[InParenthesesCleaned]], " ", ""))</f>
        <v>#VALUE!</v>
      </c>
      <c r="N510" t="e">
        <f>FIND("@", SUBSTITUTE(tblPassengerNames[[#This Row],[InParenthesesCleaned]], " ", "@", tblPassengerNames[[#This Row],[P_NSpaces]]))</f>
        <v>#VALUE!</v>
      </c>
      <c r="O510" t="e">
        <f>IF(tblPassengerNames[[#This Row],[P_NSpaces]] = 0,
    tblPassengerNames[[#This Row],[InParenthesesCleaned]],
    LEFT(tblPassengerNames[[#This Row],[InParenthesesCleaned]], tblPassengerNames[[#This Row],[P_FinalSpacePos]] - 1)
)</f>
        <v>#VALUE!</v>
      </c>
      <c r="P510" t="str">
        <f>IFERROR(tblPassengerNames[[#This Row],[P_Forenames]], tblPassengerNames[[#This Row],[ConvForenames]])</f>
        <v>Juozas</v>
      </c>
      <c r="Q510" t="str">
        <f>MID(tblPassengerNames[[#This Row],[Name]], tblPassengerNames[[#This Row],[CommaPos]] + 2, tblPassengerNames[[#This Row],[DotPos]] - tblPassengerNames[[#This Row],[CommaPos]] - 1)</f>
        <v>Rev.</v>
      </c>
      <c r="R510" t="str">
        <f>LEFT(tblPassengerNames[[#This Row],[Name]], tblPassengerNames[[#This Row],[CommaPos]] - 1)</f>
        <v>Montvila</v>
      </c>
    </row>
    <row r="511" spans="2:18" x14ac:dyDescent="0.25">
      <c r="B511" s="21">
        <v>509</v>
      </c>
      <c r="C511" s="21" t="s">
        <v>645</v>
      </c>
      <c r="D511" s="21" t="s">
        <v>138</v>
      </c>
      <c r="E511">
        <f>FIND(",", tblPassengerNames[[#This Row],[Name]])</f>
        <v>9</v>
      </c>
      <c r="F511">
        <f>FIND(".", tblPassengerNames[[#This Row],[Name]])</f>
        <v>13</v>
      </c>
      <c r="G511" t="e">
        <f>FIND("(", tblPassengerNames[[#This Row],[Name]])</f>
        <v>#VALUE!</v>
      </c>
      <c r="H511" t="e">
        <f>FIND(")", tblPassengerNames[[#This Row],[Name]])</f>
        <v>#VALUE!</v>
      </c>
      <c r="I511">
        <f>IFERROR(tblPassengerNames[[#This Row],[OpenParPos]] - 2, LEN(tblPassengerNames[[#This Row],[Name]]))</f>
        <v>20</v>
      </c>
      <c r="J511" t="str">
        <f>MID(tblPassengerNames[[#This Row],[Name]], tblPassengerNames[[#This Row],[DotPos]] + 2, tblPassengerNames[[#This Row],[EndOfConvFNPos]] - tblPassengerNames[[#This Row],[DotPos]] - 1)</f>
        <v>Ernest</v>
      </c>
      <c r="K511" t="e">
        <f>MID(tblPassengerNames[[#This Row],[Name]], tblPassengerNames[[#This Row],[OpenParPos]] + 1, tblPassengerNames[[#This Row],[CloseParPos]] - tblPassengerNames[[#This Row],[OpenParPos]] - 1)</f>
        <v>#VALUE!</v>
      </c>
      <c r="L511" t="e">
        <f>IF(AND(LEFT(tblPassengerNames[[#This Row],[InParentheses]], 1) = "'", RIGHT(tblPassengerNames[[#This Row],[InParentheses]], 1) = "'"),
    #VALUE!,
    tblPassengerNames[[#This Row],[InParentheses]]
)</f>
        <v>#VALUE!</v>
      </c>
      <c r="M511" t="e">
        <f>LEN(tblPassengerNames[[#This Row],[InParenthesesCleaned]]) - LEN(SUBSTITUTE(tblPassengerNames[[#This Row],[InParenthesesCleaned]], " ", ""))</f>
        <v>#VALUE!</v>
      </c>
      <c r="N511" t="e">
        <f>FIND("@", SUBSTITUTE(tblPassengerNames[[#This Row],[InParenthesesCleaned]], " ", "@", tblPassengerNames[[#This Row],[P_NSpaces]]))</f>
        <v>#VALUE!</v>
      </c>
      <c r="O511" t="e">
        <f>IF(tblPassengerNames[[#This Row],[P_NSpaces]] = 0,
    tblPassengerNames[[#This Row],[InParenthesesCleaned]],
    LEFT(tblPassengerNames[[#This Row],[InParenthesesCleaned]], tblPassengerNames[[#This Row],[P_FinalSpacePos]] - 1)
)</f>
        <v>#VALUE!</v>
      </c>
      <c r="P511" t="str">
        <f>IFERROR(tblPassengerNames[[#This Row],[P_Forenames]], tblPassengerNames[[#This Row],[ConvForenames]])</f>
        <v>Ernest</v>
      </c>
      <c r="Q511" t="str">
        <f>MID(tblPassengerNames[[#This Row],[Name]], tblPassengerNames[[#This Row],[CommaPos]] + 2, tblPassengerNames[[#This Row],[DotPos]] - tblPassengerNames[[#This Row],[CommaPos]] - 1)</f>
        <v>Dr.</v>
      </c>
      <c r="R511" t="str">
        <f>LEFT(tblPassengerNames[[#This Row],[Name]], tblPassengerNames[[#This Row],[CommaPos]] - 1)</f>
        <v>Moraweck</v>
      </c>
    </row>
    <row r="512" spans="2:18" x14ac:dyDescent="0.25">
      <c r="B512" s="21">
        <v>510</v>
      </c>
      <c r="C512" s="21" t="s">
        <v>646</v>
      </c>
      <c r="D512" s="21" t="s">
        <v>138</v>
      </c>
      <c r="E512">
        <f>FIND(",", tblPassengerNames[[#This Row],[Name]])</f>
        <v>7</v>
      </c>
      <c r="F512">
        <f>FIND(".", tblPassengerNames[[#This Row],[Name]])</f>
        <v>11</v>
      </c>
      <c r="G512">
        <f>FIND("(", tblPassengerNames[[#This Row],[Name]])</f>
        <v>26</v>
      </c>
      <c r="H512">
        <f>FIND(")", tblPassengerNames[[#This Row],[Name]])</f>
        <v>46</v>
      </c>
      <c r="I512">
        <f>IFERROR(tblPassengerNames[[#This Row],[OpenParPos]] - 2, LEN(tblPassengerNames[[#This Row],[Name]]))</f>
        <v>24</v>
      </c>
      <c r="J512" t="str">
        <f>MID(tblPassengerNames[[#This Row],[Name]], tblPassengerNames[[#This Row],[DotPos]] + 2, tblPassengerNames[[#This Row],[EndOfConvFNPos]] - tblPassengerNames[[#This Row],[DotPos]] - 1)</f>
        <v>Henry Samuel</v>
      </c>
      <c r="K512" t="str">
        <f>MID(tblPassengerNames[[#This Row],[Name]], tblPassengerNames[[#This Row],[OpenParPos]] + 1, tblPassengerNames[[#This Row],[CloseParPos]] - tblPassengerNames[[#This Row],[OpenParPos]] - 1)</f>
        <v>'Mr Henry Marshall'</v>
      </c>
      <c r="L512" t="e">
        <f>IF(AND(LEFT(tblPassengerNames[[#This Row],[InParentheses]], 1) = "'", RIGHT(tblPassengerNames[[#This Row],[InParentheses]], 1) = "'"),
    #VALUE!,
    tblPassengerNames[[#This Row],[InParentheses]]
)</f>
        <v>#VALUE!</v>
      </c>
      <c r="M512" t="e">
        <f>LEN(tblPassengerNames[[#This Row],[InParenthesesCleaned]]) - LEN(SUBSTITUTE(tblPassengerNames[[#This Row],[InParenthesesCleaned]], " ", ""))</f>
        <v>#VALUE!</v>
      </c>
      <c r="N512" t="e">
        <f>FIND("@", SUBSTITUTE(tblPassengerNames[[#This Row],[InParenthesesCleaned]], " ", "@", tblPassengerNames[[#This Row],[P_NSpaces]]))</f>
        <v>#VALUE!</v>
      </c>
      <c r="O512" t="e">
        <f>IF(tblPassengerNames[[#This Row],[P_NSpaces]] = 0,
    tblPassengerNames[[#This Row],[InParenthesesCleaned]],
    LEFT(tblPassengerNames[[#This Row],[InParenthesesCleaned]], tblPassengerNames[[#This Row],[P_FinalSpacePos]] - 1)
)</f>
        <v>#VALUE!</v>
      </c>
      <c r="P512" t="str">
        <f>IFERROR(tblPassengerNames[[#This Row],[P_Forenames]], tblPassengerNames[[#This Row],[ConvForenames]])</f>
        <v>Henry Samuel</v>
      </c>
      <c r="Q512" t="str">
        <f>MID(tblPassengerNames[[#This Row],[Name]], tblPassengerNames[[#This Row],[CommaPos]] + 2, tblPassengerNames[[#This Row],[DotPos]] - tblPassengerNames[[#This Row],[CommaPos]] - 1)</f>
        <v>Mr.</v>
      </c>
      <c r="R512" t="str">
        <f>LEFT(tblPassengerNames[[#This Row],[Name]], tblPassengerNames[[#This Row],[CommaPos]] - 1)</f>
        <v>Morley</v>
      </c>
    </row>
    <row r="513" spans="2:18" x14ac:dyDescent="0.25">
      <c r="B513" s="21">
        <v>511</v>
      </c>
      <c r="C513" s="21" t="s">
        <v>647</v>
      </c>
      <c r="D513" s="21" t="s">
        <v>138</v>
      </c>
      <c r="E513">
        <f>FIND(",", tblPassengerNames[[#This Row],[Name]])</f>
        <v>5</v>
      </c>
      <c r="F513">
        <f>FIND(".", tblPassengerNames[[#This Row],[Name]])</f>
        <v>9</v>
      </c>
      <c r="G513" t="e">
        <f>FIND("(", tblPassengerNames[[#This Row],[Name]])</f>
        <v>#VALUE!</v>
      </c>
      <c r="H513" t="e">
        <f>FIND(")", tblPassengerNames[[#This Row],[Name]])</f>
        <v>#VALUE!</v>
      </c>
      <c r="I513">
        <f>IFERROR(tblPassengerNames[[#This Row],[OpenParPos]] - 2, LEN(tblPassengerNames[[#This Row],[Name]]))</f>
        <v>24</v>
      </c>
      <c r="J513" t="str">
        <f>MID(tblPassengerNames[[#This Row],[Name]], tblPassengerNames[[#This Row],[DotPos]] + 2, tblPassengerNames[[#This Row],[EndOfConvFNPos]] - tblPassengerNames[[#This Row],[DotPos]] - 1)</f>
        <v>Thomas Charles</v>
      </c>
      <c r="K513" t="e">
        <f>MID(tblPassengerNames[[#This Row],[Name]], tblPassengerNames[[#This Row],[OpenParPos]] + 1, tblPassengerNames[[#This Row],[CloseParPos]] - tblPassengerNames[[#This Row],[OpenParPos]] - 1)</f>
        <v>#VALUE!</v>
      </c>
      <c r="L513" t="e">
        <f>IF(AND(LEFT(tblPassengerNames[[#This Row],[InParentheses]], 1) = "'", RIGHT(tblPassengerNames[[#This Row],[InParentheses]], 1) = "'"),
    #VALUE!,
    tblPassengerNames[[#This Row],[InParentheses]]
)</f>
        <v>#VALUE!</v>
      </c>
      <c r="M513" t="e">
        <f>LEN(tblPassengerNames[[#This Row],[InParenthesesCleaned]]) - LEN(SUBSTITUTE(tblPassengerNames[[#This Row],[InParenthesesCleaned]], " ", ""))</f>
        <v>#VALUE!</v>
      </c>
      <c r="N513" t="e">
        <f>FIND("@", SUBSTITUTE(tblPassengerNames[[#This Row],[InParenthesesCleaned]], " ", "@", tblPassengerNames[[#This Row],[P_NSpaces]]))</f>
        <v>#VALUE!</v>
      </c>
      <c r="O513" t="e">
        <f>IF(tblPassengerNames[[#This Row],[P_NSpaces]] = 0,
    tblPassengerNames[[#This Row],[InParenthesesCleaned]],
    LEFT(tblPassengerNames[[#This Row],[InParenthesesCleaned]], tblPassengerNames[[#This Row],[P_FinalSpacePos]] - 1)
)</f>
        <v>#VALUE!</v>
      </c>
      <c r="P513" t="str">
        <f>IFERROR(tblPassengerNames[[#This Row],[P_Forenames]], tblPassengerNames[[#This Row],[ConvForenames]])</f>
        <v>Thomas Charles</v>
      </c>
      <c r="Q513" t="str">
        <f>MID(tblPassengerNames[[#This Row],[Name]], tblPassengerNames[[#This Row],[CommaPos]] + 2, tblPassengerNames[[#This Row],[DotPos]] - tblPassengerNames[[#This Row],[CommaPos]] - 1)</f>
        <v>Mr.</v>
      </c>
      <c r="R513" t="str">
        <f>LEFT(tblPassengerNames[[#This Row],[Name]], tblPassengerNames[[#This Row],[CommaPos]] - 1)</f>
        <v>Mudd</v>
      </c>
    </row>
    <row r="514" spans="2:18" x14ac:dyDescent="0.25">
      <c r="B514" s="21">
        <v>512</v>
      </c>
      <c r="C514" s="21" t="s">
        <v>648</v>
      </c>
      <c r="D514" s="21" t="s">
        <v>138</v>
      </c>
      <c r="E514">
        <f>FIND(",", tblPassengerNames[[#This Row],[Name]])</f>
        <v>6</v>
      </c>
      <c r="F514">
        <f>FIND(".", tblPassengerNames[[#This Row],[Name]])</f>
        <v>10</v>
      </c>
      <c r="G514" t="e">
        <f>FIND("(", tblPassengerNames[[#This Row],[Name]])</f>
        <v>#VALUE!</v>
      </c>
      <c r="H514" t="e">
        <f>FIND(")", tblPassengerNames[[#This Row],[Name]])</f>
        <v>#VALUE!</v>
      </c>
      <c r="I514">
        <f>IFERROR(tblPassengerNames[[#This Row],[OpenParPos]] - 2, LEN(tblPassengerNames[[#This Row],[Name]]))</f>
        <v>25</v>
      </c>
      <c r="J514" t="str">
        <f>MID(tblPassengerNames[[#This Row],[Name]], tblPassengerNames[[#This Row],[DotPos]] + 2, tblPassengerNames[[#This Row],[EndOfConvFNPos]] - tblPassengerNames[[#This Row],[DotPos]] - 1)</f>
        <v>Thomas Francis</v>
      </c>
      <c r="K514" t="e">
        <f>MID(tblPassengerNames[[#This Row],[Name]], tblPassengerNames[[#This Row],[OpenParPos]] + 1, tblPassengerNames[[#This Row],[CloseParPos]] - tblPassengerNames[[#This Row],[OpenParPos]] - 1)</f>
        <v>#VALUE!</v>
      </c>
      <c r="L514" t="e">
        <f>IF(AND(LEFT(tblPassengerNames[[#This Row],[InParentheses]], 1) = "'", RIGHT(tblPassengerNames[[#This Row],[InParentheses]], 1) = "'"),
    #VALUE!,
    tblPassengerNames[[#This Row],[InParentheses]]
)</f>
        <v>#VALUE!</v>
      </c>
      <c r="M514" t="e">
        <f>LEN(tblPassengerNames[[#This Row],[InParenthesesCleaned]]) - LEN(SUBSTITUTE(tblPassengerNames[[#This Row],[InParenthesesCleaned]], " ", ""))</f>
        <v>#VALUE!</v>
      </c>
      <c r="N514" t="e">
        <f>FIND("@", SUBSTITUTE(tblPassengerNames[[#This Row],[InParenthesesCleaned]], " ", "@", tblPassengerNames[[#This Row],[P_NSpaces]]))</f>
        <v>#VALUE!</v>
      </c>
      <c r="O514" t="e">
        <f>IF(tblPassengerNames[[#This Row],[P_NSpaces]] = 0,
    tblPassengerNames[[#This Row],[InParenthesesCleaned]],
    LEFT(tblPassengerNames[[#This Row],[InParenthesesCleaned]], tblPassengerNames[[#This Row],[P_FinalSpacePos]] - 1)
)</f>
        <v>#VALUE!</v>
      </c>
      <c r="P514" t="str">
        <f>IFERROR(tblPassengerNames[[#This Row],[P_Forenames]], tblPassengerNames[[#This Row],[ConvForenames]])</f>
        <v>Thomas Francis</v>
      </c>
      <c r="Q514" t="str">
        <f>MID(tblPassengerNames[[#This Row],[Name]], tblPassengerNames[[#This Row],[CommaPos]] + 2, tblPassengerNames[[#This Row],[DotPos]] - tblPassengerNames[[#This Row],[CommaPos]] - 1)</f>
        <v>Mr.</v>
      </c>
      <c r="R514" t="str">
        <f>LEFT(tblPassengerNames[[#This Row],[Name]], tblPassengerNames[[#This Row],[CommaPos]] - 1)</f>
        <v>Myles</v>
      </c>
    </row>
    <row r="515" spans="2:18" x14ac:dyDescent="0.25">
      <c r="B515" s="21">
        <v>513</v>
      </c>
      <c r="C515" s="21" t="s">
        <v>649</v>
      </c>
      <c r="D515" s="21" t="s">
        <v>138</v>
      </c>
      <c r="E515">
        <f>FIND(",", tblPassengerNames[[#This Row],[Name]])</f>
        <v>7</v>
      </c>
      <c r="F515">
        <f>FIND(".", tblPassengerNames[[#This Row],[Name]])</f>
        <v>11</v>
      </c>
      <c r="G515" t="e">
        <f>FIND("(", tblPassengerNames[[#This Row],[Name]])</f>
        <v>#VALUE!</v>
      </c>
      <c r="H515" t="e">
        <f>FIND(")", tblPassengerNames[[#This Row],[Name]])</f>
        <v>#VALUE!</v>
      </c>
      <c r="I515">
        <f>IFERROR(tblPassengerNames[[#This Row],[OpenParPos]] - 2, LEN(tblPassengerNames[[#This Row],[Name]]))</f>
        <v>20</v>
      </c>
      <c r="J515" t="str">
        <f>MID(tblPassengerNames[[#This Row],[Name]], tblPassengerNames[[#This Row],[DotPos]] + 2, tblPassengerNames[[#This Row],[EndOfConvFNPos]] - tblPassengerNames[[#This Row],[DotPos]] - 1)</f>
        <v>Nicholas</v>
      </c>
      <c r="K515" t="e">
        <f>MID(tblPassengerNames[[#This Row],[Name]], tblPassengerNames[[#This Row],[OpenParPos]] + 1, tblPassengerNames[[#This Row],[CloseParPos]] - tblPassengerNames[[#This Row],[OpenParPos]] - 1)</f>
        <v>#VALUE!</v>
      </c>
      <c r="L515" t="e">
        <f>IF(AND(LEFT(tblPassengerNames[[#This Row],[InParentheses]], 1) = "'", RIGHT(tblPassengerNames[[#This Row],[InParentheses]], 1) = "'"),
    #VALUE!,
    tblPassengerNames[[#This Row],[InParentheses]]
)</f>
        <v>#VALUE!</v>
      </c>
      <c r="M515" t="e">
        <f>LEN(tblPassengerNames[[#This Row],[InParenthesesCleaned]]) - LEN(SUBSTITUTE(tblPassengerNames[[#This Row],[InParenthesesCleaned]], " ", ""))</f>
        <v>#VALUE!</v>
      </c>
      <c r="N515" t="e">
        <f>FIND("@", SUBSTITUTE(tblPassengerNames[[#This Row],[InParenthesesCleaned]], " ", "@", tblPassengerNames[[#This Row],[P_NSpaces]]))</f>
        <v>#VALUE!</v>
      </c>
      <c r="O515" t="e">
        <f>IF(tblPassengerNames[[#This Row],[P_NSpaces]] = 0,
    tblPassengerNames[[#This Row],[InParenthesesCleaned]],
    LEFT(tblPassengerNames[[#This Row],[InParenthesesCleaned]], tblPassengerNames[[#This Row],[P_FinalSpacePos]] - 1)
)</f>
        <v>#VALUE!</v>
      </c>
      <c r="P515" t="str">
        <f>IFERROR(tblPassengerNames[[#This Row],[P_Forenames]], tblPassengerNames[[#This Row],[ConvForenames]])</f>
        <v>Nicholas</v>
      </c>
      <c r="Q515" t="str">
        <f>MID(tblPassengerNames[[#This Row],[Name]], tblPassengerNames[[#This Row],[CommaPos]] + 2, tblPassengerNames[[#This Row],[DotPos]] - tblPassengerNames[[#This Row],[CommaPos]] - 1)</f>
        <v>Mr.</v>
      </c>
      <c r="R515" t="str">
        <f>LEFT(tblPassengerNames[[#This Row],[Name]], tblPassengerNames[[#This Row],[CommaPos]] - 1)</f>
        <v>Nasser</v>
      </c>
    </row>
    <row r="516" spans="2:18" x14ac:dyDescent="0.25">
      <c r="B516" s="21">
        <v>514</v>
      </c>
      <c r="C516" s="21" t="s">
        <v>650</v>
      </c>
      <c r="D516" s="21" t="s">
        <v>136</v>
      </c>
      <c r="E516">
        <f>FIND(",", tblPassengerNames[[#This Row],[Name]])</f>
        <v>7</v>
      </c>
      <c r="F516">
        <f>FIND(".", tblPassengerNames[[#This Row],[Name]])</f>
        <v>12</v>
      </c>
      <c r="G516">
        <f>FIND("(", tblPassengerNames[[#This Row],[Name]])</f>
        <v>23</v>
      </c>
      <c r="H516">
        <f>FIND(")", tblPassengerNames[[#This Row],[Name]])</f>
        <v>35</v>
      </c>
      <c r="I516">
        <f>IFERROR(tblPassengerNames[[#This Row],[OpenParPos]] - 2, LEN(tblPassengerNames[[#This Row],[Name]]))</f>
        <v>21</v>
      </c>
      <c r="J516" t="str">
        <f>MID(tblPassengerNames[[#This Row],[Name]], tblPassengerNames[[#This Row],[DotPos]] + 2, tblPassengerNames[[#This Row],[EndOfConvFNPos]] - tblPassengerNames[[#This Row],[DotPos]] - 1)</f>
        <v>Nicholas</v>
      </c>
      <c r="K516" t="str">
        <f>MID(tblPassengerNames[[#This Row],[Name]], tblPassengerNames[[#This Row],[OpenParPos]] + 1, tblPassengerNames[[#This Row],[CloseParPos]] - tblPassengerNames[[#This Row],[OpenParPos]] - 1)</f>
        <v>Adele Achem</v>
      </c>
      <c r="L516" t="str">
        <f>IF(AND(LEFT(tblPassengerNames[[#This Row],[InParentheses]], 1) = "'", RIGHT(tblPassengerNames[[#This Row],[InParentheses]], 1) = "'"),
    #VALUE!,
    tblPassengerNames[[#This Row],[InParentheses]]
)</f>
        <v>Adele Achem</v>
      </c>
      <c r="M516">
        <f>LEN(tblPassengerNames[[#This Row],[InParenthesesCleaned]]) - LEN(SUBSTITUTE(tblPassengerNames[[#This Row],[InParenthesesCleaned]], " ", ""))</f>
        <v>1</v>
      </c>
      <c r="N516">
        <f>FIND("@", SUBSTITUTE(tblPassengerNames[[#This Row],[InParenthesesCleaned]], " ", "@", tblPassengerNames[[#This Row],[P_NSpaces]]))</f>
        <v>6</v>
      </c>
      <c r="O516" t="str">
        <f>IF(tblPassengerNames[[#This Row],[P_NSpaces]] = 0,
    tblPassengerNames[[#This Row],[InParenthesesCleaned]],
    LEFT(tblPassengerNames[[#This Row],[InParenthesesCleaned]], tblPassengerNames[[#This Row],[P_FinalSpacePos]] - 1)
)</f>
        <v>Adele</v>
      </c>
      <c r="P516" t="str">
        <f>IFERROR(tblPassengerNames[[#This Row],[P_Forenames]], tblPassengerNames[[#This Row],[ConvForenames]])</f>
        <v>Adele</v>
      </c>
      <c r="Q516" t="str">
        <f>MID(tblPassengerNames[[#This Row],[Name]], tblPassengerNames[[#This Row],[CommaPos]] + 2, tblPassengerNames[[#This Row],[DotPos]] - tblPassengerNames[[#This Row],[CommaPos]] - 1)</f>
        <v>Mrs.</v>
      </c>
      <c r="R516" t="str">
        <f>LEFT(tblPassengerNames[[#This Row],[Name]], tblPassengerNames[[#This Row],[CommaPos]] - 1)</f>
        <v>Nasser</v>
      </c>
    </row>
    <row r="517" spans="2:18" x14ac:dyDescent="0.25">
      <c r="B517" s="21">
        <v>515</v>
      </c>
      <c r="C517" s="21" t="s">
        <v>651</v>
      </c>
      <c r="D517" s="21" t="s">
        <v>138</v>
      </c>
      <c r="E517">
        <f>FIND(",", tblPassengerNames[[#This Row],[Name]])</f>
        <v>9</v>
      </c>
      <c r="F517">
        <f>FIND(".", tblPassengerNames[[#This Row],[Name]])</f>
        <v>17</v>
      </c>
      <c r="G517" t="e">
        <f>FIND("(", tblPassengerNames[[#This Row],[Name]])</f>
        <v>#VALUE!</v>
      </c>
      <c r="H517" t="e">
        <f>FIND(")", tblPassengerNames[[#This Row],[Name]])</f>
        <v>#VALUE!</v>
      </c>
      <c r="I517">
        <f>IFERROR(tblPassengerNames[[#This Row],[OpenParPos]] - 2, LEN(tblPassengerNames[[#This Row],[Name]]))</f>
        <v>30</v>
      </c>
      <c r="J517" t="str">
        <f>MID(tblPassengerNames[[#This Row],[Name]], tblPassengerNames[[#This Row],[DotPos]] + 2, tblPassengerNames[[#This Row],[EndOfConvFNPos]] - tblPassengerNames[[#This Row],[DotPos]] - 1)</f>
        <v>Edmond Roger</v>
      </c>
      <c r="K517" t="e">
        <f>MID(tblPassengerNames[[#This Row],[Name]], tblPassengerNames[[#This Row],[OpenParPos]] + 1, tblPassengerNames[[#This Row],[CloseParPos]] - tblPassengerNames[[#This Row],[OpenParPos]] - 1)</f>
        <v>#VALUE!</v>
      </c>
      <c r="L517" t="e">
        <f>IF(AND(LEFT(tblPassengerNames[[#This Row],[InParentheses]], 1) = "'", RIGHT(tblPassengerNames[[#This Row],[InParentheses]], 1) = "'"),
    #VALUE!,
    tblPassengerNames[[#This Row],[InParentheses]]
)</f>
        <v>#VALUE!</v>
      </c>
      <c r="M517" t="e">
        <f>LEN(tblPassengerNames[[#This Row],[InParenthesesCleaned]]) - LEN(SUBSTITUTE(tblPassengerNames[[#This Row],[InParenthesesCleaned]], " ", ""))</f>
        <v>#VALUE!</v>
      </c>
      <c r="N517" t="e">
        <f>FIND("@", SUBSTITUTE(tblPassengerNames[[#This Row],[InParenthesesCleaned]], " ", "@", tblPassengerNames[[#This Row],[P_NSpaces]]))</f>
        <v>#VALUE!</v>
      </c>
      <c r="O517" t="e">
        <f>IF(tblPassengerNames[[#This Row],[P_NSpaces]] = 0,
    tblPassengerNames[[#This Row],[InParenthesesCleaned]],
    LEFT(tblPassengerNames[[#This Row],[InParenthesesCleaned]], tblPassengerNames[[#This Row],[P_FinalSpacePos]] - 1)
)</f>
        <v>#VALUE!</v>
      </c>
      <c r="P517" t="str">
        <f>IFERROR(tblPassengerNames[[#This Row],[P_Forenames]], tblPassengerNames[[#This Row],[ConvForenames]])</f>
        <v>Edmond Roger</v>
      </c>
      <c r="Q517" t="str">
        <f>MID(tblPassengerNames[[#This Row],[Name]], tblPassengerNames[[#This Row],[CommaPos]] + 2, tblPassengerNames[[#This Row],[DotPos]] - tblPassengerNames[[#This Row],[CommaPos]] - 1)</f>
        <v>Master.</v>
      </c>
      <c r="R517" t="str">
        <f>LEFT(tblPassengerNames[[#This Row],[Name]], tblPassengerNames[[#This Row],[CommaPos]] - 1)</f>
        <v>Navratil</v>
      </c>
    </row>
    <row r="518" spans="2:18" x14ac:dyDescent="0.25">
      <c r="B518" s="21">
        <v>516</v>
      </c>
      <c r="C518" s="21" t="s">
        <v>652</v>
      </c>
      <c r="D518" s="21" t="s">
        <v>138</v>
      </c>
      <c r="E518">
        <f>FIND(",", tblPassengerNames[[#This Row],[Name]])</f>
        <v>9</v>
      </c>
      <c r="F518">
        <f>FIND(".", tblPassengerNames[[#This Row],[Name]])</f>
        <v>17</v>
      </c>
      <c r="G518" t="e">
        <f>FIND("(", tblPassengerNames[[#This Row],[Name]])</f>
        <v>#VALUE!</v>
      </c>
      <c r="H518" t="e">
        <f>FIND(")", tblPassengerNames[[#This Row],[Name]])</f>
        <v>#VALUE!</v>
      </c>
      <c r="I518">
        <f>IFERROR(tblPassengerNames[[#This Row],[OpenParPos]] - 2, LEN(tblPassengerNames[[#This Row],[Name]]))</f>
        <v>26</v>
      </c>
      <c r="J518" t="str">
        <f>MID(tblPassengerNames[[#This Row],[Name]], tblPassengerNames[[#This Row],[DotPos]] + 2, tblPassengerNames[[#This Row],[EndOfConvFNPos]] - tblPassengerNames[[#This Row],[DotPos]] - 1)</f>
        <v>Michel M</v>
      </c>
      <c r="K518" t="e">
        <f>MID(tblPassengerNames[[#This Row],[Name]], tblPassengerNames[[#This Row],[OpenParPos]] + 1, tblPassengerNames[[#This Row],[CloseParPos]] - tblPassengerNames[[#This Row],[OpenParPos]] - 1)</f>
        <v>#VALUE!</v>
      </c>
      <c r="L518" t="e">
        <f>IF(AND(LEFT(tblPassengerNames[[#This Row],[InParentheses]], 1) = "'", RIGHT(tblPassengerNames[[#This Row],[InParentheses]], 1) = "'"),
    #VALUE!,
    tblPassengerNames[[#This Row],[InParentheses]]
)</f>
        <v>#VALUE!</v>
      </c>
      <c r="M518" t="e">
        <f>LEN(tblPassengerNames[[#This Row],[InParenthesesCleaned]]) - LEN(SUBSTITUTE(tblPassengerNames[[#This Row],[InParenthesesCleaned]], " ", ""))</f>
        <v>#VALUE!</v>
      </c>
      <c r="N518" t="e">
        <f>FIND("@", SUBSTITUTE(tblPassengerNames[[#This Row],[InParenthesesCleaned]], " ", "@", tblPassengerNames[[#This Row],[P_NSpaces]]))</f>
        <v>#VALUE!</v>
      </c>
      <c r="O518" t="e">
        <f>IF(tblPassengerNames[[#This Row],[P_NSpaces]] = 0,
    tblPassengerNames[[#This Row],[InParenthesesCleaned]],
    LEFT(tblPassengerNames[[#This Row],[InParenthesesCleaned]], tblPassengerNames[[#This Row],[P_FinalSpacePos]] - 1)
)</f>
        <v>#VALUE!</v>
      </c>
      <c r="P518" t="str">
        <f>IFERROR(tblPassengerNames[[#This Row],[P_Forenames]], tblPassengerNames[[#This Row],[ConvForenames]])</f>
        <v>Michel M</v>
      </c>
      <c r="Q518" t="str">
        <f>MID(tblPassengerNames[[#This Row],[Name]], tblPassengerNames[[#This Row],[CommaPos]] + 2, tblPassengerNames[[#This Row],[DotPos]] - tblPassengerNames[[#This Row],[CommaPos]] - 1)</f>
        <v>Master.</v>
      </c>
      <c r="R518" t="str">
        <f>LEFT(tblPassengerNames[[#This Row],[Name]], tblPassengerNames[[#This Row],[CommaPos]] - 1)</f>
        <v>Navratil</v>
      </c>
    </row>
    <row r="519" spans="2:18" x14ac:dyDescent="0.25">
      <c r="B519" s="21">
        <v>517</v>
      </c>
      <c r="C519" s="21" t="s">
        <v>653</v>
      </c>
      <c r="D519" s="21" t="s">
        <v>138</v>
      </c>
      <c r="E519">
        <f>FIND(",", tblPassengerNames[[#This Row],[Name]])</f>
        <v>9</v>
      </c>
      <c r="F519">
        <f>FIND(".", tblPassengerNames[[#This Row],[Name]])</f>
        <v>13</v>
      </c>
      <c r="G519">
        <f>FIND("(", tblPassengerNames[[#This Row],[Name]])</f>
        <v>22</v>
      </c>
      <c r="H519">
        <f>FIND(")", tblPassengerNames[[#This Row],[Name]])</f>
        <v>40</v>
      </c>
      <c r="I519">
        <f>IFERROR(tblPassengerNames[[#This Row],[OpenParPos]] - 2, LEN(tblPassengerNames[[#This Row],[Name]]))</f>
        <v>20</v>
      </c>
      <c r="J519" t="str">
        <f>MID(tblPassengerNames[[#This Row],[Name]], tblPassengerNames[[#This Row],[DotPos]] + 2, tblPassengerNames[[#This Row],[EndOfConvFNPos]] - tblPassengerNames[[#This Row],[DotPos]] - 1)</f>
        <v>Michel</v>
      </c>
      <c r="K519" t="str">
        <f>MID(tblPassengerNames[[#This Row],[Name]], tblPassengerNames[[#This Row],[OpenParPos]] + 1, tblPassengerNames[[#This Row],[CloseParPos]] - tblPassengerNames[[#This Row],[OpenParPos]] - 1)</f>
        <v>'Louis M Hoffman'</v>
      </c>
      <c r="L519" t="e">
        <f>IF(AND(LEFT(tblPassengerNames[[#This Row],[InParentheses]], 1) = "'", RIGHT(tblPassengerNames[[#This Row],[InParentheses]], 1) = "'"),
    #VALUE!,
    tblPassengerNames[[#This Row],[InParentheses]]
)</f>
        <v>#VALUE!</v>
      </c>
      <c r="M519" t="e">
        <f>LEN(tblPassengerNames[[#This Row],[InParenthesesCleaned]]) - LEN(SUBSTITUTE(tblPassengerNames[[#This Row],[InParenthesesCleaned]], " ", ""))</f>
        <v>#VALUE!</v>
      </c>
      <c r="N519" t="e">
        <f>FIND("@", SUBSTITUTE(tblPassengerNames[[#This Row],[InParenthesesCleaned]], " ", "@", tblPassengerNames[[#This Row],[P_NSpaces]]))</f>
        <v>#VALUE!</v>
      </c>
      <c r="O519" t="e">
        <f>IF(tblPassengerNames[[#This Row],[P_NSpaces]] = 0,
    tblPassengerNames[[#This Row],[InParenthesesCleaned]],
    LEFT(tblPassengerNames[[#This Row],[InParenthesesCleaned]], tblPassengerNames[[#This Row],[P_FinalSpacePos]] - 1)
)</f>
        <v>#VALUE!</v>
      </c>
      <c r="P519" t="str">
        <f>IFERROR(tblPassengerNames[[#This Row],[P_Forenames]], tblPassengerNames[[#This Row],[ConvForenames]])</f>
        <v>Michel</v>
      </c>
      <c r="Q519" t="str">
        <f>MID(tblPassengerNames[[#This Row],[Name]], tblPassengerNames[[#This Row],[CommaPos]] + 2, tblPassengerNames[[#This Row],[DotPos]] - tblPassengerNames[[#This Row],[CommaPos]] - 1)</f>
        <v>Mr.</v>
      </c>
      <c r="R519" t="str">
        <f>LEFT(tblPassengerNames[[#This Row],[Name]], tblPassengerNames[[#This Row],[CommaPos]] - 1)</f>
        <v>Navratil</v>
      </c>
    </row>
    <row r="520" spans="2:18" x14ac:dyDescent="0.25">
      <c r="B520" s="21">
        <v>518</v>
      </c>
      <c r="C520" s="21" t="s">
        <v>654</v>
      </c>
      <c r="D520" s="21" t="s">
        <v>138</v>
      </c>
      <c r="E520">
        <f>FIND(",", tblPassengerNames[[#This Row],[Name]])</f>
        <v>7</v>
      </c>
      <c r="F520">
        <f>FIND(".", tblPassengerNames[[#This Row],[Name]])</f>
        <v>11</v>
      </c>
      <c r="G520" t="e">
        <f>FIND("(", tblPassengerNames[[#This Row],[Name]])</f>
        <v>#VALUE!</v>
      </c>
      <c r="H520" t="e">
        <f>FIND(")", tblPassengerNames[[#This Row],[Name]])</f>
        <v>#VALUE!</v>
      </c>
      <c r="I520">
        <f>IFERROR(tblPassengerNames[[#This Row],[OpenParPos]] - 2, LEN(tblPassengerNames[[#This Row],[Name]]))</f>
        <v>18</v>
      </c>
      <c r="J520" t="str">
        <f>MID(tblPassengerNames[[#This Row],[Name]], tblPassengerNames[[#This Row],[DotPos]] + 2, tblPassengerNames[[#This Row],[EndOfConvFNPos]] - tblPassengerNames[[#This Row],[DotPos]] - 1)</f>
        <v>Israel</v>
      </c>
      <c r="K520" t="e">
        <f>MID(tblPassengerNames[[#This Row],[Name]], tblPassengerNames[[#This Row],[OpenParPos]] + 1, tblPassengerNames[[#This Row],[CloseParPos]] - tblPassengerNames[[#This Row],[OpenParPos]] - 1)</f>
        <v>#VALUE!</v>
      </c>
      <c r="L520" t="e">
        <f>IF(AND(LEFT(tblPassengerNames[[#This Row],[InParentheses]], 1) = "'", RIGHT(tblPassengerNames[[#This Row],[InParentheses]], 1) = "'"),
    #VALUE!,
    tblPassengerNames[[#This Row],[InParentheses]]
)</f>
        <v>#VALUE!</v>
      </c>
      <c r="M520" t="e">
        <f>LEN(tblPassengerNames[[#This Row],[InParenthesesCleaned]]) - LEN(SUBSTITUTE(tblPassengerNames[[#This Row],[InParenthesesCleaned]], " ", ""))</f>
        <v>#VALUE!</v>
      </c>
      <c r="N520" t="e">
        <f>FIND("@", SUBSTITUTE(tblPassengerNames[[#This Row],[InParenthesesCleaned]], " ", "@", tblPassengerNames[[#This Row],[P_NSpaces]]))</f>
        <v>#VALUE!</v>
      </c>
      <c r="O520" t="e">
        <f>IF(tblPassengerNames[[#This Row],[P_NSpaces]] = 0,
    tblPassengerNames[[#This Row],[InParenthesesCleaned]],
    LEFT(tblPassengerNames[[#This Row],[InParenthesesCleaned]], tblPassengerNames[[#This Row],[P_FinalSpacePos]] - 1)
)</f>
        <v>#VALUE!</v>
      </c>
      <c r="P520" t="str">
        <f>IFERROR(tblPassengerNames[[#This Row],[P_Forenames]], tblPassengerNames[[#This Row],[ConvForenames]])</f>
        <v>Israel</v>
      </c>
      <c r="Q520" t="str">
        <f>MID(tblPassengerNames[[#This Row],[Name]], tblPassengerNames[[#This Row],[CommaPos]] + 2, tblPassengerNames[[#This Row],[DotPos]] - tblPassengerNames[[#This Row],[CommaPos]] - 1)</f>
        <v>Mr.</v>
      </c>
      <c r="R520" t="str">
        <f>LEFT(tblPassengerNames[[#This Row],[Name]], tblPassengerNames[[#This Row],[CommaPos]] - 1)</f>
        <v>Nesson</v>
      </c>
    </row>
    <row r="521" spans="2:18" x14ac:dyDescent="0.25">
      <c r="B521" s="21">
        <v>519</v>
      </c>
      <c r="C521" s="21" t="s">
        <v>655</v>
      </c>
      <c r="D521" s="21" t="s">
        <v>138</v>
      </c>
      <c r="E521">
        <f>FIND(",", tblPassengerNames[[#This Row],[Name]])</f>
        <v>9</v>
      </c>
      <c r="F521">
        <f>FIND(".", tblPassengerNames[[#This Row],[Name]])</f>
        <v>13</v>
      </c>
      <c r="G521" t="e">
        <f>FIND("(", tblPassengerNames[[#This Row],[Name]])</f>
        <v>#VALUE!</v>
      </c>
      <c r="H521" t="e">
        <f>FIND(")", tblPassengerNames[[#This Row],[Name]])</f>
        <v>#VALUE!</v>
      </c>
      <c r="I521">
        <f>IFERROR(tblPassengerNames[[#This Row],[OpenParPos]] - 2, LEN(tblPassengerNames[[#This Row],[Name]]))</f>
        <v>28</v>
      </c>
      <c r="J521" t="str">
        <f>MID(tblPassengerNames[[#This Row],[Name]], tblPassengerNames[[#This Row],[DotPos]] + 2, tblPassengerNames[[#This Row],[EndOfConvFNPos]] - tblPassengerNames[[#This Row],[DotPos]] - 1)</f>
        <v>Joseph Charles</v>
      </c>
      <c r="K521" t="e">
        <f>MID(tblPassengerNames[[#This Row],[Name]], tblPassengerNames[[#This Row],[OpenParPos]] + 1, tblPassengerNames[[#This Row],[CloseParPos]] - tblPassengerNames[[#This Row],[OpenParPos]] - 1)</f>
        <v>#VALUE!</v>
      </c>
      <c r="L521" t="e">
        <f>IF(AND(LEFT(tblPassengerNames[[#This Row],[InParentheses]], 1) = "'", RIGHT(tblPassengerNames[[#This Row],[InParentheses]], 1) = "'"),
    #VALUE!,
    tblPassengerNames[[#This Row],[InParentheses]]
)</f>
        <v>#VALUE!</v>
      </c>
      <c r="M521" t="e">
        <f>LEN(tblPassengerNames[[#This Row],[InParenthesesCleaned]]) - LEN(SUBSTITUTE(tblPassengerNames[[#This Row],[InParenthesesCleaned]], " ", ""))</f>
        <v>#VALUE!</v>
      </c>
      <c r="N521" t="e">
        <f>FIND("@", SUBSTITUTE(tblPassengerNames[[#This Row],[InParenthesesCleaned]], " ", "@", tblPassengerNames[[#This Row],[P_NSpaces]]))</f>
        <v>#VALUE!</v>
      </c>
      <c r="O521" t="e">
        <f>IF(tblPassengerNames[[#This Row],[P_NSpaces]] = 0,
    tblPassengerNames[[#This Row],[InParenthesesCleaned]],
    LEFT(tblPassengerNames[[#This Row],[InParenthesesCleaned]], tblPassengerNames[[#This Row],[P_FinalSpacePos]] - 1)
)</f>
        <v>#VALUE!</v>
      </c>
      <c r="P521" t="str">
        <f>IFERROR(tblPassengerNames[[#This Row],[P_Forenames]], tblPassengerNames[[#This Row],[ConvForenames]])</f>
        <v>Joseph Charles</v>
      </c>
      <c r="Q521" t="str">
        <f>MID(tblPassengerNames[[#This Row],[Name]], tblPassengerNames[[#This Row],[CommaPos]] + 2, tblPassengerNames[[#This Row],[DotPos]] - tblPassengerNames[[#This Row],[CommaPos]] - 1)</f>
        <v>Mr.</v>
      </c>
      <c r="R521" t="str">
        <f>LEFT(tblPassengerNames[[#This Row],[Name]], tblPassengerNames[[#This Row],[CommaPos]] - 1)</f>
        <v>Nicholls</v>
      </c>
    </row>
    <row r="522" spans="2:18" x14ac:dyDescent="0.25">
      <c r="B522" s="21">
        <v>520</v>
      </c>
      <c r="C522" s="21" t="s">
        <v>656</v>
      </c>
      <c r="D522" s="21" t="s">
        <v>138</v>
      </c>
      <c r="E522">
        <f>FIND(",", tblPassengerNames[[#This Row],[Name]])</f>
        <v>7</v>
      </c>
      <c r="F522">
        <f>FIND(".", tblPassengerNames[[#This Row],[Name]])</f>
        <v>11</v>
      </c>
      <c r="G522" t="e">
        <f>FIND("(", tblPassengerNames[[#This Row],[Name]])</f>
        <v>#VALUE!</v>
      </c>
      <c r="H522" t="e">
        <f>FIND(")", tblPassengerNames[[#This Row],[Name]])</f>
        <v>#VALUE!</v>
      </c>
      <c r="I522">
        <f>IFERROR(tblPassengerNames[[#This Row],[OpenParPos]] - 2, LEN(tblPassengerNames[[#This Row],[Name]]))</f>
        <v>26</v>
      </c>
      <c r="J522" t="str">
        <f>MID(tblPassengerNames[[#This Row],[Name]], tblPassengerNames[[#This Row],[DotPos]] + 2, tblPassengerNames[[#This Row],[EndOfConvFNPos]] - tblPassengerNames[[#This Row],[DotPos]] - 1)</f>
        <v>Robert Douglas</v>
      </c>
      <c r="K522" t="e">
        <f>MID(tblPassengerNames[[#This Row],[Name]], tblPassengerNames[[#This Row],[OpenParPos]] + 1, tblPassengerNames[[#This Row],[CloseParPos]] - tblPassengerNames[[#This Row],[OpenParPos]] - 1)</f>
        <v>#VALUE!</v>
      </c>
      <c r="L522" t="e">
        <f>IF(AND(LEFT(tblPassengerNames[[#This Row],[InParentheses]], 1) = "'", RIGHT(tblPassengerNames[[#This Row],[InParentheses]], 1) = "'"),
    #VALUE!,
    tblPassengerNames[[#This Row],[InParentheses]]
)</f>
        <v>#VALUE!</v>
      </c>
      <c r="M522" t="e">
        <f>LEN(tblPassengerNames[[#This Row],[InParenthesesCleaned]]) - LEN(SUBSTITUTE(tblPassengerNames[[#This Row],[InParenthesesCleaned]], " ", ""))</f>
        <v>#VALUE!</v>
      </c>
      <c r="N522" t="e">
        <f>FIND("@", SUBSTITUTE(tblPassengerNames[[#This Row],[InParenthesesCleaned]], " ", "@", tblPassengerNames[[#This Row],[P_NSpaces]]))</f>
        <v>#VALUE!</v>
      </c>
      <c r="O522" t="e">
        <f>IF(tblPassengerNames[[#This Row],[P_NSpaces]] = 0,
    tblPassengerNames[[#This Row],[InParenthesesCleaned]],
    LEFT(tblPassengerNames[[#This Row],[InParenthesesCleaned]], tblPassengerNames[[#This Row],[P_FinalSpacePos]] - 1)
)</f>
        <v>#VALUE!</v>
      </c>
      <c r="P522" t="str">
        <f>IFERROR(tblPassengerNames[[#This Row],[P_Forenames]], tblPassengerNames[[#This Row],[ConvForenames]])</f>
        <v>Robert Douglas</v>
      </c>
      <c r="Q522" t="str">
        <f>MID(tblPassengerNames[[#This Row],[Name]], tblPassengerNames[[#This Row],[CommaPos]] + 2, tblPassengerNames[[#This Row],[DotPos]] - tblPassengerNames[[#This Row],[CommaPos]] - 1)</f>
        <v>Mr.</v>
      </c>
      <c r="R522" t="str">
        <f>LEFT(tblPassengerNames[[#This Row],[Name]], tblPassengerNames[[#This Row],[CommaPos]] - 1)</f>
        <v>Norman</v>
      </c>
    </row>
    <row r="523" spans="2:18" x14ac:dyDescent="0.25">
      <c r="B523" s="21">
        <v>521</v>
      </c>
      <c r="C523" s="21" t="s">
        <v>657</v>
      </c>
      <c r="D523" s="21" t="s">
        <v>138</v>
      </c>
      <c r="E523">
        <f>FIND(",", tblPassengerNames[[#This Row],[Name]])</f>
        <v>8</v>
      </c>
      <c r="F523">
        <f>FIND(".", tblPassengerNames[[#This Row],[Name]])</f>
        <v>12</v>
      </c>
      <c r="G523">
        <f>FIND("(", tblPassengerNames[[#This Row],[Name]])</f>
        <v>21</v>
      </c>
      <c r="H523">
        <f>FIND(")", tblPassengerNames[[#This Row],[Name]])</f>
        <v>44</v>
      </c>
      <c r="I523">
        <f>IFERROR(tblPassengerNames[[#This Row],[OpenParPos]] - 2, LEN(tblPassengerNames[[#This Row],[Name]]))</f>
        <v>19</v>
      </c>
      <c r="J523" t="str">
        <f>MID(tblPassengerNames[[#This Row],[Name]], tblPassengerNames[[#This Row],[DotPos]] + 2, tblPassengerNames[[#This Row],[EndOfConvFNPos]] - tblPassengerNames[[#This Row],[DotPos]] - 1)</f>
        <v>Alfred</v>
      </c>
      <c r="K523" t="str">
        <f>MID(tblPassengerNames[[#This Row],[Name]], tblPassengerNames[[#This Row],[OpenParPos]] + 1, tblPassengerNames[[#This Row],[CloseParPos]] - tblPassengerNames[[#This Row],[OpenParPos]] - 1)</f>
        <v>'Baron von Drachstedt'</v>
      </c>
      <c r="L523" t="e">
        <f>IF(AND(LEFT(tblPassengerNames[[#This Row],[InParentheses]], 1) = "'", RIGHT(tblPassengerNames[[#This Row],[InParentheses]], 1) = "'"),
    #VALUE!,
    tblPassengerNames[[#This Row],[InParentheses]]
)</f>
        <v>#VALUE!</v>
      </c>
      <c r="M523" t="e">
        <f>LEN(tblPassengerNames[[#This Row],[InParenthesesCleaned]]) - LEN(SUBSTITUTE(tblPassengerNames[[#This Row],[InParenthesesCleaned]], " ", ""))</f>
        <v>#VALUE!</v>
      </c>
      <c r="N523" t="e">
        <f>FIND("@", SUBSTITUTE(tblPassengerNames[[#This Row],[InParenthesesCleaned]], " ", "@", tblPassengerNames[[#This Row],[P_NSpaces]]))</f>
        <v>#VALUE!</v>
      </c>
      <c r="O523" t="e">
        <f>IF(tblPassengerNames[[#This Row],[P_NSpaces]] = 0,
    tblPassengerNames[[#This Row],[InParenthesesCleaned]],
    LEFT(tblPassengerNames[[#This Row],[InParenthesesCleaned]], tblPassengerNames[[#This Row],[P_FinalSpacePos]] - 1)
)</f>
        <v>#VALUE!</v>
      </c>
      <c r="P523" t="str">
        <f>IFERROR(tblPassengerNames[[#This Row],[P_Forenames]], tblPassengerNames[[#This Row],[ConvForenames]])</f>
        <v>Alfred</v>
      </c>
      <c r="Q523" t="str">
        <f>MID(tblPassengerNames[[#This Row],[Name]], tblPassengerNames[[#This Row],[CommaPos]] + 2, tblPassengerNames[[#This Row],[DotPos]] - tblPassengerNames[[#This Row],[CommaPos]] - 1)</f>
        <v>Mr.</v>
      </c>
      <c r="R523" t="str">
        <f>LEFT(tblPassengerNames[[#This Row],[Name]], tblPassengerNames[[#This Row],[CommaPos]] - 1)</f>
        <v>Nourney</v>
      </c>
    </row>
    <row r="524" spans="2:18" x14ac:dyDescent="0.25">
      <c r="B524" s="21">
        <v>522</v>
      </c>
      <c r="C524" s="21" t="s">
        <v>658</v>
      </c>
      <c r="D524" s="21" t="s">
        <v>136</v>
      </c>
      <c r="E524">
        <f>FIND(",", tblPassengerNames[[#This Row],[Name]])</f>
        <v>4</v>
      </c>
      <c r="F524">
        <f>FIND(".", tblPassengerNames[[#This Row],[Name]])</f>
        <v>9</v>
      </c>
      <c r="G524">
        <f>FIND("(", tblPassengerNames[[#This Row],[Name]])</f>
        <v>11</v>
      </c>
      <c r="H524">
        <f>FIND(")", tblPassengerNames[[#This Row],[Name]])</f>
        <v>28</v>
      </c>
      <c r="I524">
        <f>IFERROR(tblPassengerNames[[#This Row],[OpenParPos]] - 2, LEN(tblPassengerNames[[#This Row],[Name]]))</f>
        <v>9</v>
      </c>
      <c r="J524" t="e">
        <f>MID(tblPassengerNames[[#This Row],[Name]], tblPassengerNames[[#This Row],[DotPos]] + 2, tblPassengerNames[[#This Row],[EndOfConvFNPos]] - tblPassengerNames[[#This Row],[DotPos]] - 1)</f>
        <v>#VALUE!</v>
      </c>
      <c r="K524" t="str">
        <f>MID(tblPassengerNames[[#This Row],[Name]], tblPassengerNames[[#This Row],[OpenParPos]] + 1, tblPassengerNames[[#This Row],[CloseParPos]] - tblPassengerNames[[#This Row],[OpenParPos]] - 1)</f>
        <v>Elizabeth Ramell</v>
      </c>
      <c r="L524" t="str">
        <f>IF(AND(LEFT(tblPassengerNames[[#This Row],[InParentheses]], 1) = "'", RIGHT(tblPassengerNames[[#This Row],[InParentheses]], 1) = "'"),
    #VALUE!,
    tblPassengerNames[[#This Row],[InParentheses]]
)</f>
        <v>Elizabeth Ramell</v>
      </c>
      <c r="M524">
        <f>LEN(tblPassengerNames[[#This Row],[InParenthesesCleaned]]) - LEN(SUBSTITUTE(tblPassengerNames[[#This Row],[InParenthesesCleaned]], " ", ""))</f>
        <v>1</v>
      </c>
      <c r="N524">
        <f>FIND("@", SUBSTITUTE(tblPassengerNames[[#This Row],[InParenthesesCleaned]], " ", "@", tblPassengerNames[[#This Row],[P_NSpaces]]))</f>
        <v>10</v>
      </c>
      <c r="O524" t="str">
        <f>IF(tblPassengerNames[[#This Row],[P_NSpaces]] = 0,
    tblPassengerNames[[#This Row],[InParenthesesCleaned]],
    LEFT(tblPassengerNames[[#This Row],[InParenthesesCleaned]], tblPassengerNames[[#This Row],[P_FinalSpacePos]] - 1)
)</f>
        <v>Elizabeth</v>
      </c>
      <c r="P524" t="str">
        <f>IFERROR(tblPassengerNames[[#This Row],[P_Forenames]], tblPassengerNames[[#This Row],[ConvForenames]])</f>
        <v>Elizabeth</v>
      </c>
      <c r="Q524" t="str">
        <f>MID(tblPassengerNames[[#This Row],[Name]], tblPassengerNames[[#This Row],[CommaPos]] + 2, tblPassengerNames[[#This Row],[DotPos]] - tblPassengerNames[[#This Row],[CommaPos]] - 1)</f>
        <v>Mrs.</v>
      </c>
      <c r="R524" t="str">
        <f>LEFT(tblPassengerNames[[#This Row],[Name]], tblPassengerNames[[#This Row],[CommaPos]] - 1)</f>
        <v>Nye</v>
      </c>
    </row>
    <row r="525" spans="2:18" x14ac:dyDescent="0.25">
      <c r="B525" s="21">
        <v>523</v>
      </c>
      <c r="C525" s="21" t="s">
        <v>659</v>
      </c>
      <c r="D525" s="21" t="s">
        <v>138</v>
      </c>
      <c r="E525">
        <f>FIND(",", tblPassengerNames[[#This Row],[Name]])</f>
        <v>6</v>
      </c>
      <c r="F525">
        <f>FIND(".", tblPassengerNames[[#This Row],[Name]])</f>
        <v>10</v>
      </c>
      <c r="G525" t="e">
        <f>FIND("(", tblPassengerNames[[#This Row],[Name]])</f>
        <v>#VALUE!</v>
      </c>
      <c r="H525" t="e">
        <f>FIND(")", tblPassengerNames[[#This Row],[Name]])</f>
        <v>#VALUE!</v>
      </c>
      <c r="I525">
        <f>IFERROR(tblPassengerNames[[#This Row],[OpenParPos]] - 2, LEN(tblPassengerNames[[#This Row],[Name]]))</f>
        <v>18</v>
      </c>
      <c r="J525" t="str">
        <f>MID(tblPassengerNames[[#This Row],[Name]], tblPassengerNames[[#This Row],[DotPos]] + 2, tblPassengerNames[[#This Row],[EndOfConvFNPos]] - tblPassengerNames[[#This Row],[DotPos]] - 1)</f>
        <v>Richard</v>
      </c>
      <c r="K525" t="e">
        <f>MID(tblPassengerNames[[#This Row],[Name]], tblPassengerNames[[#This Row],[OpenParPos]] + 1, tblPassengerNames[[#This Row],[CloseParPos]] - tblPassengerNames[[#This Row],[OpenParPos]] - 1)</f>
        <v>#VALUE!</v>
      </c>
      <c r="L525" t="e">
        <f>IF(AND(LEFT(tblPassengerNames[[#This Row],[InParentheses]], 1) = "'", RIGHT(tblPassengerNames[[#This Row],[InParentheses]], 1) = "'"),
    #VALUE!,
    tblPassengerNames[[#This Row],[InParentheses]]
)</f>
        <v>#VALUE!</v>
      </c>
      <c r="M525" t="e">
        <f>LEN(tblPassengerNames[[#This Row],[InParenthesesCleaned]]) - LEN(SUBSTITUTE(tblPassengerNames[[#This Row],[InParenthesesCleaned]], " ", ""))</f>
        <v>#VALUE!</v>
      </c>
      <c r="N525" t="e">
        <f>FIND("@", SUBSTITUTE(tblPassengerNames[[#This Row],[InParenthesesCleaned]], " ", "@", tblPassengerNames[[#This Row],[P_NSpaces]]))</f>
        <v>#VALUE!</v>
      </c>
      <c r="O525" t="e">
        <f>IF(tblPassengerNames[[#This Row],[P_NSpaces]] = 0,
    tblPassengerNames[[#This Row],[InParenthesesCleaned]],
    LEFT(tblPassengerNames[[#This Row],[InParenthesesCleaned]], tblPassengerNames[[#This Row],[P_FinalSpacePos]] - 1)
)</f>
        <v>#VALUE!</v>
      </c>
      <c r="P525" t="str">
        <f>IFERROR(tblPassengerNames[[#This Row],[P_Forenames]], tblPassengerNames[[#This Row],[ConvForenames]])</f>
        <v>Richard</v>
      </c>
      <c r="Q525" t="str">
        <f>MID(tblPassengerNames[[#This Row],[Name]], tblPassengerNames[[#This Row],[CommaPos]] + 2, tblPassengerNames[[#This Row],[DotPos]] - tblPassengerNames[[#This Row],[CommaPos]] - 1)</f>
        <v>Mr.</v>
      </c>
      <c r="R525" t="str">
        <f>LEFT(tblPassengerNames[[#This Row],[Name]], tblPassengerNames[[#This Row],[CommaPos]] - 1)</f>
        <v>Otter</v>
      </c>
    </row>
    <row r="526" spans="2:18" x14ac:dyDescent="0.25">
      <c r="B526" s="21">
        <v>524</v>
      </c>
      <c r="C526" s="21" t="s">
        <v>660</v>
      </c>
      <c r="D526" s="21" t="s">
        <v>138</v>
      </c>
      <c r="E526">
        <f>FIND(",", tblPassengerNames[[#This Row],[Name]])</f>
        <v>8</v>
      </c>
      <c r="F526">
        <f>FIND(".", tblPassengerNames[[#This Row],[Name]])</f>
        <v>12</v>
      </c>
      <c r="G526" t="e">
        <f>FIND("(", tblPassengerNames[[#This Row],[Name]])</f>
        <v>#VALUE!</v>
      </c>
      <c r="H526" t="e">
        <f>FIND(")", tblPassengerNames[[#This Row],[Name]])</f>
        <v>#VALUE!</v>
      </c>
      <c r="I526">
        <f>IFERROR(tblPassengerNames[[#This Row],[OpenParPos]] - 2, LEN(tblPassengerNames[[#This Row],[Name]]))</f>
        <v>25</v>
      </c>
      <c r="J526" t="str">
        <f>MID(tblPassengerNames[[#This Row],[Name]], tblPassengerNames[[#This Row],[DotPos]] + 2, tblPassengerNames[[#This Row],[EndOfConvFNPos]] - tblPassengerNames[[#This Row],[DotPos]] - 1)</f>
        <v>Percy Thomas</v>
      </c>
      <c r="K526" t="e">
        <f>MID(tblPassengerNames[[#This Row],[Name]], tblPassengerNames[[#This Row],[OpenParPos]] + 1, tblPassengerNames[[#This Row],[CloseParPos]] - tblPassengerNames[[#This Row],[OpenParPos]] - 1)</f>
        <v>#VALUE!</v>
      </c>
      <c r="L526" t="e">
        <f>IF(AND(LEFT(tblPassengerNames[[#This Row],[InParentheses]], 1) = "'", RIGHT(tblPassengerNames[[#This Row],[InParentheses]], 1) = "'"),
    #VALUE!,
    tblPassengerNames[[#This Row],[InParentheses]]
)</f>
        <v>#VALUE!</v>
      </c>
      <c r="M526" t="e">
        <f>LEN(tblPassengerNames[[#This Row],[InParenthesesCleaned]]) - LEN(SUBSTITUTE(tblPassengerNames[[#This Row],[InParenthesesCleaned]], " ", ""))</f>
        <v>#VALUE!</v>
      </c>
      <c r="N526" t="e">
        <f>FIND("@", SUBSTITUTE(tblPassengerNames[[#This Row],[InParenthesesCleaned]], " ", "@", tblPassengerNames[[#This Row],[P_NSpaces]]))</f>
        <v>#VALUE!</v>
      </c>
      <c r="O526" t="e">
        <f>IF(tblPassengerNames[[#This Row],[P_NSpaces]] = 0,
    tblPassengerNames[[#This Row],[InParenthesesCleaned]],
    LEFT(tblPassengerNames[[#This Row],[InParenthesesCleaned]], tblPassengerNames[[#This Row],[P_FinalSpacePos]] - 1)
)</f>
        <v>#VALUE!</v>
      </c>
      <c r="P526" t="str">
        <f>IFERROR(tblPassengerNames[[#This Row],[P_Forenames]], tblPassengerNames[[#This Row],[ConvForenames]])</f>
        <v>Percy Thomas</v>
      </c>
      <c r="Q526" t="str">
        <f>MID(tblPassengerNames[[#This Row],[Name]], tblPassengerNames[[#This Row],[CommaPos]] + 2, tblPassengerNames[[#This Row],[DotPos]] - tblPassengerNames[[#This Row],[CommaPos]] - 1)</f>
        <v>Mr.</v>
      </c>
      <c r="R526" t="str">
        <f>LEFT(tblPassengerNames[[#This Row],[Name]], tblPassengerNames[[#This Row],[CommaPos]] - 1)</f>
        <v>Oxenham</v>
      </c>
    </row>
    <row r="527" spans="2:18" x14ac:dyDescent="0.25">
      <c r="B527" s="21">
        <v>525</v>
      </c>
      <c r="C527" s="21" t="s">
        <v>661</v>
      </c>
      <c r="D527" s="21" t="s">
        <v>138</v>
      </c>
      <c r="E527">
        <f>FIND(",", tblPassengerNames[[#This Row],[Name]])</f>
        <v>15</v>
      </c>
      <c r="F527">
        <f>FIND(".", tblPassengerNames[[#This Row],[Name]])</f>
        <v>19</v>
      </c>
      <c r="G527" t="e">
        <f>FIND("(", tblPassengerNames[[#This Row],[Name]])</f>
        <v>#VALUE!</v>
      </c>
      <c r="H527" t="e">
        <f>FIND(")", tblPassengerNames[[#This Row],[Name]])</f>
        <v>#VALUE!</v>
      </c>
      <c r="I527">
        <f>IFERROR(tblPassengerNames[[#This Row],[OpenParPos]] - 2, LEN(tblPassengerNames[[#This Row],[Name]]))</f>
        <v>26</v>
      </c>
      <c r="J527" t="str">
        <f>MID(tblPassengerNames[[#This Row],[Name]], tblPassengerNames[[#This Row],[DotPos]] + 2, tblPassengerNames[[#This Row],[EndOfConvFNPos]] - tblPassengerNames[[#This Row],[DotPos]] - 1)</f>
        <v>Julian</v>
      </c>
      <c r="K527" t="e">
        <f>MID(tblPassengerNames[[#This Row],[Name]], tblPassengerNames[[#This Row],[OpenParPos]] + 1, tblPassengerNames[[#This Row],[CloseParPos]] - tblPassengerNames[[#This Row],[OpenParPos]] - 1)</f>
        <v>#VALUE!</v>
      </c>
      <c r="L527" t="e">
        <f>IF(AND(LEFT(tblPassengerNames[[#This Row],[InParentheses]], 1) = "'", RIGHT(tblPassengerNames[[#This Row],[InParentheses]], 1) = "'"),
    #VALUE!,
    tblPassengerNames[[#This Row],[InParentheses]]
)</f>
        <v>#VALUE!</v>
      </c>
      <c r="M527" t="e">
        <f>LEN(tblPassengerNames[[#This Row],[InParenthesesCleaned]]) - LEN(SUBSTITUTE(tblPassengerNames[[#This Row],[InParenthesesCleaned]], " ", ""))</f>
        <v>#VALUE!</v>
      </c>
      <c r="N527" t="e">
        <f>FIND("@", SUBSTITUTE(tblPassengerNames[[#This Row],[InParenthesesCleaned]], " ", "@", tblPassengerNames[[#This Row],[P_NSpaces]]))</f>
        <v>#VALUE!</v>
      </c>
      <c r="O527" t="e">
        <f>IF(tblPassengerNames[[#This Row],[P_NSpaces]] = 0,
    tblPassengerNames[[#This Row],[InParenthesesCleaned]],
    LEFT(tblPassengerNames[[#This Row],[InParenthesesCleaned]], tblPassengerNames[[#This Row],[P_FinalSpacePos]] - 1)
)</f>
        <v>#VALUE!</v>
      </c>
      <c r="P527" t="str">
        <f>IFERROR(tblPassengerNames[[#This Row],[P_Forenames]], tblPassengerNames[[#This Row],[ConvForenames]])</f>
        <v>Julian</v>
      </c>
      <c r="Q527" t="str">
        <f>MID(tblPassengerNames[[#This Row],[Name]], tblPassengerNames[[#This Row],[CommaPos]] + 2, tblPassengerNames[[#This Row],[DotPos]] - tblPassengerNames[[#This Row],[CommaPos]] - 1)</f>
        <v>Mr.</v>
      </c>
      <c r="R527" t="str">
        <f>LEFT(tblPassengerNames[[#This Row],[Name]], tblPassengerNames[[#This Row],[CommaPos]] - 1)</f>
        <v>Padro y Manent</v>
      </c>
    </row>
    <row r="528" spans="2:18" x14ac:dyDescent="0.25">
      <c r="B528" s="21">
        <v>526</v>
      </c>
      <c r="C528" s="21" t="s">
        <v>662</v>
      </c>
      <c r="D528" s="21" t="s">
        <v>138</v>
      </c>
      <c r="E528">
        <f>FIND(",", tblPassengerNames[[#This Row],[Name]])</f>
        <v>5</v>
      </c>
      <c r="F528">
        <f>FIND(".", tblPassengerNames[[#This Row],[Name]])</f>
        <v>9</v>
      </c>
      <c r="G528" t="e">
        <f>FIND("(", tblPassengerNames[[#This Row],[Name]])</f>
        <v>#VALUE!</v>
      </c>
      <c r="H528" t="e">
        <f>FIND(")", tblPassengerNames[[#This Row],[Name]])</f>
        <v>#VALUE!</v>
      </c>
      <c r="I528">
        <f>IFERROR(tblPassengerNames[[#This Row],[OpenParPos]] - 2, LEN(tblPassengerNames[[#This Row],[Name]]))</f>
        <v>16</v>
      </c>
      <c r="J528" t="str">
        <f>MID(tblPassengerNames[[#This Row],[Name]], tblPassengerNames[[#This Row],[DotPos]] + 2, tblPassengerNames[[#This Row],[EndOfConvFNPos]] - tblPassengerNames[[#This Row],[DotPos]] - 1)</f>
        <v>Alfred</v>
      </c>
      <c r="K528" t="e">
        <f>MID(tblPassengerNames[[#This Row],[Name]], tblPassengerNames[[#This Row],[OpenParPos]] + 1, tblPassengerNames[[#This Row],[CloseParPos]] - tblPassengerNames[[#This Row],[OpenParPos]] - 1)</f>
        <v>#VALUE!</v>
      </c>
      <c r="L528" t="e">
        <f>IF(AND(LEFT(tblPassengerNames[[#This Row],[InParentheses]], 1) = "'", RIGHT(tblPassengerNames[[#This Row],[InParentheses]], 1) = "'"),
    #VALUE!,
    tblPassengerNames[[#This Row],[InParentheses]]
)</f>
        <v>#VALUE!</v>
      </c>
      <c r="M528" t="e">
        <f>LEN(tblPassengerNames[[#This Row],[InParenthesesCleaned]]) - LEN(SUBSTITUTE(tblPassengerNames[[#This Row],[InParenthesesCleaned]], " ", ""))</f>
        <v>#VALUE!</v>
      </c>
      <c r="N528" t="e">
        <f>FIND("@", SUBSTITUTE(tblPassengerNames[[#This Row],[InParenthesesCleaned]], " ", "@", tblPassengerNames[[#This Row],[P_NSpaces]]))</f>
        <v>#VALUE!</v>
      </c>
      <c r="O528" t="e">
        <f>IF(tblPassengerNames[[#This Row],[P_NSpaces]] = 0,
    tblPassengerNames[[#This Row],[InParenthesesCleaned]],
    LEFT(tblPassengerNames[[#This Row],[InParenthesesCleaned]], tblPassengerNames[[#This Row],[P_FinalSpacePos]] - 1)
)</f>
        <v>#VALUE!</v>
      </c>
      <c r="P528" t="str">
        <f>IFERROR(tblPassengerNames[[#This Row],[P_Forenames]], tblPassengerNames[[#This Row],[ConvForenames]])</f>
        <v>Alfred</v>
      </c>
      <c r="Q528" t="str">
        <f>MID(tblPassengerNames[[#This Row],[Name]], tblPassengerNames[[#This Row],[CommaPos]] + 2, tblPassengerNames[[#This Row],[DotPos]] - tblPassengerNames[[#This Row],[CommaPos]] - 1)</f>
        <v>Dr.</v>
      </c>
      <c r="R528" t="str">
        <f>LEFT(tblPassengerNames[[#This Row],[Name]], tblPassengerNames[[#This Row],[CommaPos]] - 1)</f>
        <v>Pain</v>
      </c>
    </row>
    <row r="529" spans="2:18" x14ac:dyDescent="0.25">
      <c r="B529" s="21">
        <v>527</v>
      </c>
      <c r="C529" s="21" t="s">
        <v>663</v>
      </c>
      <c r="D529" s="21" t="s">
        <v>138</v>
      </c>
      <c r="E529">
        <f>FIND(",", tblPassengerNames[[#This Row],[Name]])</f>
        <v>18</v>
      </c>
      <c r="F529">
        <f>FIND(".", tblPassengerNames[[#This Row],[Name]])</f>
        <v>22</v>
      </c>
      <c r="G529" t="e">
        <f>FIND("(", tblPassengerNames[[#This Row],[Name]])</f>
        <v>#VALUE!</v>
      </c>
      <c r="H529" t="e">
        <f>FIND(")", tblPassengerNames[[#This Row],[Name]])</f>
        <v>#VALUE!</v>
      </c>
      <c r="I529">
        <f>IFERROR(tblPassengerNames[[#This Row],[OpenParPos]] - 2, LEN(tblPassengerNames[[#This Row],[Name]]))</f>
        <v>29</v>
      </c>
      <c r="J529" t="str">
        <f>MID(tblPassengerNames[[#This Row],[Name]], tblPassengerNames[[#This Row],[DotPos]] + 2, tblPassengerNames[[#This Row],[EndOfConvFNPos]] - tblPassengerNames[[#This Row],[DotPos]] - 1)</f>
        <v>Emilio</v>
      </c>
      <c r="K529" t="e">
        <f>MID(tblPassengerNames[[#This Row],[Name]], tblPassengerNames[[#This Row],[OpenParPos]] + 1, tblPassengerNames[[#This Row],[CloseParPos]] - tblPassengerNames[[#This Row],[OpenParPos]] - 1)</f>
        <v>#VALUE!</v>
      </c>
      <c r="L529" t="e">
        <f>IF(AND(LEFT(tblPassengerNames[[#This Row],[InParentheses]], 1) = "'", RIGHT(tblPassengerNames[[#This Row],[InParentheses]], 1) = "'"),
    #VALUE!,
    tblPassengerNames[[#This Row],[InParentheses]]
)</f>
        <v>#VALUE!</v>
      </c>
      <c r="M529" t="e">
        <f>LEN(tblPassengerNames[[#This Row],[InParenthesesCleaned]]) - LEN(SUBSTITUTE(tblPassengerNames[[#This Row],[InParenthesesCleaned]], " ", ""))</f>
        <v>#VALUE!</v>
      </c>
      <c r="N529" t="e">
        <f>FIND("@", SUBSTITUTE(tblPassengerNames[[#This Row],[InParenthesesCleaned]], " ", "@", tblPassengerNames[[#This Row],[P_NSpaces]]))</f>
        <v>#VALUE!</v>
      </c>
      <c r="O529" t="e">
        <f>IF(tblPassengerNames[[#This Row],[P_NSpaces]] = 0,
    tblPassengerNames[[#This Row],[InParenthesesCleaned]],
    LEFT(tblPassengerNames[[#This Row],[InParenthesesCleaned]], tblPassengerNames[[#This Row],[P_FinalSpacePos]] - 1)
)</f>
        <v>#VALUE!</v>
      </c>
      <c r="P529" t="str">
        <f>IFERROR(tblPassengerNames[[#This Row],[P_Forenames]], tblPassengerNames[[#This Row],[ConvForenames]])</f>
        <v>Emilio</v>
      </c>
      <c r="Q529" t="str">
        <f>MID(tblPassengerNames[[#This Row],[Name]], tblPassengerNames[[#This Row],[CommaPos]] + 2, tblPassengerNames[[#This Row],[DotPos]] - tblPassengerNames[[#This Row],[CommaPos]] - 1)</f>
        <v>Mr.</v>
      </c>
      <c r="R529" t="str">
        <f>LEFT(tblPassengerNames[[#This Row],[Name]], tblPassengerNames[[#This Row],[CommaPos]] - 1)</f>
        <v>Pallas y Castello</v>
      </c>
    </row>
    <row r="530" spans="2:18" x14ac:dyDescent="0.25">
      <c r="B530" s="21">
        <v>528</v>
      </c>
      <c r="C530" s="21" t="s">
        <v>664</v>
      </c>
      <c r="D530" s="21" t="s">
        <v>138</v>
      </c>
      <c r="E530">
        <f>FIND(",", tblPassengerNames[[#This Row],[Name]])</f>
        <v>7</v>
      </c>
      <c r="F530">
        <f>FIND(".", tblPassengerNames[[#This Row],[Name]])</f>
        <v>11</v>
      </c>
      <c r="G530" t="e">
        <f>FIND("(", tblPassengerNames[[#This Row],[Name]])</f>
        <v>#VALUE!</v>
      </c>
      <c r="H530" t="e">
        <f>FIND(")", tblPassengerNames[[#This Row],[Name]])</f>
        <v>#VALUE!</v>
      </c>
      <c r="I530">
        <f>IFERROR(tblPassengerNames[[#This Row],[OpenParPos]] - 2, LEN(tblPassengerNames[[#This Row],[Name]]))</f>
        <v>28</v>
      </c>
      <c r="J530" t="str">
        <f>MID(tblPassengerNames[[#This Row],[Name]], tblPassengerNames[[#This Row],[DotPos]] + 2, tblPassengerNames[[#This Row],[EndOfConvFNPos]] - tblPassengerNames[[#This Row],[DotPos]] - 1)</f>
        <v>Clifford Richard</v>
      </c>
      <c r="K530" t="e">
        <f>MID(tblPassengerNames[[#This Row],[Name]], tblPassengerNames[[#This Row],[OpenParPos]] + 1, tblPassengerNames[[#This Row],[CloseParPos]] - tblPassengerNames[[#This Row],[OpenParPos]] - 1)</f>
        <v>#VALUE!</v>
      </c>
      <c r="L530" t="e">
        <f>IF(AND(LEFT(tblPassengerNames[[#This Row],[InParentheses]], 1) = "'", RIGHT(tblPassengerNames[[#This Row],[InParentheses]], 1) = "'"),
    #VALUE!,
    tblPassengerNames[[#This Row],[InParentheses]]
)</f>
        <v>#VALUE!</v>
      </c>
      <c r="M530" t="e">
        <f>LEN(tblPassengerNames[[#This Row],[InParenthesesCleaned]]) - LEN(SUBSTITUTE(tblPassengerNames[[#This Row],[InParenthesesCleaned]], " ", ""))</f>
        <v>#VALUE!</v>
      </c>
      <c r="N530" t="e">
        <f>FIND("@", SUBSTITUTE(tblPassengerNames[[#This Row],[InParenthesesCleaned]], " ", "@", tblPassengerNames[[#This Row],[P_NSpaces]]))</f>
        <v>#VALUE!</v>
      </c>
      <c r="O530" t="e">
        <f>IF(tblPassengerNames[[#This Row],[P_NSpaces]] = 0,
    tblPassengerNames[[#This Row],[InParenthesesCleaned]],
    LEFT(tblPassengerNames[[#This Row],[InParenthesesCleaned]], tblPassengerNames[[#This Row],[P_FinalSpacePos]] - 1)
)</f>
        <v>#VALUE!</v>
      </c>
      <c r="P530" t="str">
        <f>IFERROR(tblPassengerNames[[#This Row],[P_Forenames]], tblPassengerNames[[#This Row],[ConvForenames]])</f>
        <v>Clifford Richard</v>
      </c>
      <c r="Q530" t="str">
        <f>MID(tblPassengerNames[[#This Row],[Name]], tblPassengerNames[[#This Row],[CommaPos]] + 2, tblPassengerNames[[#This Row],[DotPos]] - tblPassengerNames[[#This Row],[CommaPos]] - 1)</f>
        <v>Mr.</v>
      </c>
      <c r="R530" t="str">
        <f>LEFT(tblPassengerNames[[#This Row],[Name]], tblPassengerNames[[#This Row],[CommaPos]] - 1)</f>
        <v>Parker</v>
      </c>
    </row>
    <row r="531" spans="2:18" x14ac:dyDescent="0.25">
      <c r="B531" s="21">
        <v>529</v>
      </c>
      <c r="C531" s="21" t="s">
        <v>665</v>
      </c>
      <c r="D531" s="21" t="s">
        <v>138</v>
      </c>
      <c r="E531">
        <f>FIND(",", tblPassengerNames[[#This Row],[Name]])</f>
        <v>7</v>
      </c>
      <c r="F531">
        <f>FIND(".", tblPassengerNames[[#This Row],[Name]])</f>
        <v>11</v>
      </c>
      <c r="G531" t="e">
        <f>FIND("(", tblPassengerNames[[#This Row],[Name]])</f>
        <v>#VALUE!</v>
      </c>
      <c r="H531" t="e">
        <f>FIND(")", tblPassengerNames[[#This Row],[Name]])</f>
        <v>#VALUE!</v>
      </c>
      <c r="I531">
        <f>IFERROR(tblPassengerNames[[#This Row],[OpenParPos]] - 2, LEN(tblPassengerNames[[#This Row],[Name]]))</f>
        <v>27</v>
      </c>
      <c r="J531" t="str">
        <f>MID(tblPassengerNames[[#This Row],[Name]], tblPassengerNames[[#This Row],[DotPos]] + 2, tblPassengerNames[[#This Row],[EndOfConvFNPos]] - tblPassengerNames[[#This Row],[DotPos]] - 1)</f>
        <v>Francis 'Frank'</v>
      </c>
      <c r="K531" t="e">
        <f>MID(tblPassengerNames[[#This Row],[Name]], tblPassengerNames[[#This Row],[OpenParPos]] + 1, tblPassengerNames[[#This Row],[CloseParPos]] - tblPassengerNames[[#This Row],[OpenParPos]] - 1)</f>
        <v>#VALUE!</v>
      </c>
      <c r="L531" t="e">
        <f>IF(AND(LEFT(tblPassengerNames[[#This Row],[InParentheses]], 1) = "'", RIGHT(tblPassengerNames[[#This Row],[InParentheses]], 1) = "'"),
    #VALUE!,
    tblPassengerNames[[#This Row],[InParentheses]]
)</f>
        <v>#VALUE!</v>
      </c>
      <c r="M531" t="e">
        <f>LEN(tblPassengerNames[[#This Row],[InParenthesesCleaned]]) - LEN(SUBSTITUTE(tblPassengerNames[[#This Row],[InParenthesesCleaned]], " ", ""))</f>
        <v>#VALUE!</v>
      </c>
      <c r="N531" t="e">
        <f>FIND("@", SUBSTITUTE(tblPassengerNames[[#This Row],[InParenthesesCleaned]], " ", "@", tblPassengerNames[[#This Row],[P_NSpaces]]))</f>
        <v>#VALUE!</v>
      </c>
      <c r="O531" t="e">
        <f>IF(tblPassengerNames[[#This Row],[P_NSpaces]] = 0,
    tblPassengerNames[[#This Row],[InParenthesesCleaned]],
    LEFT(tblPassengerNames[[#This Row],[InParenthesesCleaned]], tblPassengerNames[[#This Row],[P_FinalSpacePos]] - 1)
)</f>
        <v>#VALUE!</v>
      </c>
      <c r="P531" t="str">
        <f>IFERROR(tblPassengerNames[[#This Row],[P_Forenames]], tblPassengerNames[[#This Row],[ConvForenames]])</f>
        <v>Francis 'Frank'</v>
      </c>
      <c r="Q531" t="str">
        <f>MID(tblPassengerNames[[#This Row],[Name]], tblPassengerNames[[#This Row],[CommaPos]] + 2, tblPassengerNames[[#This Row],[DotPos]] - tblPassengerNames[[#This Row],[CommaPos]] - 1)</f>
        <v>Mr.</v>
      </c>
      <c r="R531" t="str">
        <f>LEFT(tblPassengerNames[[#This Row],[Name]], tblPassengerNames[[#This Row],[CommaPos]] - 1)</f>
        <v>Parkes</v>
      </c>
    </row>
    <row r="532" spans="2:18" x14ac:dyDescent="0.25">
      <c r="B532" s="21">
        <v>530</v>
      </c>
      <c r="C532" s="21" t="s">
        <v>666</v>
      </c>
      <c r="D532" s="21" t="s">
        <v>136</v>
      </c>
      <c r="E532">
        <f>FIND(",", tblPassengerNames[[#This Row],[Name]])</f>
        <v>8</v>
      </c>
      <c r="F532">
        <f>FIND(".", tblPassengerNames[[#This Row],[Name]])</f>
        <v>13</v>
      </c>
      <c r="G532">
        <f>FIND("(", tblPassengerNames[[#This Row],[Name]])</f>
        <v>15</v>
      </c>
      <c r="H532">
        <f>FIND(")", tblPassengerNames[[#This Row],[Name]])</f>
        <v>27</v>
      </c>
      <c r="I532">
        <f>IFERROR(tblPassengerNames[[#This Row],[OpenParPos]] - 2, LEN(tblPassengerNames[[#This Row],[Name]]))</f>
        <v>13</v>
      </c>
      <c r="J532" t="e">
        <f>MID(tblPassengerNames[[#This Row],[Name]], tblPassengerNames[[#This Row],[DotPos]] + 2, tblPassengerNames[[#This Row],[EndOfConvFNPos]] - tblPassengerNames[[#This Row],[DotPos]] - 1)</f>
        <v>#VALUE!</v>
      </c>
      <c r="K532" t="str">
        <f>MID(tblPassengerNames[[#This Row],[Name]], tblPassengerNames[[#This Row],[OpenParPos]] + 1, tblPassengerNames[[#This Row],[CloseParPos]] - tblPassengerNames[[#This Row],[OpenParPos]] - 1)</f>
        <v>Lutie Davis</v>
      </c>
      <c r="L532" t="str">
        <f>IF(AND(LEFT(tblPassengerNames[[#This Row],[InParentheses]], 1) = "'", RIGHT(tblPassengerNames[[#This Row],[InParentheses]], 1) = "'"),
    #VALUE!,
    tblPassengerNames[[#This Row],[InParentheses]]
)</f>
        <v>Lutie Davis</v>
      </c>
      <c r="M532">
        <f>LEN(tblPassengerNames[[#This Row],[InParenthesesCleaned]]) - LEN(SUBSTITUTE(tblPassengerNames[[#This Row],[InParenthesesCleaned]], " ", ""))</f>
        <v>1</v>
      </c>
      <c r="N532">
        <f>FIND("@", SUBSTITUTE(tblPassengerNames[[#This Row],[InParenthesesCleaned]], " ", "@", tblPassengerNames[[#This Row],[P_NSpaces]]))</f>
        <v>6</v>
      </c>
      <c r="O532" t="str">
        <f>IF(tblPassengerNames[[#This Row],[P_NSpaces]] = 0,
    tblPassengerNames[[#This Row],[InParenthesesCleaned]],
    LEFT(tblPassengerNames[[#This Row],[InParenthesesCleaned]], tblPassengerNames[[#This Row],[P_FinalSpacePos]] - 1)
)</f>
        <v>Lutie</v>
      </c>
      <c r="P532" t="str">
        <f>IFERROR(tblPassengerNames[[#This Row],[P_Forenames]], tblPassengerNames[[#This Row],[ConvForenames]])</f>
        <v>Lutie</v>
      </c>
      <c r="Q532" t="str">
        <f>MID(tblPassengerNames[[#This Row],[Name]], tblPassengerNames[[#This Row],[CommaPos]] + 2, tblPassengerNames[[#This Row],[DotPos]] - tblPassengerNames[[#This Row],[CommaPos]] - 1)</f>
        <v>Mrs.</v>
      </c>
      <c r="R532" t="str">
        <f>LEFT(tblPassengerNames[[#This Row],[Name]], tblPassengerNames[[#This Row],[CommaPos]] - 1)</f>
        <v>Parrish</v>
      </c>
    </row>
    <row r="533" spans="2:18" x14ac:dyDescent="0.25">
      <c r="B533" s="21">
        <v>531</v>
      </c>
      <c r="C533" s="21" t="s">
        <v>667</v>
      </c>
      <c r="D533" s="21" t="s">
        <v>138</v>
      </c>
      <c r="E533">
        <f>FIND(",", tblPassengerNames[[#This Row],[Name]])</f>
        <v>9</v>
      </c>
      <c r="F533">
        <f>FIND(".", tblPassengerNames[[#This Row],[Name]])</f>
        <v>13</v>
      </c>
      <c r="G533" t="e">
        <f>FIND("(", tblPassengerNames[[#This Row],[Name]])</f>
        <v>#VALUE!</v>
      </c>
      <c r="H533" t="e">
        <f>FIND(")", tblPassengerNames[[#This Row],[Name]])</f>
        <v>#VALUE!</v>
      </c>
      <c r="I533">
        <f>IFERROR(tblPassengerNames[[#This Row],[OpenParPos]] - 2, LEN(tblPassengerNames[[#This Row],[Name]]))</f>
        <v>31</v>
      </c>
      <c r="J533" t="str">
        <f>MID(tblPassengerNames[[#This Row],[Name]], tblPassengerNames[[#This Row],[DotPos]] + 2, tblPassengerNames[[#This Row],[EndOfConvFNPos]] - tblPassengerNames[[#This Row],[DotPos]] - 1)</f>
        <v>Frederick William</v>
      </c>
      <c r="K533" t="e">
        <f>MID(tblPassengerNames[[#This Row],[Name]], tblPassengerNames[[#This Row],[OpenParPos]] + 1, tblPassengerNames[[#This Row],[CloseParPos]] - tblPassengerNames[[#This Row],[OpenParPos]] - 1)</f>
        <v>#VALUE!</v>
      </c>
      <c r="L533" t="e">
        <f>IF(AND(LEFT(tblPassengerNames[[#This Row],[InParentheses]], 1) = "'", RIGHT(tblPassengerNames[[#This Row],[InParentheses]], 1) = "'"),
    #VALUE!,
    tblPassengerNames[[#This Row],[InParentheses]]
)</f>
        <v>#VALUE!</v>
      </c>
      <c r="M533" t="e">
        <f>LEN(tblPassengerNames[[#This Row],[InParenthesesCleaned]]) - LEN(SUBSTITUTE(tblPassengerNames[[#This Row],[InParenthesesCleaned]], " ", ""))</f>
        <v>#VALUE!</v>
      </c>
      <c r="N533" t="e">
        <f>FIND("@", SUBSTITUTE(tblPassengerNames[[#This Row],[InParenthesesCleaned]], " ", "@", tblPassengerNames[[#This Row],[P_NSpaces]]))</f>
        <v>#VALUE!</v>
      </c>
      <c r="O533" t="e">
        <f>IF(tblPassengerNames[[#This Row],[P_NSpaces]] = 0,
    tblPassengerNames[[#This Row],[InParenthesesCleaned]],
    LEFT(tblPassengerNames[[#This Row],[InParenthesesCleaned]], tblPassengerNames[[#This Row],[P_FinalSpacePos]] - 1)
)</f>
        <v>#VALUE!</v>
      </c>
      <c r="P533" t="str">
        <f>IFERROR(tblPassengerNames[[#This Row],[P_Forenames]], tblPassengerNames[[#This Row],[ConvForenames]])</f>
        <v>Frederick William</v>
      </c>
      <c r="Q533" t="str">
        <f>MID(tblPassengerNames[[#This Row],[Name]], tblPassengerNames[[#This Row],[CommaPos]] + 2, tblPassengerNames[[#This Row],[DotPos]] - tblPassengerNames[[#This Row],[CommaPos]] - 1)</f>
        <v>Mr.</v>
      </c>
      <c r="R533" t="str">
        <f>LEFT(tblPassengerNames[[#This Row],[Name]], tblPassengerNames[[#This Row],[CommaPos]] - 1)</f>
        <v>Pengelly</v>
      </c>
    </row>
    <row r="534" spans="2:18" x14ac:dyDescent="0.25">
      <c r="B534" s="21">
        <v>532</v>
      </c>
      <c r="C534" s="21" t="s">
        <v>668</v>
      </c>
      <c r="D534" s="21" t="s">
        <v>138</v>
      </c>
      <c r="E534">
        <f>FIND(",", tblPassengerNames[[#This Row],[Name]])</f>
        <v>7</v>
      </c>
      <c r="F534">
        <f>FIND(".", tblPassengerNames[[#This Row],[Name]])</f>
        <v>11</v>
      </c>
      <c r="G534" t="e">
        <f>FIND("(", tblPassengerNames[[#This Row],[Name]])</f>
        <v>#VALUE!</v>
      </c>
      <c r="H534" t="e">
        <f>FIND(")", tblPassengerNames[[#This Row],[Name]])</f>
        <v>#VALUE!</v>
      </c>
      <c r="I534">
        <f>IFERROR(tblPassengerNames[[#This Row],[OpenParPos]] - 2, LEN(tblPassengerNames[[#This Row],[Name]]))</f>
        <v>16</v>
      </c>
      <c r="J534" t="str">
        <f>MID(tblPassengerNames[[#This Row],[Name]], tblPassengerNames[[#This Row],[DotPos]] + 2, tblPassengerNames[[#This Row],[EndOfConvFNPos]] - tblPassengerNames[[#This Row],[DotPos]] - 1)</f>
        <v>Rene</v>
      </c>
      <c r="K534" t="e">
        <f>MID(tblPassengerNames[[#This Row],[Name]], tblPassengerNames[[#This Row],[OpenParPos]] + 1, tblPassengerNames[[#This Row],[CloseParPos]] - tblPassengerNames[[#This Row],[OpenParPos]] - 1)</f>
        <v>#VALUE!</v>
      </c>
      <c r="L534" t="e">
        <f>IF(AND(LEFT(tblPassengerNames[[#This Row],[InParentheses]], 1) = "'", RIGHT(tblPassengerNames[[#This Row],[InParentheses]], 1) = "'"),
    #VALUE!,
    tblPassengerNames[[#This Row],[InParentheses]]
)</f>
        <v>#VALUE!</v>
      </c>
      <c r="M534" t="e">
        <f>LEN(tblPassengerNames[[#This Row],[InParenthesesCleaned]]) - LEN(SUBSTITUTE(tblPassengerNames[[#This Row],[InParenthesesCleaned]], " ", ""))</f>
        <v>#VALUE!</v>
      </c>
      <c r="N534" t="e">
        <f>FIND("@", SUBSTITUTE(tblPassengerNames[[#This Row],[InParenthesesCleaned]], " ", "@", tblPassengerNames[[#This Row],[P_NSpaces]]))</f>
        <v>#VALUE!</v>
      </c>
      <c r="O534" t="e">
        <f>IF(tblPassengerNames[[#This Row],[P_NSpaces]] = 0,
    tblPassengerNames[[#This Row],[InParenthesesCleaned]],
    LEFT(tblPassengerNames[[#This Row],[InParenthesesCleaned]], tblPassengerNames[[#This Row],[P_FinalSpacePos]] - 1)
)</f>
        <v>#VALUE!</v>
      </c>
      <c r="P534" t="str">
        <f>IFERROR(tblPassengerNames[[#This Row],[P_Forenames]], tblPassengerNames[[#This Row],[ConvForenames]])</f>
        <v>Rene</v>
      </c>
      <c r="Q534" t="str">
        <f>MID(tblPassengerNames[[#This Row],[Name]], tblPassengerNames[[#This Row],[CommaPos]] + 2, tblPassengerNames[[#This Row],[DotPos]] - tblPassengerNames[[#This Row],[CommaPos]] - 1)</f>
        <v>Mr.</v>
      </c>
      <c r="R534" t="str">
        <f>LEFT(tblPassengerNames[[#This Row],[Name]], tblPassengerNames[[#This Row],[CommaPos]] - 1)</f>
        <v>Pernot</v>
      </c>
    </row>
    <row r="535" spans="2:18" x14ac:dyDescent="0.25">
      <c r="B535" s="21">
        <v>533</v>
      </c>
      <c r="C535" s="21" t="s">
        <v>669</v>
      </c>
      <c r="D535" s="21" t="s">
        <v>138</v>
      </c>
      <c r="E535">
        <f>FIND(",", tblPassengerNames[[#This Row],[Name]])</f>
        <v>11</v>
      </c>
      <c r="F535">
        <f>FIND(".", tblPassengerNames[[#This Row],[Name]])</f>
        <v>16</v>
      </c>
      <c r="G535" t="e">
        <f>FIND("(", tblPassengerNames[[#This Row],[Name]])</f>
        <v>#VALUE!</v>
      </c>
      <c r="H535" t="e">
        <f>FIND(")", tblPassengerNames[[#This Row],[Name]])</f>
        <v>#VALUE!</v>
      </c>
      <c r="I535">
        <f>IFERROR(tblPassengerNames[[#This Row],[OpenParPos]] - 2, LEN(tblPassengerNames[[#This Row],[Name]]))</f>
        <v>29</v>
      </c>
      <c r="J535" t="str">
        <f>MID(tblPassengerNames[[#This Row],[Name]], tblPassengerNames[[#This Row],[DotPos]] + 2, tblPassengerNames[[#This Row],[EndOfConvFNPos]] - tblPassengerNames[[#This Row],[DotPos]] - 1)</f>
        <v>Joseph Maria</v>
      </c>
      <c r="K535" t="e">
        <f>MID(tblPassengerNames[[#This Row],[Name]], tblPassengerNames[[#This Row],[OpenParPos]] + 1, tblPassengerNames[[#This Row],[CloseParPos]] - tblPassengerNames[[#This Row],[OpenParPos]] - 1)</f>
        <v>#VALUE!</v>
      </c>
      <c r="L535" t="e">
        <f>IF(AND(LEFT(tblPassengerNames[[#This Row],[InParentheses]], 1) = "'", RIGHT(tblPassengerNames[[#This Row],[InParentheses]], 1) = "'"),
    #VALUE!,
    tblPassengerNames[[#This Row],[InParentheses]]
)</f>
        <v>#VALUE!</v>
      </c>
      <c r="M535" t="e">
        <f>LEN(tblPassengerNames[[#This Row],[InParenthesesCleaned]]) - LEN(SUBSTITUTE(tblPassengerNames[[#This Row],[InParenthesesCleaned]], " ", ""))</f>
        <v>#VALUE!</v>
      </c>
      <c r="N535" t="e">
        <f>FIND("@", SUBSTITUTE(tblPassengerNames[[#This Row],[InParenthesesCleaned]], " ", "@", tblPassengerNames[[#This Row],[P_NSpaces]]))</f>
        <v>#VALUE!</v>
      </c>
      <c r="O535" t="e">
        <f>IF(tblPassengerNames[[#This Row],[P_NSpaces]] = 0,
    tblPassengerNames[[#This Row],[InParenthesesCleaned]],
    LEFT(tblPassengerNames[[#This Row],[InParenthesesCleaned]], tblPassengerNames[[#This Row],[P_FinalSpacePos]] - 1)
)</f>
        <v>#VALUE!</v>
      </c>
      <c r="P535" t="str">
        <f>IFERROR(tblPassengerNames[[#This Row],[P_Forenames]], tblPassengerNames[[#This Row],[ConvForenames]])</f>
        <v>Joseph Maria</v>
      </c>
      <c r="Q535" t="str">
        <f>MID(tblPassengerNames[[#This Row],[Name]], tblPassengerNames[[#This Row],[CommaPos]] + 2, tblPassengerNames[[#This Row],[DotPos]] - tblPassengerNames[[#This Row],[CommaPos]] - 1)</f>
        <v>Rev.</v>
      </c>
      <c r="R535" t="str">
        <f>LEFT(tblPassengerNames[[#This Row],[Name]], tblPassengerNames[[#This Row],[CommaPos]] - 1)</f>
        <v>Peruschitz</v>
      </c>
    </row>
    <row r="536" spans="2:18" x14ac:dyDescent="0.25">
      <c r="B536" s="21">
        <v>534</v>
      </c>
      <c r="C536" s="21" t="s">
        <v>670</v>
      </c>
      <c r="D536" s="21" t="s">
        <v>136</v>
      </c>
      <c r="E536">
        <f>FIND(",", tblPassengerNames[[#This Row],[Name]])</f>
        <v>9</v>
      </c>
      <c r="F536">
        <f>FIND(".", tblPassengerNames[[#This Row],[Name]])</f>
        <v>15</v>
      </c>
      <c r="G536" t="e">
        <f>FIND("(", tblPassengerNames[[#This Row],[Name]])</f>
        <v>#VALUE!</v>
      </c>
      <c r="H536" t="e">
        <f>FIND(")", tblPassengerNames[[#This Row],[Name]])</f>
        <v>#VALUE!</v>
      </c>
      <c r="I536">
        <f>IFERROR(tblPassengerNames[[#This Row],[OpenParPos]] - 2, LEN(tblPassengerNames[[#This Row],[Name]]))</f>
        <v>36</v>
      </c>
      <c r="J536" t="str">
        <f>MID(tblPassengerNames[[#This Row],[Name]], tblPassengerNames[[#This Row],[DotPos]] + 2, tblPassengerNames[[#This Row],[EndOfConvFNPos]] - tblPassengerNames[[#This Row],[DotPos]] - 1)</f>
        <v>Alice Frances Louisa</v>
      </c>
      <c r="K536" t="e">
        <f>MID(tblPassengerNames[[#This Row],[Name]], tblPassengerNames[[#This Row],[OpenParPos]] + 1, tblPassengerNames[[#This Row],[CloseParPos]] - tblPassengerNames[[#This Row],[OpenParPos]] - 1)</f>
        <v>#VALUE!</v>
      </c>
      <c r="L536" t="e">
        <f>IF(AND(LEFT(tblPassengerNames[[#This Row],[InParentheses]], 1) = "'", RIGHT(tblPassengerNames[[#This Row],[InParentheses]], 1) = "'"),
    #VALUE!,
    tblPassengerNames[[#This Row],[InParentheses]]
)</f>
        <v>#VALUE!</v>
      </c>
      <c r="M536" t="e">
        <f>LEN(tblPassengerNames[[#This Row],[InParenthesesCleaned]]) - LEN(SUBSTITUTE(tblPassengerNames[[#This Row],[InParenthesesCleaned]], " ", ""))</f>
        <v>#VALUE!</v>
      </c>
      <c r="N536" t="e">
        <f>FIND("@", SUBSTITUTE(tblPassengerNames[[#This Row],[InParenthesesCleaned]], " ", "@", tblPassengerNames[[#This Row],[P_NSpaces]]))</f>
        <v>#VALUE!</v>
      </c>
      <c r="O536" t="e">
        <f>IF(tblPassengerNames[[#This Row],[P_NSpaces]] = 0,
    tblPassengerNames[[#This Row],[InParenthesesCleaned]],
    LEFT(tblPassengerNames[[#This Row],[InParenthesesCleaned]], tblPassengerNames[[#This Row],[P_FinalSpacePos]] - 1)
)</f>
        <v>#VALUE!</v>
      </c>
      <c r="P536" t="str">
        <f>IFERROR(tblPassengerNames[[#This Row],[P_Forenames]], tblPassengerNames[[#This Row],[ConvForenames]])</f>
        <v>Alice Frances Louisa</v>
      </c>
      <c r="Q536" t="str">
        <f>MID(tblPassengerNames[[#This Row],[Name]], tblPassengerNames[[#This Row],[CommaPos]] + 2, tblPassengerNames[[#This Row],[DotPos]] - tblPassengerNames[[#This Row],[CommaPos]] - 1)</f>
        <v>Miss.</v>
      </c>
      <c r="R536" t="str">
        <f>LEFT(tblPassengerNames[[#This Row],[Name]], tblPassengerNames[[#This Row],[CommaPos]] - 1)</f>
        <v>Phillips</v>
      </c>
    </row>
    <row r="537" spans="2:18" x14ac:dyDescent="0.25">
      <c r="B537" s="21">
        <v>535</v>
      </c>
      <c r="C537" s="21" t="s">
        <v>671</v>
      </c>
      <c r="D537" s="21" t="s">
        <v>136</v>
      </c>
      <c r="E537">
        <f>FIND(",", tblPassengerNames[[#This Row],[Name]])</f>
        <v>9</v>
      </c>
      <c r="F537">
        <f>FIND(".", tblPassengerNames[[#This Row],[Name]])</f>
        <v>15</v>
      </c>
      <c r="G537">
        <f>FIND("(", tblPassengerNames[[#This Row],[Name]])</f>
        <v>31</v>
      </c>
      <c r="H537">
        <f>FIND(")", tblPassengerNames[[#This Row],[Name]])</f>
        <v>67</v>
      </c>
      <c r="I537">
        <f>IFERROR(tblPassengerNames[[#This Row],[OpenParPos]] - 2, LEN(tblPassengerNames[[#This Row],[Name]]))</f>
        <v>29</v>
      </c>
      <c r="J537" t="str">
        <f>MID(tblPassengerNames[[#This Row],[Name]], tblPassengerNames[[#This Row],[DotPos]] + 2, tblPassengerNames[[#This Row],[EndOfConvFNPos]] - tblPassengerNames[[#This Row],[DotPos]] - 1)</f>
        <v>Kate Florence</v>
      </c>
      <c r="K537" t="str">
        <f>MID(tblPassengerNames[[#This Row],[Name]], tblPassengerNames[[#This Row],[OpenParPos]] + 1, tblPassengerNames[[#This Row],[CloseParPos]] - tblPassengerNames[[#This Row],[OpenParPos]] - 1)</f>
        <v>'Mrs Kate Louise Phillips Marshall'</v>
      </c>
      <c r="L537" t="e">
        <f>IF(AND(LEFT(tblPassengerNames[[#This Row],[InParentheses]], 1) = "'", RIGHT(tblPassengerNames[[#This Row],[InParentheses]], 1) = "'"),
    #VALUE!,
    tblPassengerNames[[#This Row],[InParentheses]]
)</f>
        <v>#VALUE!</v>
      </c>
      <c r="M537" t="e">
        <f>LEN(tblPassengerNames[[#This Row],[InParenthesesCleaned]]) - LEN(SUBSTITUTE(tblPassengerNames[[#This Row],[InParenthesesCleaned]], " ", ""))</f>
        <v>#VALUE!</v>
      </c>
      <c r="N537" t="e">
        <f>FIND("@", SUBSTITUTE(tblPassengerNames[[#This Row],[InParenthesesCleaned]], " ", "@", tblPassengerNames[[#This Row],[P_NSpaces]]))</f>
        <v>#VALUE!</v>
      </c>
      <c r="O537" t="e">
        <f>IF(tblPassengerNames[[#This Row],[P_NSpaces]] = 0,
    tblPassengerNames[[#This Row],[InParenthesesCleaned]],
    LEFT(tblPassengerNames[[#This Row],[InParenthesesCleaned]], tblPassengerNames[[#This Row],[P_FinalSpacePos]] - 1)
)</f>
        <v>#VALUE!</v>
      </c>
      <c r="P537" t="str">
        <f>IFERROR(tblPassengerNames[[#This Row],[P_Forenames]], tblPassengerNames[[#This Row],[ConvForenames]])</f>
        <v>Kate Florence</v>
      </c>
      <c r="Q537" t="str">
        <f>MID(tblPassengerNames[[#This Row],[Name]], tblPassengerNames[[#This Row],[CommaPos]] + 2, tblPassengerNames[[#This Row],[DotPos]] - tblPassengerNames[[#This Row],[CommaPos]] - 1)</f>
        <v>Miss.</v>
      </c>
      <c r="R537" t="str">
        <f>LEFT(tblPassengerNames[[#This Row],[Name]], tblPassengerNames[[#This Row],[CommaPos]] - 1)</f>
        <v>Phillips</v>
      </c>
    </row>
    <row r="538" spans="2:18" x14ac:dyDescent="0.25">
      <c r="B538" s="21">
        <v>536</v>
      </c>
      <c r="C538" s="21" t="s">
        <v>672</v>
      </c>
      <c r="D538" s="21" t="s">
        <v>138</v>
      </c>
      <c r="E538">
        <f>FIND(",", tblPassengerNames[[#This Row],[Name]])</f>
        <v>9</v>
      </c>
      <c r="F538">
        <f>FIND(".", tblPassengerNames[[#This Row],[Name]])</f>
        <v>13</v>
      </c>
      <c r="G538" t="e">
        <f>FIND("(", tblPassengerNames[[#This Row],[Name]])</f>
        <v>#VALUE!</v>
      </c>
      <c r="H538" t="e">
        <f>FIND(")", tblPassengerNames[[#This Row],[Name]])</f>
        <v>#VALUE!</v>
      </c>
      <c r="I538">
        <f>IFERROR(tblPassengerNames[[#This Row],[OpenParPos]] - 2, LEN(tblPassengerNames[[#This Row],[Name]]))</f>
        <v>27</v>
      </c>
      <c r="J538" t="str">
        <f>MID(tblPassengerNames[[#This Row],[Name]], tblPassengerNames[[#This Row],[DotPos]] + 2, tblPassengerNames[[#This Row],[EndOfConvFNPos]] - tblPassengerNames[[#This Row],[DotPos]] - 1)</f>
        <v>Escott Robert</v>
      </c>
      <c r="K538" t="e">
        <f>MID(tblPassengerNames[[#This Row],[Name]], tblPassengerNames[[#This Row],[OpenParPos]] + 1, tblPassengerNames[[#This Row],[CloseParPos]] - tblPassengerNames[[#This Row],[OpenParPos]] - 1)</f>
        <v>#VALUE!</v>
      </c>
      <c r="L538" t="e">
        <f>IF(AND(LEFT(tblPassengerNames[[#This Row],[InParentheses]], 1) = "'", RIGHT(tblPassengerNames[[#This Row],[InParentheses]], 1) = "'"),
    #VALUE!,
    tblPassengerNames[[#This Row],[InParentheses]]
)</f>
        <v>#VALUE!</v>
      </c>
      <c r="M538" t="e">
        <f>LEN(tblPassengerNames[[#This Row],[InParenthesesCleaned]]) - LEN(SUBSTITUTE(tblPassengerNames[[#This Row],[InParenthesesCleaned]], " ", ""))</f>
        <v>#VALUE!</v>
      </c>
      <c r="N538" t="e">
        <f>FIND("@", SUBSTITUTE(tblPassengerNames[[#This Row],[InParenthesesCleaned]], " ", "@", tblPassengerNames[[#This Row],[P_NSpaces]]))</f>
        <v>#VALUE!</v>
      </c>
      <c r="O538" t="e">
        <f>IF(tblPassengerNames[[#This Row],[P_NSpaces]] = 0,
    tblPassengerNames[[#This Row],[InParenthesesCleaned]],
    LEFT(tblPassengerNames[[#This Row],[InParenthesesCleaned]], tblPassengerNames[[#This Row],[P_FinalSpacePos]] - 1)
)</f>
        <v>#VALUE!</v>
      </c>
      <c r="P538" t="str">
        <f>IFERROR(tblPassengerNames[[#This Row],[P_Forenames]], tblPassengerNames[[#This Row],[ConvForenames]])</f>
        <v>Escott Robert</v>
      </c>
      <c r="Q538" t="str">
        <f>MID(tblPassengerNames[[#This Row],[Name]], tblPassengerNames[[#This Row],[CommaPos]] + 2, tblPassengerNames[[#This Row],[DotPos]] - tblPassengerNames[[#This Row],[CommaPos]] - 1)</f>
        <v>Mr.</v>
      </c>
      <c r="R538" t="str">
        <f>LEFT(tblPassengerNames[[#This Row],[Name]], tblPassengerNames[[#This Row],[CommaPos]] - 1)</f>
        <v>Phillips</v>
      </c>
    </row>
    <row r="539" spans="2:18" x14ac:dyDescent="0.25">
      <c r="B539" s="21">
        <v>537</v>
      </c>
      <c r="C539" s="21" t="s">
        <v>673</v>
      </c>
      <c r="D539" s="21" t="s">
        <v>136</v>
      </c>
      <c r="E539">
        <f>FIND(",", tblPassengerNames[[#This Row],[Name]])</f>
        <v>7</v>
      </c>
      <c r="F539">
        <f>FIND(".", tblPassengerNames[[#This Row],[Name]])</f>
        <v>12</v>
      </c>
      <c r="G539">
        <f>FIND("(", tblPassengerNames[[#This Row],[Name]])</f>
        <v>14</v>
      </c>
      <c r="H539">
        <f>FIND(")", tblPassengerNames[[#This Row],[Name]])</f>
        <v>19</v>
      </c>
      <c r="I539">
        <f>IFERROR(tblPassengerNames[[#This Row],[OpenParPos]] - 2, LEN(tblPassengerNames[[#This Row],[Name]]))</f>
        <v>12</v>
      </c>
      <c r="J539" t="e">
        <f>MID(tblPassengerNames[[#This Row],[Name]], tblPassengerNames[[#This Row],[DotPos]] + 2, tblPassengerNames[[#This Row],[EndOfConvFNPos]] - tblPassengerNames[[#This Row],[DotPos]] - 1)</f>
        <v>#VALUE!</v>
      </c>
      <c r="K539" t="str">
        <f>MID(tblPassengerNames[[#This Row],[Name]], tblPassengerNames[[#This Row],[OpenParPos]] + 1, tblPassengerNames[[#This Row],[CloseParPos]] - tblPassengerNames[[#This Row],[OpenParPos]] - 1)</f>
        <v>Rosa</v>
      </c>
      <c r="L539" t="str">
        <f>IF(AND(LEFT(tblPassengerNames[[#This Row],[InParentheses]], 1) = "'", RIGHT(tblPassengerNames[[#This Row],[InParentheses]], 1) = "'"),
    #VALUE!,
    tblPassengerNames[[#This Row],[InParentheses]]
)</f>
        <v>Rosa</v>
      </c>
      <c r="M539">
        <f>LEN(tblPassengerNames[[#This Row],[InParenthesesCleaned]]) - LEN(SUBSTITUTE(tblPassengerNames[[#This Row],[InParenthesesCleaned]], " ", ""))</f>
        <v>0</v>
      </c>
      <c r="N539" t="e">
        <f>FIND("@", SUBSTITUTE(tblPassengerNames[[#This Row],[InParenthesesCleaned]], " ", "@", tblPassengerNames[[#This Row],[P_NSpaces]]))</f>
        <v>#VALUE!</v>
      </c>
      <c r="O539" t="str">
        <f>IF(tblPassengerNames[[#This Row],[P_NSpaces]] = 0,
    tblPassengerNames[[#This Row],[InParenthesesCleaned]],
    LEFT(tblPassengerNames[[#This Row],[InParenthesesCleaned]], tblPassengerNames[[#This Row],[P_FinalSpacePos]] - 1)
)</f>
        <v>Rosa</v>
      </c>
      <c r="P539" t="str">
        <f>IFERROR(tblPassengerNames[[#This Row],[P_Forenames]], tblPassengerNames[[#This Row],[ConvForenames]])</f>
        <v>Rosa</v>
      </c>
      <c r="Q539" t="str">
        <f>MID(tblPassengerNames[[#This Row],[Name]], tblPassengerNames[[#This Row],[CommaPos]] + 2, tblPassengerNames[[#This Row],[DotPos]] - tblPassengerNames[[#This Row],[CommaPos]] - 1)</f>
        <v>Mrs.</v>
      </c>
      <c r="R539" t="str">
        <f>LEFT(tblPassengerNames[[#This Row],[Name]], tblPassengerNames[[#This Row],[CommaPos]] - 1)</f>
        <v>Pinsky</v>
      </c>
    </row>
    <row r="540" spans="2:18" x14ac:dyDescent="0.25">
      <c r="B540" s="21">
        <v>538</v>
      </c>
      <c r="C540" s="21" t="s">
        <v>674</v>
      </c>
      <c r="D540" s="21" t="s">
        <v>138</v>
      </c>
      <c r="E540">
        <f>FIND(",", tblPassengerNames[[#This Row],[Name]])</f>
        <v>9</v>
      </c>
      <c r="F540">
        <f>FIND(".", tblPassengerNames[[#This Row],[Name]])</f>
        <v>13</v>
      </c>
      <c r="G540" t="e">
        <f>FIND("(", tblPassengerNames[[#This Row],[Name]])</f>
        <v>#VALUE!</v>
      </c>
      <c r="H540" t="e">
        <f>FIND(")", tblPassengerNames[[#This Row],[Name]])</f>
        <v>#VALUE!</v>
      </c>
      <c r="I540">
        <f>IFERROR(tblPassengerNames[[#This Row],[OpenParPos]] - 2, LEN(tblPassengerNames[[#This Row],[Name]]))</f>
        <v>20</v>
      </c>
      <c r="J540" t="str">
        <f>MID(tblPassengerNames[[#This Row],[Name]], tblPassengerNames[[#This Row],[DotPos]] + 2, tblPassengerNames[[#This Row],[EndOfConvFNPos]] - tblPassengerNames[[#This Row],[DotPos]] - 1)</f>
        <v>Martin</v>
      </c>
      <c r="K540" t="e">
        <f>MID(tblPassengerNames[[#This Row],[Name]], tblPassengerNames[[#This Row],[OpenParPos]] + 1, tblPassengerNames[[#This Row],[CloseParPos]] - tblPassengerNames[[#This Row],[OpenParPos]] - 1)</f>
        <v>#VALUE!</v>
      </c>
      <c r="L540" t="e">
        <f>IF(AND(LEFT(tblPassengerNames[[#This Row],[InParentheses]], 1) = "'", RIGHT(tblPassengerNames[[#This Row],[InParentheses]], 1) = "'"),
    #VALUE!,
    tblPassengerNames[[#This Row],[InParentheses]]
)</f>
        <v>#VALUE!</v>
      </c>
      <c r="M540" t="e">
        <f>LEN(tblPassengerNames[[#This Row],[InParenthesesCleaned]]) - LEN(SUBSTITUTE(tblPassengerNames[[#This Row],[InParenthesesCleaned]], " ", ""))</f>
        <v>#VALUE!</v>
      </c>
      <c r="N540" t="e">
        <f>FIND("@", SUBSTITUTE(tblPassengerNames[[#This Row],[InParenthesesCleaned]], " ", "@", tblPassengerNames[[#This Row],[P_NSpaces]]))</f>
        <v>#VALUE!</v>
      </c>
      <c r="O540" t="e">
        <f>IF(tblPassengerNames[[#This Row],[P_NSpaces]] = 0,
    tblPassengerNames[[#This Row],[InParenthesesCleaned]],
    LEFT(tblPassengerNames[[#This Row],[InParenthesesCleaned]], tblPassengerNames[[#This Row],[P_FinalSpacePos]] - 1)
)</f>
        <v>#VALUE!</v>
      </c>
      <c r="P540" t="str">
        <f>IFERROR(tblPassengerNames[[#This Row],[P_Forenames]], tblPassengerNames[[#This Row],[ConvForenames]])</f>
        <v>Martin</v>
      </c>
      <c r="Q540" t="str">
        <f>MID(tblPassengerNames[[#This Row],[Name]], tblPassengerNames[[#This Row],[CommaPos]] + 2, tblPassengerNames[[#This Row],[DotPos]] - tblPassengerNames[[#This Row],[CommaPos]] - 1)</f>
        <v>Mr.</v>
      </c>
      <c r="R540" t="str">
        <f>LEFT(tblPassengerNames[[#This Row],[Name]], tblPassengerNames[[#This Row],[CommaPos]] - 1)</f>
        <v>Ponesell</v>
      </c>
    </row>
    <row r="541" spans="2:18" x14ac:dyDescent="0.25">
      <c r="B541" s="21">
        <v>539</v>
      </c>
      <c r="C541" s="21" t="s">
        <v>675</v>
      </c>
      <c r="D541" s="21" t="s">
        <v>138</v>
      </c>
      <c r="E541">
        <f>FIND(",", tblPassengerNames[[#This Row],[Name]])</f>
        <v>11</v>
      </c>
      <c r="F541">
        <f>FIND(".", tblPassengerNames[[#This Row],[Name]])</f>
        <v>15</v>
      </c>
      <c r="G541" t="e">
        <f>FIND("(", tblPassengerNames[[#This Row],[Name]])</f>
        <v>#VALUE!</v>
      </c>
      <c r="H541" t="e">
        <f>FIND(")", tblPassengerNames[[#This Row],[Name]])</f>
        <v>#VALUE!</v>
      </c>
      <c r="I541">
        <f>IFERROR(tblPassengerNames[[#This Row],[OpenParPos]] - 2, LEN(tblPassengerNames[[#This Row],[Name]]))</f>
        <v>38</v>
      </c>
      <c r="J541" t="str">
        <f>MID(tblPassengerNames[[#This Row],[Name]], tblPassengerNames[[#This Row],[DotPos]] + 2, tblPassengerNames[[#This Row],[EndOfConvFNPos]] - tblPassengerNames[[#This Row],[DotPos]] - 1)</f>
        <v>Emilio Ilario Giuseppe</v>
      </c>
      <c r="K541" t="e">
        <f>MID(tblPassengerNames[[#This Row],[Name]], tblPassengerNames[[#This Row],[OpenParPos]] + 1, tblPassengerNames[[#This Row],[CloseParPos]] - tblPassengerNames[[#This Row],[OpenParPos]] - 1)</f>
        <v>#VALUE!</v>
      </c>
      <c r="L541" t="e">
        <f>IF(AND(LEFT(tblPassengerNames[[#This Row],[InParentheses]], 1) = "'", RIGHT(tblPassengerNames[[#This Row],[InParentheses]], 1) = "'"),
    #VALUE!,
    tblPassengerNames[[#This Row],[InParentheses]]
)</f>
        <v>#VALUE!</v>
      </c>
      <c r="M541" t="e">
        <f>LEN(tblPassengerNames[[#This Row],[InParenthesesCleaned]]) - LEN(SUBSTITUTE(tblPassengerNames[[#This Row],[InParenthesesCleaned]], " ", ""))</f>
        <v>#VALUE!</v>
      </c>
      <c r="N541" t="e">
        <f>FIND("@", SUBSTITUTE(tblPassengerNames[[#This Row],[InParenthesesCleaned]], " ", "@", tblPassengerNames[[#This Row],[P_NSpaces]]))</f>
        <v>#VALUE!</v>
      </c>
      <c r="O541" t="e">
        <f>IF(tblPassengerNames[[#This Row],[P_NSpaces]] = 0,
    tblPassengerNames[[#This Row],[InParenthesesCleaned]],
    LEFT(tblPassengerNames[[#This Row],[InParenthesesCleaned]], tblPassengerNames[[#This Row],[P_FinalSpacePos]] - 1)
)</f>
        <v>#VALUE!</v>
      </c>
      <c r="P541" t="str">
        <f>IFERROR(tblPassengerNames[[#This Row],[P_Forenames]], tblPassengerNames[[#This Row],[ConvForenames]])</f>
        <v>Emilio Ilario Giuseppe</v>
      </c>
      <c r="Q541" t="str">
        <f>MID(tblPassengerNames[[#This Row],[Name]], tblPassengerNames[[#This Row],[CommaPos]] + 2, tblPassengerNames[[#This Row],[DotPos]] - tblPassengerNames[[#This Row],[CommaPos]] - 1)</f>
        <v>Mr.</v>
      </c>
      <c r="R541" t="str">
        <f>LEFT(tblPassengerNames[[#This Row],[Name]], tblPassengerNames[[#This Row],[CommaPos]] - 1)</f>
        <v>Portaluppi</v>
      </c>
    </row>
    <row r="542" spans="2:18" x14ac:dyDescent="0.25">
      <c r="B542" s="21">
        <v>540</v>
      </c>
      <c r="C542" s="21" t="s">
        <v>676</v>
      </c>
      <c r="D542" s="21" t="s">
        <v>138</v>
      </c>
      <c r="E542">
        <f>FIND(",", tblPassengerNames[[#This Row],[Name]])</f>
        <v>8</v>
      </c>
      <c r="F542">
        <f>FIND(".", tblPassengerNames[[#This Row],[Name]])</f>
        <v>12</v>
      </c>
      <c r="G542" t="e">
        <f>FIND("(", tblPassengerNames[[#This Row],[Name]])</f>
        <v>#VALUE!</v>
      </c>
      <c r="H542" t="e">
        <f>FIND(")", tblPassengerNames[[#This Row],[Name]])</f>
        <v>#VALUE!</v>
      </c>
      <c r="I542">
        <f>IFERROR(tblPassengerNames[[#This Row],[OpenParPos]] - 2, LEN(tblPassengerNames[[#This Row],[Name]]))</f>
        <v>18</v>
      </c>
      <c r="J542" t="str">
        <f>MID(tblPassengerNames[[#This Row],[Name]], tblPassengerNames[[#This Row],[DotPos]] + 2, tblPassengerNames[[#This Row],[EndOfConvFNPos]] - tblPassengerNames[[#This Row],[DotPos]] - 1)</f>
        <v>Franz</v>
      </c>
      <c r="K542" t="e">
        <f>MID(tblPassengerNames[[#This Row],[Name]], tblPassengerNames[[#This Row],[OpenParPos]] + 1, tblPassengerNames[[#This Row],[CloseParPos]] - tblPassengerNames[[#This Row],[OpenParPos]] - 1)</f>
        <v>#VALUE!</v>
      </c>
      <c r="L542" t="e">
        <f>IF(AND(LEFT(tblPassengerNames[[#This Row],[InParentheses]], 1) = "'", RIGHT(tblPassengerNames[[#This Row],[InParentheses]], 1) = "'"),
    #VALUE!,
    tblPassengerNames[[#This Row],[InParentheses]]
)</f>
        <v>#VALUE!</v>
      </c>
      <c r="M542" t="e">
        <f>LEN(tblPassengerNames[[#This Row],[InParenthesesCleaned]]) - LEN(SUBSTITUTE(tblPassengerNames[[#This Row],[InParenthesesCleaned]], " ", ""))</f>
        <v>#VALUE!</v>
      </c>
      <c r="N542" t="e">
        <f>FIND("@", SUBSTITUTE(tblPassengerNames[[#This Row],[InParenthesesCleaned]], " ", "@", tblPassengerNames[[#This Row],[P_NSpaces]]))</f>
        <v>#VALUE!</v>
      </c>
      <c r="O542" t="e">
        <f>IF(tblPassengerNames[[#This Row],[P_NSpaces]] = 0,
    tblPassengerNames[[#This Row],[InParenthesesCleaned]],
    LEFT(tblPassengerNames[[#This Row],[InParenthesesCleaned]], tblPassengerNames[[#This Row],[P_FinalSpacePos]] - 1)
)</f>
        <v>#VALUE!</v>
      </c>
      <c r="P542" t="str">
        <f>IFERROR(tblPassengerNames[[#This Row],[P_Forenames]], tblPassengerNames[[#This Row],[ConvForenames]])</f>
        <v>Franz</v>
      </c>
      <c r="Q542" t="str">
        <f>MID(tblPassengerNames[[#This Row],[Name]], tblPassengerNames[[#This Row],[CommaPos]] + 2, tblPassengerNames[[#This Row],[DotPos]] - tblPassengerNames[[#This Row],[CommaPos]] - 1)</f>
        <v>Mr.</v>
      </c>
      <c r="R542" t="str">
        <f>LEFT(tblPassengerNames[[#This Row],[Name]], tblPassengerNames[[#This Row],[CommaPos]] - 1)</f>
        <v>Pulbaum</v>
      </c>
    </row>
    <row r="543" spans="2:18" x14ac:dyDescent="0.25">
      <c r="B543" s="21">
        <v>541</v>
      </c>
      <c r="C543" s="21" t="s">
        <v>677</v>
      </c>
      <c r="D543" s="21" t="s">
        <v>136</v>
      </c>
      <c r="E543">
        <f>FIND(",", tblPassengerNames[[#This Row],[Name]])</f>
        <v>6</v>
      </c>
      <c r="F543">
        <f>FIND(".", tblPassengerNames[[#This Row],[Name]])</f>
        <v>12</v>
      </c>
      <c r="G543" t="e">
        <f>FIND("(", tblPassengerNames[[#This Row],[Name]])</f>
        <v>#VALUE!</v>
      </c>
      <c r="H543" t="e">
        <f>FIND(")", tblPassengerNames[[#This Row],[Name]])</f>
        <v>#VALUE!</v>
      </c>
      <c r="I543">
        <f>IFERROR(tblPassengerNames[[#This Row],[OpenParPos]] - 2, LEN(tblPassengerNames[[#This Row],[Name]]))</f>
        <v>24</v>
      </c>
      <c r="J543" t="str">
        <f>MID(tblPassengerNames[[#This Row],[Name]], tblPassengerNames[[#This Row],[DotPos]] + 2, tblPassengerNames[[#This Row],[EndOfConvFNPos]] - tblPassengerNames[[#This Row],[DotPos]] - 1)</f>
        <v>Phyllis May</v>
      </c>
      <c r="K543" t="e">
        <f>MID(tblPassengerNames[[#This Row],[Name]], tblPassengerNames[[#This Row],[OpenParPos]] + 1, tblPassengerNames[[#This Row],[CloseParPos]] - tblPassengerNames[[#This Row],[OpenParPos]] - 1)</f>
        <v>#VALUE!</v>
      </c>
      <c r="L543" t="e">
        <f>IF(AND(LEFT(tblPassengerNames[[#This Row],[InParentheses]], 1) = "'", RIGHT(tblPassengerNames[[#This Row],[InParentheses]], 1) = "'"),
    #VALUE!,
    tblPassengerNames[[#This Row],[InParentheses]]
)</f>
        <v>#VALUE!</v>
      </c>
      <c r="M543" t="e">
        <f>LEN(tblPassengerNames[[#This Row],[InParenthesesCleaned]]) - LEN(SUBSTITUTE(tblPassengerNames[[#This Row],[InParenthesesCleaned]], " ", ""))</f>
        <v>#VALUE!</v>
      </c>
      <c r="N543" t="e">
        <f>FIND("@", SUBSTITUTE(tblPassengerNames[[#This Row],[InParenthesesCleaned]], " ", "@", tblPassengerNames[[#This Row],[P_NSpaces]]))</f>
        <v>#VALUE!</v>
      </c>
      <c r="O543" t="e">
        <f>IF(tblPassengerNames[[#This Row],[P_NSpaces]] = 0,
    tblPassengerNames[[#This Row],[InParenthesesCleaned]],
    LEFT(tblPassengerNames[[#This Row],[InParenthesesCleaned]], tblPassengerNames[[#This Row],[P_FinalSpacePos]] - 1)
)</f>
        <v>#VALUE!</v>
      </c>
      <c r="P543" t="str">
        <f>IFERROR(tblPassengerNames[[#This Row],[P_Forenames]], tblPassengerNames[[#This Row],[ConvForenames]])</f>
        <v>Phyllis May</v>
      </c>
      <c r="Q543" t="str">
        <f>MID(tblPassengerNames[[#This Row],[Name]], tblPassengerNames[[#This Row],[CommaPos]] + 2, tblPassengerNames[[#This Row],[DotPos]] - tblPassengerNames[[#This Row],[CommaPos]] - 1)</f>
        <v>Miss.</v>
      </c>
      <c r="R543" t="str">
        <f>LEFT(tblPassengerNames[[#This Row],[Name]], tblPassengerNames[[#This Row],[CommaPos]] - 1)</f>
        <v>Quick</v>
      </c>
    </row>
    <row r="544" spans="2:18" x14ac:dyDescent="0.25">
      <c r="B544" s="21">
        <v>542</v>
      </c>
      <c r="C544" s="21" t="s">
        <v>678</v>
      </c>
      <c r="D544" s="21" t="s">
        <v>136</v>
      </c>
      <c r="E544">
        <f>FIND(",", tblPassengerNames[[#This Row],[Name]])</f>
        <v>6</v>
      </c>
      <c r="F544">
        <f>FIND(".", tblPassengerNames[[#This Row],[Name]])</f>
        <v>12</v>
      </c>
      <c r="G544" t="e">
        <f>FIND("(", tblPassengerNames[[#This Row],[Name]])</f>
        <v>#VALUE!</v>
      </c>
      <c r="H544" t="e">
        <f>FIND(")", tblPassengerNames[[#This Row],[Name]])</f>
        <v>#VALUE!</v>
      </c>
      <c r="I544">
        <f>IFERROR(tblPassengerNames[[#This Row],[OpenParPos]] - 2, LEN(tblPassengerNames[[#This Row],[Name]]))</f>
        <v>26</v>
      </c>
      <c r="J544" t="str">
        <f>MID(tblPassengerNames[[#This Row],[Name]], tblPassengerNames[[#This Row],[DotPos]] + 2, tblPassengerNames[[#This Row],[EndOfConvFNPos]] - tblPassengerNames[[#This Row],[DotPos]] - 1)</f>
        <v>Winifred Vera</v>
      </c>
      <c r="K544" t="e">
        <f>MID(tblPassengerNames[[#This Row],[Name]], tblPassengerNames[[#This Row],[OpenParPos]] + 1, tblPassengerNames[[#This Row],[CloseParPos]] - tblPassengerNames[[#This Row],[OpenParPos]] - 1)</f>
        <v>#VALUE!</v>
      </c>
      <c r="L544" t="e">
        <f>IF(AND(LEFT(tblPassengerNames[[#This Row],[InParentheses]], 1) = "'", RIGHT(tblPassengerNames[[#This Row],[InParentheses]], 1) = "'"),
    #VALUE!,
    tblPassengerNames[[#This Row],[InParentheses]]
)</f>
        <v>#VALUE!</v>
      </c>
      <c r="M544" t="e">
        <f>LEN(tblPassengerNames[[#This Row],[InParenthesesCleaned]]) - LEN(SUBSTITUTE(tblPassengerNames[[#This Row],[InParenthesesCleaned]], " ", ""))</f>
        <v>#VALUE!</v>
      </c>
      <c r="N544" t="e">
        <f>FIND("@", SUBSTITUTE(tblPassengerNames[[#This Row],[InParenthesesCleaned]], " ", "@", tblPassengerNames[[#This Row],[P_NSpaces]]))</f>
        <v>#VALUE!</v>
      </c>
      <c r="O544" t="e">
        <f>IF(tblPassengerNames[[#This Row],[P_NSpaces]] = 0,
    tblPassengerNames[[#This Row],[InParenthesesCleaned]],
    LEFT(tblPassengerNames[[#This Row],[InParenthesesCleaned]], tblPassengerNames[[#This Row],[P_FinalSpacePos]] - 1)
)</f>
        <v>#VALUE!</v>
      </c>
      <c r="P544" t="str">
        <f>IFERROR(tblPassengerNames[[#This Row],[P_Forenames]], tblPassengerNames[[#This Row],[ConvForenames]])</f>
        <v>Winifred Vera</v>
      </c>
      <c r="Q544" t="str">
        <f>MID(tblPassengerNames[[#This Row],[Name]], tblPassengerNames[[#This Row],[CommaPos]] + 2, tblPassengerNames[[#This Row],[DotPos]] - tblPassengerNames[[#This Row],[CommaPos]] - 1)</f>
        <v>Miss.</v>
      </c>
      <c r="R544" t="str">
        <f>LEFT(tblPassengerNames[[#This Row],[Name]], tblPassengerNames[[#This Row],[CommaPos]] - 1)</f>
        <v>Quick</v>
      </c>
    </row>
    <row r="545" spans="2:18" x14ac:dyDescent="0.25">
      <c r="B545" s="21">
        <v>543</v>
      </c>
      <c r="C545" s="21" t="s">
        <v>679</v>
      </c>
      <c r="D545" s="21" t="s">
        <v>136</v>
      </c>
      <c r="E545">
        <f>FIND(",", tblPassengerNames[[#This Row],[Name]])</f>
        <v>6</v>
      </c>
      <c r="F545">
        <f>FIND(".", tblPassengerNames[[#This Row],[Name]])</f>
        <v>11</v>
      </c>
      <c r="G545">
        <f>FIND("(", tblPassengerNames[[#This Row],[Name]])</f>
        <v>31</v>
      </c>
      <c r="H545">
        <f>FIND(")", tblPassengerNames[[#This Row],[Name]])</f>
        <v>45</v>
      </c>
      <c r="I545">
        <f>IFERROR(tblPassengerNames[[#This Row],[OpenParPos]] - 2, LEN(tblPassengerNames[[#This Row],[Name]]))</f>
        <v>29</v>
      </c>
      <c r="J545" t="str">
        <f>MID(tblPassengerNames[[#This Row],[Name]], tblPassengerNames[[#This Row],[DotPos]] + 2, tblPassengerNames[[#This Row],[EndOfConvFNPos]] - tblPassengerNames[[#This Row],[DotPos]] - 1)</f>
        <v>Frederick Charles</v>
      </c>
      <c r="K545" t="str">
        <f>MID(tblPassengerNames[[#This Row],[Name]], tblPassengerNames[[#This Row],[OpenParPos]] + 1, tblPassengerNames[[#This Row],[CloseParPos]] - tblPassengerNames[[#This Row],[OpenParPos]] - 1)</f>
        <v>Jane Richards</v>
      </c>
      <c r="L545" t="str">
        <f>IF(AND(LEFT(tblPassengerNames[[#This Row],[InParentheses]], 1) = "'", RIGHT(tblPassengerNames[[#This Row],[InParentheses]], 1) = "'"),
    #VALUE!,
    tblPassengerNames[[#This Row],[InParentheses]]
)</f>
        <v>Jane Richards</v>
      </c>
      <c r="M545">
        <f>LEN(tblPassengerNames[[#This Row],[InParenthesesCleaned]]) - LEN(SUBSTITUTE(tblPassengerNames[[#This Row],[InParenthesesCleaned]], " ", ""))</f>
        <v>1</v>
      </c>
      <c r="N545">
        <f>FIND("@", SUBSTITUTE(tblPassengerNames[[#This Row],[InParenthesesCleaned]], " ", "@", tblPassengerNames[[#This Row],[P_NSpaces]]))</f>
        <v>5</v>
      </c>
      <c r="O545" t="str">
        <f>IF(tblPassengerNames[[#This Row],[P_NSpaces]] = 0,
    tblPassengerNames[[#This Row],[InParenthesesCleaned]],
    LEFT(tblPassengerNames[[#This Row],[InParenthesesCleaned]], tblPassengerNames[[#This Row],[P_FinalSpacePos]] - 1)
)</f>
        <v>Jane</v>
      </c>
      <c r="P545" t="str">
        <f>IFERROR(tblPassengerNames[[#This Row],[P_Forenames]], tblPassengerNames[[#This Row],[ConvForenames]])</f>
        <v>Jane</v>
      </c>
      <c r="Q545" t="str">
        <f>MID(tblPassengerNames[[#This Row],[Name]], tblPassengerNames[[#This Row],[CommaPos]] + 2, tblPassengerNames[[#This Row],[DotPos]] - tblPassengerNames[[#This Row],[CommaPos]] - 1)</f>
        <v>Mrs.</v>
      </c>
      <c r="R545" t="str">
        <f>LEFT(tblPassengerNames[[#This Row],[Name]], tblPassengerNames[[#This Row],[CommaPos]] - 1)</f>
        <v>Quick</v>
      </c>
    </row>
    <row r="546" spans="2:18" x14ac:dyDescent="0.25">
      <c r="B546" s="21">
        <v>544</v>
      </c>
      <c r="C546" s="21" t="s">
        <v>680</v>
      </c>
      <c r="D546" s="21" t="s">
        <v>138</v>
      </c>
      <c r="E546">
        <f>FIND(",", tblPassengerNames[[#This Row],[Name]])</f>
        <v>7</v>
      </c>
      <c r="F546">
        <f>FIND(".", tblPassengerNames[[#This Row],[Name]])</f>
        <v>11</v>
      </c>
      <c r="G546" t="e">
        <f>FIND("(", tblPassengerNames[[#This Row],[Name]])</f>
        <v>#VALUE!</v>
      </c>
      <c r="H546" t="e">
        <f>FIND(")", tblPassengerNames[[#This Row],[Name]])</f>
        <v>#VALUE!</v>
      </c>
      <c r="I546">
        <f>IFERROR(tblPassengerNames[[#This Row],[OpenParPos]] - 2, LEN(tblPassengerNames[[#This Row],[Name]]))</f>
        <v>17</v>
      </c>
      <c r="J546" t="str">
        <f>MID(tblPassengerNames[[#This Row],[Name]], tblPassengerNames[[#This Row],[DotPos]] + 2, tblPassengerNames[[#This Row],[EndOfConvFNPos]] - tblPassengerNames[[#This Row],[DotPos]] - 1)</f>
        <v>David</v>
      </c>
      <c r="K546" t="e">
        <f>MID(tblPassengerNames[[#This Row],[Name]], tblPassengerNames[[#This Row],[OpenParPos]] + 1, tblPassengerNames[[#This Row],[CloseParPos]] - tblPassengerNames[[#This Row],[OpenParPos]] - 1)</f>
        <v>#VALUE!</v>
      </c>
      <c r="L546" t="e">
        <f>IF(AND(LEFT(tblPassengerNames[[#This Row],[InParentheses]], 1) = "'", RIGHT(tblPassengerNames[[#This Row],[InParentheses]], 1) = "'"),
    #VALUE!,
    tblPassengerNames[[#This Row],[InParentheses]]
)</f>
        <v>#VALUE!</v>
      </c>
      <c r="M546" t="e">
        <f>LEN(tblPassengerNames[[#This Row],[InParenthesesCleaned]]) - LEN(SUBSTITUTE(tblPassengerNames[[#This Row],[InParenthesesCleaned]], " ", ""))</f>
        <v>#VALUE!</v>
      </c>
      <c r="N546" t="e">
        <f>FIND("@", SUBSTITUTE(tblPassengerNames[[#This Row],[InParenthesesCleaned]], " ", "@", tblPassengerNames[[#This Row],[P_NSpaces]]))</f>
        <v>#VALUE!</v>
      </c>
      <c r="O546" t="e">
        <f>IF(tblPassengerNames[[#This Row],[P_NSpaces]] = 0,
    tblPassengerNames[[#This Row],[InParenthesesCleaned]],
    LEFT(tblPassengerNames[[#This Row],[InParenthesesCleaned]], tblPassengerNames[[#This Row],[P_FinalSpacePos]] - 1)
)</f>
        <v>#VALUE!</v>
      </c>
      <c r="P546" t="str">
        <f>IFERROR(tblPassengerNames[[#This Row],[P_Forenames]], tblPassengerNames[[#This Row],[ConvForenames]])</f>
        <v>David</v>
      </c>
      <c r="Q546" t="str">
        <f>MID(tblPassengerNames[[#This Row],[Name]], tblPassengerNames[[#This Row],[CommaPos]] + 2, tblPassengerNames[[#This Row],[DotPos]] - tblPassengerNames[[#This Row],[CommaPos]] - 1)</f>
        <v>Mr.</v>
      </c>
      <c r="R546" t="str">
        <f>LEFT(tblPassengerNames[[#This Row],[Name]], tblPassengerNames[[#This Row],[CommaPos]] - 1)</f>
        <v>Reeves</v>
      </c>
    </row>
    <row r="547" spans="2:18" x14ac:dyDescent="0.25">
      <c r="B547" s="21">
        <v>545</v>
      </c>
      <c r="C547" s="21" t="s">
        <v>681</v>
      </c>
      <c r="D547" s="21" t="s">
        <v>138</v>
      </c>
      <c r="E547">
        <f>FIND(",", tblPassengerNames[[#This Row],[Name]])</f>
        <v>7</v>
      </c>
      <c r="F547">
        <f>FIND(".", tblPassengerNames[[#This Row],[Name]])</f>
        <v>11</v>
      </c>
      <c r="G547" t="e">
        <f>FIND("(", tblPassengerNames[[#This Row],[Name]])</f>
        <v>#VALUE!</v>
      </c>
      <c r="H547" t="e">
        <f>FIND(")", tblPassengerNames[[#This Row],[Name]])</f>
        <v>#VALUE!</v>
      </c>
      <c r="I547">
        <f>IFERROR(tblPassengerNames[[#This Row],[OpenParPos]] - 2, LEN(tblPassengerNames[[#This Row],[Name]]))</f>
        <v>23</v>
      </c>
      <c r="J547" t="str">
        <f>MID(tblPassengerNames[[#This Row],[Name]], tblPassengerNames[[#This Row],[DotPos]] + 2, tblPassengerNames[[#This Row],[EndOfConvFNPos]] - tblPassengerNames[[#This Row],[DotPos]] - 1)</f>
        <v>Peter Henry</v>
      </c>
      <c r="K547" t="e">
        <f>MID(tblPassengerNames[[#This Row],[Name]], tblPassengerNames[[#This Row],[OpenParPos]] + 1, tblPassengerNames[[#This Row],[CloseParPos]] - tblPassengerNames[[#This Row],[OpenParPos]] - 1)</f>
        <v>#VALUE!</v>
      </c>
      <c r="L547" t="e">
        <f>IF(AND(LEFT(tblPassengerNames[[#This Row],[InParentheses]], 1) = "'", RIGHT(tblPassengerNames[[#This Row],[InParentheses]], 1) = "'"),
    #VALUE!,
    tblPassengerNames[[#This Row],[InParentheses]]
)</f>
        <v>#VALUE!</v>
      </c>
      <c r="M547" t="e">
        <f>LEN(tblPassengerNames[[#This Row],[InParenthesesCleaned]]) - LEN(SUBSTITUTE(tblPassengerNames[[#This Row],[InParenthesesCleaned]], " ", ""))</f>
        <v>#VALUE!</v>
      </c>
      <c r="N547" t="e">
        <f>FIND("@", SUBSTITUTE(tblPassengerNames[[#This Row],[InParenthesesCleaned]], " ", "@", tblPassengerNames[[#This Row],[P_NSpaces]]))</f>
        <v>#VALUE!</v>
      </c>
      <c r="O547" t="e">
        <f>IF(tblPassengerNames[[#This Row],[P_NSpaces]] = 0,
    tblPassengerNames[[#This Row],[InParenthesesCleaned]],
    LEFT(tblPassengerNames[[#This Row],[InParenthesesCleaned]], tblPassengerNames[[#This Row],[P_FinalSpacePos]] - 1)
)</f>
        <v>#VALUE!</v>
      </c>
      <c r="P547" t="str">
        <f>IFERROR(tblPassengerNames[[#This Row],[P_Forenames]], tblPassengerNames[[#This Row],[ConvForenames]])</f>
        <v>Peter Henry</v>
      </c>
      <c r="Q547" t="str">
        <f>MID(tblPassengerNames[[#This Row],[Name]], tblPassengerNames[[#This Row],[CommaPos]] + 2, tblPassengerNames[[#This Row],[DotPos]] - tblPassengerNames[[#This Row],[CommaPos]] - 1)</f>
        <v>Mr.</v>
      </c>
      <c r="R547" t="str">
        <f>LEFT(tblPassengerNames[[#This Row],[Name]], tblPassengerNames[[#This Row],[CommaPos]] - 1)</f>
        <v>Renouf</v>
      </c>
    </row>
    <row r="548" spans="2:18" x14ac:dyDescent="0.25">
      <c r="B548" s="21">
        <v>546</v>
      </c>
      <c r="C548" s="21" t="s">
        <v>682</v>
      </c>
      <c r="D548" s="21" t="s">
        <v>136</v>
      </c>
      <c r="E548">
        <f>FIND(",", tblPassengerNames[[#This Row],[Name]])</f>
        <v>7</v>
      </c>
      <c r="F548">
        <f>FIND(".", tblPassengerNames[[#This Row],[Name]])</f>
        <v>12</v>
      </c>
      <c r="G548">
        <f>FIND("(", tblPassengerNames[[#This Row],[Name]])</f>
        <v>26</v>
      </c>
      <c r="H548">
        <f>FIND(")", tblPassengerNames[[#This Row],[Name]])</f>
        <v>43</v>
      </c>
      <c r="I548">
        <f>IFERROR(tblPassengerNames[[#This Row],[OpenParPos]] - 2, LEN(tblPassengerNames[[#This Row],[Name]]))</f>
        <v>24</v>
      </c>
      <c r="J548" t="str">
        <f>MID(tblPassengerNames[[#This Row],[Name]], tblPassengerNames[[#This Row],[DotPos]] + 2, tblPassengerNames[[#This Row],[EndOfConvFNPos]] - tblPassengerNames[[#This Row],[DotPos]] - 1)</f>
        <v>Peter Henry</v>
      </c>
      <c r="K548" t="str">
        <f>MID(tblPassengerNames[[#This Row],[Name]], tblPassengerNames[[#This Row],[OpenParPos]] + 1, tblPassengerNames[[#This Row],[CloseParPos]] - tblPassengerNames[[#This Row],[OpenParPos]] - 1)</f>
        <v>Lillian Jefferys</v>
      </c>
      <c r="L548" t="str">
        <f>IF(AND(LEFT(tblPassengerNames[[#This Row],[InParentheses]], 1) = "'", RIGHT(tblPassengerNames[[#This Row],[InParentheses]], 1) = "'"),
    #VALUE!,
    tblPassengerNames[[#This Row],[InParentheses]]
)</f>
        <v>Lillian Jefferys</v>
      </c>
      <c r="M548">
        <f>LEN(tblPassengerNames[[#This Row],[InParenthesesCleaned]]) - LEN(SUBSTITUTE(tblPassengerNames[[#This Row],[InParenthesesCleaned]], " ", ""))</f>
        <v>1</v>
      </c>
      <c r="N548">
        <f>FIND("@", SUBSTITUTE(tblPassengerNames[[#This Row],[InParenthesesCleaned]], " ", "@", tblPassengerNames[[#This Row],[P_NSpaces]]))</f>
        <v>8</v>
      </c>
      <c r="O548" t="str">
        <f>IF(tblPassengerNames[[#This Row],[P_NSpaces]] = 0,
    tblPassengerNames[[#This Row],[InParenthesesCleaned]],
    LEFT(tblPassengerNames[[#This Row],[InParenthesesCleaned]], tblPassengerNames[[#This Row],[P_FinalSpacePos]] - 1)
)</f>
        <v>Lillian</v>
      </c>
      <c r="P548" t="str">
        <f>IFERROR(tblPassengerNames[[#This Row],[P_Forenames]], tblPassengerNames[[#This Row],[ConvForenames]])</f>
        <v>Lillian</v>
      </c>
      <c r="Q548" t="str">
        <f>MID(tblPassengerNames[[#This Row],[Name]], tblPassengerNames[[#This Row],[CommaPos]] + 2, tblPassengerNames[[#This Row],[DotPos]] - tblPassengerNames[[#This Row],[CommaPos]] - 1)</f>
        <v>Mrs.</v>
      </c>
      <c r="R548" t="str">
        <f>LEFT(tblPassengerNames[[#This Row],[Name]], tblPassengerNames[[#This Row],[CommaPos]] - 1)</f>
        <v>Renouf</v>
      </c>
    </row>
    <row r="549" spans="2:18" x14ac:dyDescent="0.25">
      <c r="B549" s="21">
        <v>547</v>
      </c>
      <c r="C549" s="21" t="s">
        <v>683</v>
      </c>
      <c r="D549" s="21" t="s">
        <v>136</v>
      </c>
      <c r="E549">
        <f>FIND(",", tblPassengerNames[[#This Row],[Name]])</f>
        <v>9</v>
      </c>
      <c r="F549">
        <f>FIND(".", tblPassengerNames[[#This Row],[Name]])</f>
        <v>13</v>
      </c>
      <c r="G549" t="e">
        <f>FIND("(", tblPassengerNames[[#This Row],[Name]])</f>
        <v>#VALUE!</v>
      </c>
      <c r="H549" t="e">
        <f>FIND(")", tblPassengerNames[[#This Row],[Name]])</f>
        <v>#VALUE!</v>
      </c>
      <c r="I549">
        <f>IFERROR(tblPassengerNames[[#This Row],[OpenParPos]] - 2, LEN(tblPassengerNames[[#This Row],[Name]]))</f>
        <v>25</v>
      </c>
      <c r="J549" t="str">
        <f>MID(tblPassengerNames[[#This Row],[Name]], tblPassengerNames[[#This Row],[DotPos]] + 2, tblPassengerNames[[#This Row],[EndOfConvFNPos]] - tblPassengerNames[[#This Row],[DotPos]] - 1)</f>
        <v>Encarnacion</v>
      </c>
      <c r="K549" t="e">
        <f>MID(tblPassengerNames[[#This Row],[Name]], tblPassengerNames[[#This Row],[OpenParPos]] + 1, tblPassengerNames[[#This Row],[CloseParPos]] - tblPassengerNames[[#This Row],[OpenParPos]] - 1)</f>
        <v>#VALUE!</v>
      </c>
      <c r="L549" t="e">
        <f>IF(AND(LEFT(tblPassengerNames[[#This Row],[InParentheses]], 1) = "'", RIGHT(tblPassengerNames[[#This Row],[InParentheses]], 1) = "'"),
    #VALUE!,
    tblPassengerNames[[#This Row],[InParentheses]]
)</f>
        <v>#VALUE!</v>
      </c>
      <c r="M549" t="e">
        <f>LEN(tblPassengerNames[[#This Row],[InParenthesesCleaned]]) - LEN(SUBSTITUTE(tblPassengerNames[[#This Row],[InParenthesesCleaned]], " ", ""))</f>
        <v>#VALUE!</v>
      </c>
      <c r="N549" t="e">
        <f>FIND("@", SUBSTITUTE(tblPassengerNames[[#This Row],[InParenthesesCleaned]], " ", "@", tblPassengerNames[[#This Row],[P_NSpaces]]))</f>
        <v>#VALUE!</v>
      </c>
      <c r="O549" t="e">
        <f>IF(tblPassengerNames[[#This Row],[P_NSpaces]] = 0,
    tblPassengerNames[[#This Row],[InParenthesesCleaned]],
    LEFT(tblPassengerNames[[#This Row],[InParenthesesCleaned]], tblPassengerNames[[#This Row],[P_FinalSpacePos]] - 1)
)</f>
        <v>#VALUE!</v>
      </c>
      <c r="P549" t="str">
        <f>IFERROR(tblPassengerNames[[#This Row],[P_Forenames]], tblPassengerNames[[#This Row],[ConvForenames]])</f>
        <v>Encarnacion</v>
      </c>
      <c r="Q549" t="str">
        <f>MID(tblPassengerNames[[#This Row],[Name]], tblPassengerNames[[#This Row],[CommaPos]] + 2, tblPassengerNames[[#This Row],[DotPos]] - tblPassengerNames[[#This Row],[CommaPos]] - 1)</f>
        <v>Ms.</v>
      </c>
      <c r="R549" t="str">
        <f>LEFT(tblPassengerNames[[#This Row],[Name]], tblPassengerNames[[#This Row],[CommaPos]] - 1)</f>
        <v>Reynaldo</v>
      </c>
    </row>
    <row r="550" spans="2:18" x14ac:dyDescent="0.25">
      <c r="B550" s="21">
        <v>548</v>
      </c>
      <c r="C550" s="21" t="s">
        <v>684</v>
      </c>
      <c r="D550" s="21" t="s">
        <v>138</v>
      </c>
      <c r="E550">
        <f>FIND(",", tblPassengerNames[[#This Row],[Name]])</f>
        <v>8</v>
      </c>
      <c r="F550">
        <f>FIND(".", tblPassengerNames[[#This Row],[Name]])</f>
        <v>12</v>
      </c>
      <c r="G550" t="e">
        <f>FIND("(", tblPassengerNames[[#This Row],[Name]])</f>
        <v>#VALUE!</v>
      </c>
      <c r="H550" t="e">
        <f>FIND(")", tblPassengerNames[[#This Row],[Name]])</f>
        <v>#VALUE!</v>
      </c>
      <c r="I550">
        <f>IFERROR(tblPassengerNames[[#This Row],[OpenParPos]] - 2, LEN(tblPassengerNames[[#This Row],[Name]]))</f>
        <v>18</v>
      </c>
      <c r="J550" t="str">
        <f>MID(tblPassengerNames[[#This Row],[Name]], tblPassengerNames[[#This Row],[DotPos]] + 2, tblPassengerNames[[#This Row],[EndOfConvFNPos]] - tblPassengerNames[[#This Row],[DotPos]] - 1)</f>
        <v>Emile</v>
      </c>
      <c r="K550" t="e">
        <f>MID(tblPassengerNames[[#This Row],[Name]], tblPassengerNames[[#This Row],[OpenParPos]] + 1, tblPassengerNames[[#This Row],[CloseParPos]] - tblPassengerNames[[#This Row],[OpenParPos]] - 1)</f>
        <v>#VALUE!</v>
      </c>
      <c r="L550" t="e">
        <f>IF(AND(LEFT(tblPassengerNames[[#This Row],[InParentheses]], 1) = "'", RIGHT(tblPassengerNames[[#This Row],[InParentheses]], 1) = "'"),
    #VALUE!,
    tblPassengerNames[[#This Row],[InParentheses]]
)</f>
        <v>#VALUE!</v>
      </c>
      <c r="M550" t="e">
        <f>LEN(tblPassengerNames[[#This Row],[InParenthesesCleaned]]) - LEN(SUBSTITUTE(tblPassengerNames[[#This Row],[InParenthesesCleaned]], " ", ""))</f>
        <v>#VALUE!</v>
      </c>
      <c r="N550" t="e">
        <f>FIND("@", SUBSTITUTE(tblPassengerNames[[#This Row],[InParenthesesCleaned]], " ", "@", tblPassengerNames[[#This Row],[P_NSpaces]]))</f>
        <v>#VALUE!</v>
      </c>
      <c r="O550" t="e">
        <f>IF(tblPassengerNames[[#This Row],[P_NSpaces]] = 0,
    tblPassengerNames[[#This Row],[InParenthesesCleaned]],
    LEFT(tblPassengerNames[[#This Row],[InParenthesesCleaned]], tblPassengerNames[[#This Row],[P_FinalSpacePos]] - 1)
)</f>
        <v>#VALUE!</v>
      </c>
      <c r="P550" t="str">
        <f>IFERROR(tblPassengerNames[[#This Row],[P_Forenames]], tblPassengerNames[[#This Row],[ConvForenames]])</f>
        <v>Emile</v>
      </c>
      <c r="Q550" t="str">
        <f>MID(tblPassengerNames[[#This Row],[Name]], tblPassengerNames[[#This Row],[CommaPos]] + 2, tblPassengerNames[[#This Row],[DotPos]] - tblPassengerNames[[#This Row],[CommaPos]] - 1)</f>
        <v>Mr.</v>
      </c>
      <c r="R550" t="str">
        <f>LEFT(tblPassengerNames[[#This Row],[Name]], tblPassengerNames[[#This Row],[CommaPos]] - 1)</f>
        <v>Richard</v>
      </c>
    </row>
    <row r="551" spans="2:18" x14ac:dyDescent="0.25">
      <c r="B551" s="21">
        <v>549</v>
      </c>
      <c r="C551" s="21" t="s">
        <v>685</v>
      </c>
      <c r="D551" s="21" t="s">
        <v>138</v>
      </c>
      <c r="E551">
        <f>FIND(",", tblPassengerNames[[#This Row],[Name]])</f>
        <v>9</v>
      </c>
      <c r="F551">
        <f>FIND(".", tblPassengerNames[[#This Row],[Name]])</f>
        <v>17</v>
      </c>
      <c r="G551" t="e">
        <f>FIND("(", tblPassengerNames[[#This Row],[Name]])</f>
        <v>#VALUE!</v>
      </c>
      <c r="H551" t="e">
        <f>FIND(")", tblPassengerNames[[#This Row],[Name]])</f>
        <v>#VALUE!</v>
      </c>
      <c r="I551">
        <f>IFERROR(tblPassengerNames[[#This Row],[OpenParPos]] - 2, LEN(tblPassengerNames[[#This Row],[Name]]))</f>
        <v>31</v>
      </c>
      <c r="J551" t="str">
        <f>MID(tblPassengerNames[[#This Row],[Name]], tblPassengerNames[[#This Row],[DotPos]] + 2, tblPassengerNames[[#This Row],[EndOfConvFNPos]] - tblPassengerNames[[#This Row],[DotPos]] - 1)</f>
        <v>George Sibley</v>
      </c>
      <c r="K551" t="e">
        <f>MID(tblPassengerNames[[#This Row],[Name]], tblPassengerNames[[#This Row],[OpenParPos]] + 1, tblPassengerNames[[#This Row],[CloseParPos]] - tblPassengerNames[[#This Row],[OpenParPos]] - 1)</f>
        <v>#VALUE!</v>
      </c>
      <c r="L551" t="e">
        <f>IF(AND(LEFT(tblPassengerNames[[#This Row],[InParentheses]], 1) = "'", RIGHT(tblPassengerNames[[#This Row],[InParentheses]], 1) = "'"),
    #VALUE!,
    tblPassengerNames[[#This Row],[InParentheses]]
)</f>
        <v>#VALUE!</v>
      </c>
      <c r="M551" t="e">
        <f>LEN(tblPassengerNames[[#This Row],[InParenthesesCleaned]]) - LEN(SUBSTITUTE(tblPassengerNames[[#This Row],[InParenthesesCleaned]], " ", ""))</f>
        <v>#VALUE!</v>
      </c>
      <c r="N551" t="e">
        <f>FIND("@", SUBSTITUTE(tblPassengerNames[[#This Row],[InParenthesesCleaned]], " ", "@", tblPassengerNames[[#This Row],[P_NSpaces]]))</f>
        <v>#VALUE!</v>
      </c>
      <c r="O551" t="e">
        <f>IF(tblPassengerNames[[#This Row],[P_NSpaces]] = 0,
    tblPassengerNames[[#This Row],[InParenthesesCleaned]],
    LEFT(tblPassengerNames[[#This Row],[InParenthesesCleaned]], tblPassengerNames[[#This Row],[P_FinalSpacePos]] - 1)
)</f>
        <v>#VALUE!</v>
      </c>
      <c r="P551" t="str">
        <f>IFERROR(tblPassengerNames[[#This Row],[P_Forenames]], tblPassengerNames[[#This Row],[ConvForenames]])</f>
        <v>George Sibley</v>
      </c>
      <c r="Q551" t="str">
        <f>MID(tblPassengerNames[[#This Row],[Name]], tblPassengerNames[[#This Row],[CommaPos]] + 2, tblPassengerNames[[#This Row],[DotPos]] - tblPassengerNames[[#This Row],[CommaPos]] - 1)</f>
        <v>Master.</v>
      </c>
      <c r="R551" t="str">
        <f>LEFT(tblPassengerNames[[#This Row],[Name]], tblPassengerNames[[#This Row],[CommaPos]] - 1)</f>
        <v>Richards</v>
      </c>
    </row>
    <row r="552" spans="2:18" x14ac:dyDescent="0.25">
      <c r="B552" s="21">
        <v>550</v>
      </c>
      <c r="C552" s="21" t="s">
        <v>686</v>
      </c>
      <c r="D552" s="21" t="s">
        <v>138</v>
      </c>
      <c r="E552">
        <f>FIND(",", tblPassengerNames[[#This Row],[Name]])</f>
        <v>9</v>
      </c>
      <c r="F552">
        <f>FIND(".", tblPassengerNames[[#This Row],[Name]])</f>
        <v>17</v>
      </c>
      <c r="G552" t="e">
        <f>FIND("(", tblPassengerNames[[#This Row],[Name]])</f>
        <v>#VALUE!</v>
      </c>
      <c r="H552" t="e">
        <f>FIND(")", tblPassengerNames[[#This Row],[Name]])</f>
        <v>#VALUE!</v>
      </c>
      <c r="I552">
        <f>IFERROR(tblPassengerNames[[#This Row],[OpenParPos]] - 2, LEN(tblPassengerNames[[#This Row],[Name]]))</f>
        <v>30</v>
      </c>
      <c r="J552" t="str">
        <f>MID(tblPassengerNames[[#This Row],[Name]], tblPassengerNames[[#This Row],[DotPos]] + 2, tblPassengerNames[[#This Row],[EndOfConvFNPos]] - tblPassengerNames[[#This Row],[DotPos]] - 1)</f>
        <v>William Rowe</v>
      </c>
      <c r="K552" t="e">
        <f>MID(tblPassengerNames[[#This Row],[Name]], tblPassengerNames[[#This Row],[OpenParPos]] + 1, tblPassengerNames[[#This Row],[CloseParPos]] - tblPassengerNames[[#This Row],[OpenParPos]] - 1)</f>
        <v>#VALUE!</v>
      </c>
      <c r="L552" t="e">
        <f>IF(AND(LEFT(tblPassengerNames[[#This Row],[InParentheses]], 1) = "'", RIGHT(tblPassengerNames[[#This Row],[InParentheses]], 1) = "'"),
    #VALUE!,
    tblPassengerNames[[#This Row],[InParentheses]]
)</f>
        <v>#VALUE!</v>
      </c>
      <c r="M552" t="e">
        <f>LEN(tblPassengerNames[[#This Row],[InParenthesesCleaned]]) - LEN(SUBSTITUTE(tblPassengerNames[[#This Row],[InParenthesesCleaned]], " ", ""))</f>
        <v>#VALUE!</v>
      </c>
      <c r="N552" t="e">
        <f>FIND("@", SUBSTITUTE(tblPassengerNames[[#This Row],[InParenthesesCleaned]], " ", "@", tblPassengerNames[[#This Row],[P_NSpaces]]))</f>
        <v>#VALUE!</v>
      </c>
      <c r="O552" t="e">
        <f>IF(tblPassengerNames[[#This Row],[P_NSpaces]] = 0,
    tblPassengerNames[[#This Row],[InParenthesesCleaned]],
    LEFT(tblPassengerNames[[#This Row],[InParenthesesCleaned]], tblPassengerNames[[#This Row],[P_FinalSpacePos]] - 1)
)</f>
        <v>#VALUE!</v>
      </c>
      <c r="P552" t="str">
        <f>IFERROR(tblPassengerNames[[#This Row],[P_Forenames]], tblPassengerNames[[#This Row],[ConvForenames]])</f>
        <v>William Rowe</v>
      </c>
      <c r="Q552" t="str">
        <f>MID(tblPassengerNames[[#This Row],[Name]], tblPassengerNames[[#This Row],[CommaPos]] + 2, tblPassengerNames[[#This Row],[DotPos]] - tblPassengerNames[[#This Row],[CommaPos]] - 1)</f>
        <v>Master.</v>
      </c>
      <c r="R552" t="str">
        <f>LEFT(tblPassengerNames[[#This Row],[Name]], tblPassengerNames[[#This Row],[CommaPos]] - 1)</f>
        <v>Richards</v>
      </c>
    </row>
    <row r="553" spans="2:18" x14ac:dyDescent="0.25">
      <c r="B553" s="21">
        <v>551</v>
      </c>
      <c r="C553" s="21" t="s">
        <v>687</v>
      </c>
      <c r="D553" s="21" t="s">
        <v>136</v>
      </c>
      <c r="E553">
        <f>FIND(",", tblPassengerNames[[#This Row],[Name]])</f>
        <v>9</v>
      </c>
      <c r="F553">
        <f>FIND(".", tblPassengerNames[[#This Row],[Name]])</f>
        <v>14</v>
      </c>
      <c r="G553">
        <f>FIND("(", tblPassengerNames[[#This Row],[Name]])</f>
        <v>23</v>
      </c>
      <c r="H553">
        <f>FIND(")", tblPassengerNames[[#This Row],[Name]])</f>
        <v>37</v>
      </c>
      <c r="I553">
        <f>IFERROR(tblPassengerNames[[#This Row],[OpenParPos]] - 2, LEN(tblPassengerNames[[#This Row],[Name]]))</f>
        <v>21</v>
      </c>
      <c r="J553" t="str">
        <f>MID(tblPassengerNames[[#This Row],[Name]], tblPassengerNames[[#This Row],[DotPos]] + 2, tblPassengerNames[[#This Row],[EndOfConvFNPos]] - tblPassengerNames[[#This Row],[DotPos]] - 1)</f>
        <v>Sidney</v>
      </c>
      <c r="K553" t="str">
        <f>MID(tblPassengerNames[[#This Row],[Name]], tblPassengerNames[[#This Row],[OpenParPos]] + 1, tblPassengerNames[[#This Row],[CloseParPos]] - tblPassengerNames[[#This Row],[OpenParPos]] - 1)</f>
        <v>Emily Hocking</v>
      </c>
      <c r="L553" t="str">
        <f>IF(AND(LEFT(tblPassengerNames[[#This Row],[InParentheses]], 1) = "'", RIGHT(tblPassengerNames[[#This Row],[InParentheses]], 1) = "'"),
    #VALUE!,
    tblPassengerNames[[#This Row],[InParentheses]]
)</f>
        <v>Emily Hocking</v>
      </c>
      <c r="M553">
        <f>LEN(tblPassengerNames[[#This Row],[InParenthesesCleaned]]) - LEN(SUBSTITUTE(tblPassengerNames[[#This Row],[InParenthesesCleaned]], " ", ""))</f>
        <v>1</v>
      </c>
      <c r="N553">
        <f>FIND("@", SUBSTITUTE(tblPassengerNames[[#This Row],[InParenthesesCleaned]], " ", "@", tblPassengerNames[[#This Row],[P_NSpaces]]))</f>
        <v>6</v>
      </c>
      <c r="O553" t="str">
        <f>IF(tblPassengerNames[[#This Row],[P_NSpaces]] = 0,
    tblPassengerNames[[#This Row],[InParenthesesCleaned]],
    LEFT(tblPassengerNames[[#This Row],[InParenthesesCleaned]], tblPassengerNames[[#This Row],[P_FinalSpacePos]] - 1)
)</f>
        <v>Emily</v>
      </c>
      <c r="P553" t="str">
        <f>IFERROR(tblPassengerNames[[#This Row],[P_Forenames]], tblPassengerNames[[#This Row],[ConvForenames]])</f>
        <v>Emily</v>
      </c>
      <c r="Q553" t="str">
        <f>MID(tblPassengerNames[[#This Row],[Name]], tblPassengerNames[[#This Row],[CommaPos]] + 2, tblPassengerNames[[#This Row],[DotPos]] - tblPassengerNames[[#This Row],[CommaPos]] - 1)</f>
        <v>Mrs.</v>
      </c>
      <c r="R553" t="str">
        <f>LEFT(tblPassengerNames[[#This Row],[Name]], tblPassengerNames[[#This Row],[CommaPos]] - 1)</f>
        <v>Richards</v>
      </c>
    </row>
    <row r="554" spans="2:18" x14ac:dyDescent="0.25">
      <c r="B554" s="21">
        <v>552</v>
      </c>
      <c r="C554" s="21" t="s">
        <v>688</v>
      </c>
      <c r="D554" s="21" t="s">
        <v>136</v>
      </c>
      <c r="E554">
        <f>FIND(",", tblPassengerNames[[#This Row],[Name]])</f>
        <v>9</v>
      </c>
      <c r="F554">
        <f>FIND(".", tblPassengerNames[[#This Row],[Name]])</f>
        <v>15</v>
      </c>
      <c r="G554" t="e">
        <f>FIND("(", tblPassengerNames[[#This Row],[Name]])</f>
        <v>#VALUE!</v>
      </c>
      <c r="H554" t="e">
        <f>FIND(")", tblPassengerNames[[#This Row],[Name]])</f>
        <v>#VALUE!</v>
      </c>
      <c r="I554">
        <f>IFERROR(tblPassengerNames[[#This Row],[OpenParPos]] - 2, LEN(tblPassengerNames[[#This Row],[Name]]))</f>
        <v>20</v>
      </c>
      <c r="J554" t="str">
        <f>MID(tblPassengerNames[[#This Row],[Name]], tblPassengerNames[[#This Row],[DotPos]] + 2, tblPassengerNames[[#This Row],[EndOfConvFNPos]] - tblPassengerNames[[#This Row],[DotPos]] - 1)</f>
        <v>Lucy</v>
      </c>
      <c r="K554" t="e">
        <f>MID(tblPassengerNames[[#This Row],[Name]], tblPassengerNames[[#This Row],[OpenParPos]] + 1, tblPassengerNames[[#This Row],[CloseParPos]] - tblPassengerNames[[#This Row],[OpenParPos]] - 1)</f>
        <v>#VALUE!</v>
      </c>
      <c r="L554" t="e">
        <f>IF(AND(LEFT(tblPassengerNames[[#This Row],[InParentheses]], 1) = "'", RIGHT(tblPassengerNames[[#This Row],[InParentheses]], 1) = "'"),
    #VALUE!,
    tblPassengerNames[[#This Row],[InParentheses]]
)</f>
        <v>#VALUE!</v>
      </c>
      <c r="M554" t="e">
        <f>LEN(tblPassengerNames[[#This Row],[InParenthesesCleaned]]) - LEN(SUBSTITUTE(tblPassengerNames[[#This Row],[InParenthesesCleaned]], " ", ""))</f>
        <v>#VALUE!</v>
      </c>
      <c r="N554" t="e">
        <f>FIND("@", SUBSTITUTE(tblPassengerNames[[#This Row],[InParenthesesCleaned]], " ", "@", tblPassengerNames[[#This Row],[P_NSpaces]]))</f>
        <v>#VALUE!</v>
      </c>
      <c r="O554" t="e">
        <f>IF(tblPassengerNames[[#This Row],[P_NSpaces]] = 0,
    tblPassengerNames[[#This Row],[InParenthesesCleaned]],
    LEFT(tblPassengerNames[[#This Row],[InParenthesesCleaned]], tblPassengerNames[[#This Row],[P_FinalSpacePos]] - 1)
)</f>
        <v>#VALUE!</v>
      </c>
      <c r="P554" t="str">
        <f>IFERROR(tblPassengerNames[[#This Row],[P_Forenames]], tblPassengerNames[[#This Row],[ConvForenames]])</f>
        <v>Lucy</v>
      </c>
      <c r="Q554" t="str">
        <f>MID(tblPassengerNames[[#This Row],[Name]], tblPassengerNames[[#This Row],[CommaPos]] + 2, tblPassengerNames[[#This Row],[DotPos]] - tblPassengerNames[[#This Row],[CommaPos]] - 1)</f>
        <v>Miss.</v>
      </c>
      <c r="R554" t="str">
        <f>LEFT(tblPassengerNames[[#This Row],[Name]], tblPassengerNames[[#This Row],[CommaPos]] - 1)</f>
        <v>Ridsdale</v>
      </c>
    </row>
    <row r="555" spans="2:18" x14ac:dyDescent="0.25">
      <c r="B555" s="21">
        <v>553</v>
      </c>
      <c r="C555" s="21" t="s">
        <v>689</v>
      </c>
      <c r="D555" s="21" t="s">
        <v>138</v>
      </c>
      <c r="E555">
        <f>FIND(",", tblPassengerNames[[#This Row],[Name]])</f>
        <v>7</v>
      </c>
      <c r="F555">
        <f>FIND(".", tblPassengerNames[[#This Row],[Name]])</f>
        <v>11</v>
      </c>
      <c r="G555" t="e">
        <f>FIND("(", tblPassengerNames[[#This Row],[Name]])</f>
        <v>#VALUE!</v>
      </c>
      <c r="H555" t="e">
        <f>FIND(")", tblPassengerNames[[#This Row],[Name]])</f>
        <v>#VALUE!</v>
      </c>
      <c r="I555">
        <f>IFERROR(tblPassengerNames[[#This Row],[OpenParPos]] - 2, LEN(tblPassengerNames[[#This Row],[Name]]))</f>
        <v>26</v>
      </c>
      <c r="J555" t="str">
        <f>MID(tblPassengerNames[[#This Row],[Name]], tblPassengerNames[[#This Row],[DotPos]] + 2, tblPassengerNames[[#This Row],[EndOfConvFNPos]] - tblPassengerNames[[#This Row],[DotPos]] - 1)</f>
        <v>Reginald Harry</v>
      </c>
      <c r="K555" t="e">
        <f>MID(tblPassengerNames[[#This Row],[Name]], tblPassengerNames[[#This Row],[OpenParPos]] + 1, tblPassengerNames[[#This Row],[CloseParPos]] - tblPassengerNames[[#This Row],[OpenParPos]] - 1)</f>
        <v>#VALUE!</v>
      </c>
      <c r="L555" t="e">
        <f>IF(AND(LEFT(tblPassengerNames[[#This Row],[InParentheses]], 1) = "'", RIGHT(tblPassengerNames[[#This Row],[InParentheses]], 1) = "'"),
    #VALUE!,
    tblPassengerNames[[#This Row],[InParentheses]]
)</f>
        <v>#VALUE!</v>
      </c>
      <c r="M555" t="e">
        <f>LEN(tblPassengerNames[[#This Row],[InParenthesesCleaned]]) - LEN(SUBSTITUTE(tblPassengerNames[[#This Row],[InParenthesesCleaned]], " ", ""))</f>
        <v>#VALUE!</v>
      </c>
      <c r="N555" t="e">
        <f>FIND("@", SUBSTITUTE(tblPassengerNames[[#This Row],[InParenthesesCleaned]], " ", "@", tblPassengerNames[[#This Row],[P_NSpaces]]))</f>
        <v>#VALUE!</v>
      </c>
      <c r="O555" t="e">
        <f>IF(tblPassengerNames[[#This Row],[P_NSpaces]] = 0,
    tblPassengerNames[[#This Row],[InParenthesesCleaned]],
    LEFT(tblPassengerNames[[#This Row],[InParenthesesCleaned]], tblPassengerNames[[#This Row],[P_FinalSpacePos]] - 1)
)</f>
        <v>#VALUE!</v>
      </c>
      <c r="P555" t="str">
        <f>IFERROR(tblPassengerNames[[#This Row],[P_Forenames]], tblPassengerNames[[#This Row],[ConvForenames]])</f>
        <v>Reginald Harry</v>
      </c>
      <c r="Q555" t="str">
        <f>MID(tblPassengerNames[[#This Row],[Name]], tblPassengerNames[[#This Row],[CommaPos]] + 2, tblPassengerNames[[#This Row],[DotPos]] - tblPassengerNames[[#This Row],[CommaPos]] - 1)</f>
        <v>Mr.</v>
      </c>
      <c r="R555" t="str">
        <f>LEFT(tblPassengerNames[[#This Row],[Name]], tblPassengerNames[[#This Row],[CommaPos]] - 1)</f>
        <v>Rogers</v>
      </c>
    </row>
    <row r="556" spans="2:18" x14ac:dyDescent="0.25">
      <c r="B556" s="21">
        <v>554</v>
      </c>
      <c r="C556" s="21" t="s">
        <v>690</v>
      </c>
      <c r="D556" s="21" t="s">
        <v>136</v>
      </c>
      <c r="E556">
        <f>FIND(",", tblPassengerNames[[#This Row],[Name]])</f>
        <v>5</v>
      </c>
      <c r="F556">
        <f>FIND(".", tblPassengerNames[[#This Row],[Name]])</f>
        <v>11</v>
      </c>
      <c r="G556" t="e">
        <f>FIND("(", tblPassengerNames[[#This Row],[Name]])</f>
        <v>#VALUE!</v>
      </c>
      <c r="H556" t="e">
        <f>FIND(")", tblPassengerNames[[#This Row],[Name]])</f>
        <v>#VALUE!</v>
      </c>
      <c r="I556">
        <f>IFERROR(tblPassengerNames[[#This Row],[OpenParPos]] - 2, LEN(tblPassengerNames[[#This Row],[Name]]))</f>
        <v>17</v>
      </c>
      <c r="J556" t="str">
        <f>MID(tblPassengerNames[[#This Row],[Name]], tblPassengerNames[[#This Row],[DotPos]] + 2, tblPassengerNames[[#This Row],[EndOfConvFNPos]] - tblPassengerNames[[#This Row],[DotPos]] - 1)</f>
        <v>Emily</v>
      </c>
      <c r="K556" t="e">
        <f>MID(tblPassengerNames[[#This Row],[Name]], tblPassengerNames[[#This Row],[OpenParPos]] + 1, tblPassengerNames[[#This Row],[CloseParPos]] - tblPassengerNames[[#This Row],[OpenParPos]] - 1)</f>
        <v>#VALUE!</v>
      </c>
      <c r="L556" t="e">
        <f>IF(AND(LEFT(tblPassengerNames[[#This Row],[InParentheses]], 1) = "'", RIGHT(tblPassengerNames[[#This Row],[InParentheses]], 1) = "'"),
    #VALUE!,
    tblPassengerNames[[#This Row],[InParentheses]]
)</f>
        <v>#VALUE!</v>
      </c>
      <c r="M556" t="e">
        <f>LEN(tblPassengerNames[[#This Row],[InParenthesesCleaned]]) - LEN(SUBSTITUTE(tblPassengerNames[[#This Row],[InParenthesesCleaned]], " ", ""))</f>
        <v>#VALUE!</v>
      </c>
      <c r="N556" t="e">
        <f>FIND("@", SUBSTITUTE(tblPassengerNames[[#This Row],[InParenthesesCleaned]], " ", "@", tblPassengerNames[[#This Row],[P_NSpaces]]))</f>
        <v>#VALUE!</v>
      </c>
      <c r="O556" t="e">
        <f>IF(tblPassengerNames[[#This Row],[P_NSpaces]] = 0,
    tblPassengerNames[[#This Row],[InParenthesesCleaned]],
    LEFT(tblPassengerNames[[#This Row],[InParenthesesCleaned]], tblPassengerNames[[#This Row],[P_FinalSpacePos]] - 1)
)</f>
        <v>#VALUE!</v>
      </c>
      <c r="P556" t="str">
        <f>IFERROR(tblPassengerNames[[#This Row],[P_Forenames]], tblPassengerNames[[#This Row],[ConvForenames]])</f>
        <v>Emily</v>
      </c>
      <c r="Q556" t="str">
        <f>MID(tblPassengerNames[[#This Row],[Name]], tblPassengerNames[[#This Row],[CommaPos]] + 2, tblPassengerNames[[#This Row],[DotPos]] - tblPassengerNames[[#This Row],[CommaPos]] - 1)</f>
        <v>Miss.</v>
      </c>
      <c r="R556" t="str">
        <f>LEFT(tblPassengerNames[[#This Row],[Name]], tblPassengerNames[[#This Row],[CommaPos]] - 1)</f>
        <v>Rugg</v>
      </c>
    </row>
    <row r="557" spans="2:18" x14ac:dyDescent="0.25">
      <c r="B557" s="21">
        <v>555</v>
      </c>
      <c r="C557" s="21" t="s">
        <v>691</v>
      </c>
      <c r="D557" s="21" t="s">
        <v>138</v>
      </c>
      <c r="E557">
        <f>FIND(",", tblPassengerNames[[#This Row],[Name]])</f>
        <v>8</v>
      </c>
      <c r="F557">
        <f>FIND(".", tblPassengerNames[[#This Row],[Name]])</f>
        <v>12</v>
      </c>
      <c r="G557" t="e">
        <f>FIND("(", tblPassengerNames[[#This Row],[Name]])</f>
        <v>#VALUE!</v>
      </c>
      <c r="H557" t="e">
        <f>FIND(")", tblPassengerNames[[#This Row],[Name]])</f>
        <v>#VALUE!</v>
      </c>
      <c r="I557">
        <f>IFERROR(tblPassengerNames[[#This Row],[OpenParPos]] - 2, LEN(tblPassengerNames[[#This Row],[Name]]))</f>
        <v>19</v>
      </c>
      <c r="J557" t="str">
        <f>MID(tblPassengerNames[[#This Row],[Name]], tblPassengerNames[[#This Row],[DotPos]] + 2, tblPassengerNames[[#This Row],[EndOfConvFNPos]] - tblPassengerNames[[#This Row],[DotPos]] - 1)</f>
        <v>August</v>
      </c>
      <c r="K557" t="e">
        <f>MID(tblPassengerNames[[#This Row],[Name]], tblPassengerNames[[#This Row],[OpenParPos]] + 1, tblPassengerNames[[#This Row],[CloseParPos]] - tblPassengerNames[[#This Row],[OpenParPos]] - 1)</f>
        <v>#VALUE!</v>
      </c>
      <c r="L557" t="e">
        <f>IF(AND(LEFT(tblPassengerNames[[#This Row],[InParentheses]], 1) = "'", RIGHT(tblPassengerNames[[#This Row],[InParentheses]], 1) = "'"),
    #VALUE!,
    tblPassengerNames[[#This Row],[InParentheses]]
)</f>
        <v>#VALUE!</v>
      </c>
      <c r="M557" t="e">
        <f>LEN(tblPassengerNames[[#This Row],[InParenthesesCleaned]]) - LEN(SUBSTITUTE(tblPassengerNames[[#This Row],[InParenthesesCleaned]], " ", ""))</f>
        <v>#VALUE!</v>
      </c>
      <c r="N557" t="e">
        <f>FIND("@", SUBSTITUTE(tblPassengerNames[[#This Row],[InParenthesesCleaned]], " ", "@", tblPassengerNames[[#This Row],[P_NSpaces]]))</f>
        <v>#VALUE!</v>
      </c>
      <c r="O557" t="e">
        <f>IF(tblPassengerNames[[#This Row],[P_NSpaces]] = 0,
    tblPassengerNames[[#This Row],[InParenthesesCleaned]],
    LEFT(tblPassengerNames[[#This Row],[InParenthesesCleaned]], tblPassengerNames[[#This Row],[P_FinalSpacePos]] - 1)
)</f>
        <v>#VALUE!</v>
      </c>
      <c r="P557" t="str">
        <f>IFERROR(tblPassengerNames[[#This Row],[P_Forenames]], tblPassengerNames[[#This Row],[ConvForenames]])</f>
        <v>August</v>
      </c>
      <c r="Q557" t="str">
        <f>MID(tblPassengerNames[[#This Row],[Name]], tblPassengerNames[[#This Row],[CommaPos]] + 2, tblPassengerNames[[#This Row],[DotPos]] - tblPassengerNames[[#This Row],[CommaPos]] - 1)</f>
        <v>Mr.</v>
      </c>
      <c r="R557" t="str">
        <f>LEFT(tblPassengerNames[[#This Row],[Name]], tblPassengerNames[[#This Row],[CommaPos]] - 1)</f>
        <v>Schmidt</v>
      </c>
    </row>
    <row r="558" spans="2:18" x14ac:dyDescent="0.25">
      <c r="B558" s="21">
        <v>556</v>
      </c>
      <c r="C558" s="21" t="s">
        <v>692</v>
      </c>
      <c r="D558" s="21" t="s">
        <v>138</v>
      </c>
      <c r="E558">
        <f>FIND(",", tblPassengerNames[[#This Row],[Name]])</f>
        <v>9</v>
      </c>
      <c r="F558">
        <f>FIND(".", tblPassengerNames[[#This Row],[Name]])</f>
        <v>13</v>
      </c>
      <c r="G558" t="e">
        <f>FIND("(", tblPassengerNames[[#This Row],[Name]])</f>
        <v>#VALUE!</v>
      </c>
      <c r="H558" t="e">
        <f>FIND(")", tblPassengerNames[[#This Row],[Name]])</f>
        <v>#VALUE!</v>
      </c>
      <c r="I558">
        <f>IFERROR(tblPassengerNames[[#This Row],[OpenParPos]] - 2, LEN(tblPassengerNames[[#This Row],[Name]]))</f>
        <v>42</v>
      </c>
      <c r="J558" t="str">
        <f>MID(tblPassengerNames[[#This Row],[Name]], tblPassengerNames[[#This Row],[DotPos]] + 2, tblPassengerNames[[#This Row],[EndOfConvFNPos]] - tblPassengerNames[[#This Row],[DotPos]] - 1)</f>
        <v>Charles Frederick Waddington</v>
      </c>
      <c r="K558" t="e">
        <f>MID(tblPassengerNames[[#This Row],[Name]], tblPassengerNames[[#This Row],[OpenParPos]] + 1, tblPassengerNames[[#This Row],[CloseParPos]] - tblPassengerNames[[#This Row],[OpenParPos]] - 1)</f>
        <v>#VALUE!</v>
      </c>
      <c r="L558" t="e">
        <f>IF(AND(LEFT(tblPassengerNames[[#This Row],[InParentheses]], 1) = "'", RIGHT(tblPassengerNames[[#This Row],[InParentheses]], 1) = "'"),
    #VALUE!,
    tblPassengerNames[[#This Row],[InParentheses]]
)</f>
        <v>#VALUE!</v>
      </c>
      <c r="M558" t="e">
        <f>LEN(tblPassengerNames[[#This Row],[InParenthesesCleaned]]) - LEN(SUBSTITUTE(tblPassengerNames[[#This Row],[InParenthesesCleaned]], " ", ""))</f>
        <v>#VALUE!</v>
      </c>
      <c r="N558" t="e">
        <f>FIND("@", SUBSTITUTE(tblPassengerNames[[#This Row],[InParenthesesCleaned]], " ", "@", tblPassengerNames[[#This Row],[P_NSpaces]]))</f>
        <v>#VALUE!</v>
      </c>
      <c r="O558" t="e">
        <f>IF(tblPassengerNames[[#This Row],[P_NSpaces]] = 0,
    tblPassengerNames[[#This Row],[InParenthesesCleaned]],
    LEFT(tblPassengerNames[[#This Row],[InParenthesesCleaned]], tblPassengerNames[[#This Row],[P_FinalSpacePos]] - 1)
)</f>
        <v>#VALUE!</v>
      </c>
      <c r="P558" t="str">
        <f>IFERROR(tblPassengerNames[[#This Row],[P_Forenames]], tblPassengerNames[[#This Row],[ConvForenames]])</f>
        <v>Charles Frederick Waddington</v>
      </c>
      <c r="Q558" t="str">
        <f>MID(tblPassengerNames[[#This Row],[Name]], tblPassengerNames[[#This Row],[CommaPos]] + 2, tblPassengerNames[[#This Row],[DotPos]] - tblPassengerNames[[#This Row],[CommaPos]] - 1)</f>
        <v>Mr.</v>
      </c>
      <c r="R558" t="str">
        <f>LEFT(tblPassengerNames[[#This Row],[Name]], tblPassengerNames[[#This Row],[CommaPos]] - 1)</f>
        <v>Sedgwick</v>
      </c>
    </row>
    <row r="559" spans="2:18" x14ac:dyDescent="0.25">
      <c r="B559" s="21">
        <v>557</v>
      </c>
      <c r="C559" s="21" t="s">
        <v>693</v>
      </c>
      <c r="D559" s="21" t="s">
        <v>138</v>
      </c>
      <c r="E559">
        <f>FIND(",", tblPassengerNames[[#This Row],[Name]])</f>
        <v>6</v>
      </c>
      <c r="F559">
        <f>FIND(".", tblPassengerNames[[#This Row],[Name]])</f>
        <v>10</v>
      </c>
      <c r="G559" t="e">
        <f>FIND("(", tblPassengerNames[[#This Row],[Name]])</f>
        <v>#VALUE!</v>
      </c>
      <c r="H559" t="e">
        <f>FIND(")", tblPassengerNames[[#This Row],[Name]])</f>
        <v>#VALUE!</v>
      </c>
      <c r="I559">
        <f>IFERROR(tblPassengerNames[[#This Row],[OpenParPos]] - 2, LEN(tblPassengerNames[[#This Row],[Name]]))</f>
        <v>27</v>
      </c>
      <c r="J559" t="str">
        <f>MID(tblPassengerNames[[#This Row],[Name]], tblPassengerNames[[#This Row],[DotPos]] + 2, tblPassengerNames[[#This Row],[EndOfConvFNPos]] - tblPassengerNames[[#This Row],[DotPos]] - 1)</f>
        <v>Percival James R</v>
      </c>
      <c r="K559" t="e">
        <f>MID(tblPassengerNames[[#This Row],[Name]], tblPassengerNames[[#This Row],[OpenParPos]] + 1, tblPassengerNames[[#This Row],[CloseParPos]] - tblPassengerNames[[#This Row],[OpenParPos]] - 1)</f>
        <v>#VALUE!</v>
      </c>
      <c r="L559" t="e">
        <f>IF(AND(LEFT(tblPassengerNames[[#This Row],[InParentheses]], 1) = "'", RIGHT(tblPassengerNames[[#This Row],[InParentheses]], 1) = "'"),
    #VALUE!,
    tblPassengerNames[[#This Row],[InParentheses]]
)</f>
        <v>#VALUE!</v>
      </c>
      <c r="M559" t="e">
        <f>LEN(tblPassengerNames[[#This Row],[InParenthesesCleaned]]) - LEN(SUBSTITUTE(tblPassengerNames[[#This Row],[InParenthesesCleaned]], " ", ""))</f>
        <v>#VALUE!</v>
      </c>
      <c r="N559" t="e">
        <f>FIND("@", SUBSTITUTE(tblPassengerNames[[#This Row],[InParenthesesCleaned]], " ", "@", tblPassengerNames[[#This Row],[P_NSpaces]]))</f>
        <v>#VALUE!</v>
      </c>
      <c r="O559" t="e">
        <f>IF(tblPassengerNames[[#This Row],[P_NSpaces]] = 0,
    tblPassengerNames[[#This Row],[InParenthesesCleaned]],
    LEFT(tblPassengerNames[[#This Row],[InParenthesesCleaned]], tblPassengerNames[[#This Row],[P_FinalSpacePos]] - 1)
)</f>
        <v>#VALUE!</v>
      </c>
      <c r="P559" t="str">
        <f>IFERROR(tblPassengerNames[[#This Row],[P_Forenames]], tblPassengerNames[[#This Row],[ConvForenames]])</f>
        <v>Percival James R</v>
      </c>
      <c r="Q559" t="str">
        <f>MID(tblPassengerNames[[#This Row],[Name]], tblPassengerNames[[#This Row],[CommaPos]] + 2, tblPassengerNames[[#This Row],[DotPos]] - tblPassengerNames[[#This Row],[CommaPos]] - 1)</f>
        <v>Mr.</v>
      </c>
      <c r="R559" t="str">
        <f>LEFT(tblPassengerNames[[#This Row],[Name]], tblPassengerNames[[#This Row],[CommaPos]] - 1)</f>
        <v>Sharp</v>
      </c>
    </row>
    <row r="560" spans="2:18" x14ac:dyDescent="0.25">
      <c r="B560" s="21">
        <v>558</v>
      </c>
      <c r="C560" s="21" t="s">
        <v>694</v>
      </c>
      <c r="D560" s="21" t="s">
        <v>136</v>
      </c>
      <c r="E560">
        <f>FIND(",", tblPassengerNames[[#This Row],[Name]])</f>
        <v>8</v>
      </c>
      <c r="F560">
        <f>FIND(".", tblPassengerNames[[#This Row],[Name]])</f>
        <v>13</v>
      </c>
      <c r="G560">
        <f>FIND("(", tblPassengerNames[[#This Row],[Name]])</f>
        <v>23</v>
      </c>
      <c r="H560">
        <f>FIND(")", tblPassengerNames[[#This Row],[Name]])</f>
        <v>44</v>
      </c>
      <c r="I560">
        <f>IFERROR(tblPassengerNames[[#This Row],[OpenParPos]] - 2, LEN(tblPassengerNames[[#This Row],[Name]]))</f>
        <v>21</v>
      </c>
      <c r="J560" t="str">
        <f>MID(tblPassengerNames[[#This Row],[Name]], tblPassengerNames[[#This Row],[DotPos]] + 2, tblPassengerNames[[#This Row],[EndOfConvFNPos]] - tblPassengerNames[[#This Row],[DotPos]] - 1)</f>
        <v>William</v>
      </c>
      <c r="K560" t="str">
        <f>MID(tblPassengerNames[[#This Row],[Name]], tblPassengerNames[[#This Row],[OpenParPos]] + 1, tblPassengerNames[[#This Row],[CloseParPos]] - tblPassengerNames[[#This Row],[OpenParPos]] - 1)</f>
        <v>Imanita Parrish Hall</v>
      </c>
      <c r="L560" t="str">
        <f>IF(AND(LEFT(tblPassengerNames[[#This Row],[InParentheses]], 1) = "'", RIGHT(tblPassengerNames[[#This Row],[InParentheses]], 1) = "'"),
    #VALUE!,
    tblPassengerNames[[#This Row],[InParentheses]]
)</f>
        <v>Imanita Parrish Hall</v>
      </c>
      <c r="M560">
        <f>LEN(tblPassengerNames[[#This Row],[InParenthesesCleaned]]) - LEN(SUBSTITUTE(tblPassengerNames[[#This Row],[InParenthesesCleaned]], " ", ""))</f>
        <v>2</v>
      </c>
      <c r="N560">
        <f>FIND("@", SUBSTITUTE(tblPassengerNames[[#This Row],[InParenthesesCleaned]], " ", "@", tblPassengerNames[[#This Row],[P_NSpaces]]))</f>
        <v>16</v>
      </c>
      <c r="O560" t="str">
        <f>IF(tblPassengerNames[[#This Row],[P_NSpaces]] = 0,
    tblPassengerNames[[#This Row],[InParenthesesCleaned]],
    LEFT(tblPassengerNames[[#This Row],[InParenthesesCleaned]], tblPassengerNames[[#This Row],[P_FinalSpacePos]] - 1)
)</f>
        <v>Imanita Parrish</v>
      </c>
      <c r="P560" t="str">
        <f>IFERROR(tblPassengerNames[[#This Row],[P_Forenames]], tblPassengerNames[[#This Row],[ConvForenames]])</f>
        <v>Imanita Parrish</v>
      </c>
      <c r="Q560" t="str">
        <f>MID(tblPassengerNames[[#This Row],[Name]], tblPassengerNames[[#This Row],[CommaPos]] + 2, tblPassengerNames[[#This Row],[DotPos]] - tblPassengerNames[[#This Row],[CommaPos]] - 1)</f>
        <v>Mrs.</v>
      </c>
      <c r="R560" t="str">
        <f>LEFT(tblPassengerNames[[#This Row],[Name]], tblPassengerNames[[#This Row],[CommaPos]] - 1)</f>
        <v>Shelley</v>
      </c>
    </row>
    <row r="561" spans="2:18" x14ac:dyDescent="0.25">
      <c r="B561" s="21">
        <v>559</v>
      </c>
      <c r="C561" s="21" t="s">
        <v>695</v>
      </c>
      <c r="D561" s="21" t="s">
        <v>136</v>
      </c>
      <c r="E561">
        <f>FIND(",", tblPassengerNames[[#This Row],[Name]])</f>
        <v>7</v>
      </c>
      <c r="F561">
        <f>FIND(".", tblPassengerNames[[#This Row],[Name]])</f>
        <v>13</v>
      </c>
      <c r="G561" t="e">
        <f>FIND("(", tblPassengerNames[[#This Row],[Name]])</f>
        <v>#VALUE!</v>
      </c>
      <c r="H561" t="e">
        <f>FIND(")", tblPassengerNames[[#This Row],[Name]])</f>
        <v>#VALUE!</v>
      </c>
      <c r="I561">
        <f>IFERROR(tblPassengerNames[[#This Row],[OpenParPos]] - 2, LEN(tblPassengerNames[[#This Row],[Name]]))</f>
        <v>29</v>
      </c>
      <c r="J561" t="str">
        <f>MID(tblPassengerNames[[#This Row],[Name]], tblPassengerNames[[#This Row],[DotPos]] + 2, tblPassengerNames[[#This Row],[EndOfConvFNPos]] - tblPassengerNames[[#This Row],[DotPos]] - 1)</f>
        <v>Lyyli Karoliina</v>
      </c>
      <c r="K561" t="e">
        <f>MID(tblPassengerNames[[#This Row],[Name]], tblPassengerNames[[#This Row],[OpenParPos]] + 1, tblPassengerNames[[#This Row],[CloseParPos]] - tblPassengerNames[[#This Row],[OpenParPos]] - 1)</f>
        <v>#VALUE!</v>
      </c>
      <c r="L561" t="e">
        <f>IF(AND(LEFT(tblPassengerNames[[#This Row],[InParentheses]], 1) = "'", RIGHT(tblPassengerNames[[#This Row],[InParentheses]], 1) = "'"),
    #VALUE!,
    tblPassengerNames[[#This Row],[InParentheses]]
)</f>
        <v>#VALUE!</v>
      </c>
      <c r="M561" t="e">
        <f>LEN(tblPassengerNames[[#This Row],[InParenthesesCleaned]]) - LEN(SUBSTITUTE(tblPassengerNames[[#This Row],[InParenthesesCleaned]], " ", ""))</f>
        <v>#VALUE!</v>
      </c>
      <c r="N561" t="e">
        <f>FIND("@", SUBSTITUTE(tblPassengerNames[[#This Row],[InParenthesesCleaned]], " ", "@", tblPassengerNames[[#This Row],[P_NSpaces]]))</f>
        <v>#VALUE!</v>
      </c>
      <c r="O561" t="e">
        <f>IF(tblPassengerNames[[#This Row],[P_NSpaces]] = 0,
    tblPassengerNames[[#This Row],[InParenthesesCleaned]],
    LEFT(tblPassengerNames[[#This Row],[InParenthesesCleaned]], tblPassengerNames[[#This Row],[P_FinalSpacePos]] - 1)
)</f>
        <v>#VALUE!</v>
      </c>
      <c r="P561" t="str">
        <f>IFERROR(tblPassengerNames[[#This Row],[P_Forenames]], tblPassengerNames[[#This Row],[ConvForenames]])</f>
        <v>Lyyli Karoliina</v>
      </c>
      <c r="Q561" t="str">
        <f>MID(tblPassengerNames[[#This Row],[Name]], tblPassengerNames[[#This Row],[CommaPos]] + 2, tblPassengerNames[[#This Row],[DotPos]] - tblPassengerNames[[#This Row],[CommaPos]] - 1)</f>
        <v>Miss.</v>
      </c>
      <c r="R561" t="str">
        <f>LEFT(tblPassengerNames[[#This Row],[Name]], tblPassengerNames[[#This Row],[CommaPos]] - 1)</f>
        <v>Silven</v>
      </c>
    </row>
    <row r="562" spans="2:18" x14ac:dyDescent="0.25">
      <c r="B562" s="21">
        <v>560</v>
      </c>
      <c r="C562" s="21" t="s">
        <v>696</v>
      </c>
      <c r="D562" s="21" t="s">
        <v>136</v>
      </c>
      <c r="E562">
        <f>FIND(",", tblPassengerNames[[#This Row],[Name]])</f>
        <v>8</v>
      </c>
      <c r="F562">
        <f>FIND(".", tblPassengerNames[[#This Row],[Name]])</f>
        <v>14</v>
      </c>
      <c r="G562" t="e">
        <f>FIND("(", tblPassengerNames[[#This Row],[Name]])</f>
        <v>#VALUE!</v>
      </c>
      <c r="H562" t="e">
        <f>FIND(")", tblPassengerNames[[#This Row],[Name]])</f>
        <v>#VALUE!</v>
      </c>
      <c r="I562">
        <f>IFERROR(tblPassengerNames[[#This Row],[OpenParPos]] - 2, LEN(tblPassengerNames[[#This Row],[Name]]))</f>
        <v>20</v>
      </c>
      <c r="J562" t="str">
        <f>MID(tblPassengerNames[[#This Row],[Name]], tblPassengerNames[[#This Row],[DotPos]] + 2, tblPassengerNames[[#This Row],[EndOfConvFNPos]] - tblPassengerNames[[#This Row],[DotPos]] - 1)</f>
        <v>Maude</v>
      </c>
      <c r="K562" t="e">
        <f>MID(tblPassengerNames[[#This Row],[Name]], tblPassengerNames[[#This Row],[OpenParPos]] + 1, tblPassengerNames[[#This Row],[CloseParPos]] - tblPassengerNames[[#This Row],[OpenParPos]] - 1)</f>
        <v>#VALUE!</v>
      </c>
      <c r="L562" t="e">
        <f>IF(AND(LEFT(tblPassengerNames[[#This Row],[InParentheses]], 1) = "'", RIGHT(tblPassengerNames[[#This Row],[InParentheses]], 1) = "'"),
    #VALUE!,
    tblPassengerNames[[#This Row],[InParentheses]]
)</f>
        <v>#VALUE!</v>
      </c>
      <c r="M562" t="e">
        <f>LEN(tblPassengerNames[[#This Row],[InParenthesesCleaned]]) - LEN(SUBSTITUTE(tblPassengerNames[[#This Row],[InParenthesesCleaned]], " ", ""))</f>
        <v>#VALUE!</v>
      </c>
      <c r="N562" t="e">
        <f>FIND("@", SUBSTITUTE(tblPassengerNames[[#This Row],[InParenthesesCleaned]], " ", "@", tblPassengerNames[[#This Row],[P_NSpaces]]))</f>
        <v>#VALUE!</v>
      </c>
      <c r="O562" t="e">
        <f>IF(tblPassengerNames[[#This Row],[P_NSpaces]] = 0,
    tblPassengerNames[[#This Row],[InParenthesesCleaned]],
    LEFT(tblPassengerNames[[#This Row],[InParenthesesCleaned]], tblPassengerNames[[#This Row],[P_FinalSpacePos]] - 1)
)</f>
        <v>#VALUE!</v>
      </c>
      <c r="P562" t="str">
        <f>IFERROR(tblPassengerNames[[#This Row],[P_Forenames]], tblPassengerNames[[#This Row],[ConvForenames]])</f>
        <v>Maude</v>
      </c>
      <c r="Q562" t="str">
        <f>MID(tblPassengerNames[[#This Row],[Name]], tblPassengerNames[[#This Row],[CommaPos]] + 2, tblPassengerNames[[#This Row],[DotPos]] - tblPassengerNames[[#This Row],[CommaPos]] - 1)</f>
        <v>Miss.</v>
      </c>
      <c r="R562" t="str">
        <f>LEFT(tblPassengerNames[[#This Row],[Name]], tblPassengerNames[[#This Row],[CommaPos]] - 1)</f>
        <v>Sincock</v>
      </c>
    </row>
    <row r="563" spans="2:18" x14ac:dyDescent="0.25">
      <c r="B563" s="21">
        <v>561</v>
      </c>
      <c r="C563" s="21" t="s">
        <v>697</v>
      </c>
      <c r="D563" s="21" t="s">
        <v>136</v>
      </c>
      <c r="E563">
        <f>FIND(",", tblPassengerNames[[#This Row],[Name]])</f>
        <v>10</v>
      </c>
      <c r="F563">
        <f>FIND(".", tblPassengerNames[[#This Row],[Name]])</f>
        <v>16</v>
      </c>
      <c r="G563" t="e">
        <f>FIND("(", tblPassengerNames[[#This Row],[Name]])</f>
        <v>#VALUE!</v>
      </c>
      <c r="H563" t="e">
        <f>FIND(")", tblPassengerNames[[#This Row],[Name]])</f>
        <v>#VALUE!</v>
      </c>
      <c r="I563">
        <f>IFERROR(tblPassengerNames[[#This Row],[OpenParPos]] - 2, LEN(tblPassengerNames[[#This Row],[Name]]))</f>
        <v>21</v>
      </c>
      <c r="J563" t="str">
        <f>MID(tblPassengerNames[[#This Row],[Name]], tblPassengerNames[[#This Row],[DotPos]] + 2, tblPassengerNames[[#This Row],[EndOfConvFNPos]] - tblPassengerNames[[#This Row],[DotPos]] - 1)</f>
        <v>Anna</v>
      </c>
      <c r="K563" t="e">
        <f>MID(tblPassengerNames[[#This Row],[Name]], tblPassengerNames[[#This Row],[OpenParPos]] + 1, tblPassengerNames[[#This Row],[CloseParPos]] - tblPassengerNames[[#This Row],[OpenParPos]] - 1)</f>
        <v>#VALUE!</v>
      </c>
      <c r="L563" t="e">
        <f>IF(AND(LEFT(tblPassengerNames[[#This Row],[InParentheses]], 1) = "'", RIGHT(tblPassengerNames[[#This Row],[InParentheses]], 1) = "'"),
    #VALUE!,
    tblPassengerNames[[#This Row],[InParentheses]]
)</f>
        <v>#VALUE!</v>
      </c>
      <c r="M563" t="e">
        <f>LEN(tblPassengerNames[[#This Row],[InParenthesesCleaned]]) - LEN(SUBSTITUTE(tblPassengerNames[[#This Row],[InParenthesesCleaned]], " ", ""))</f>
        <v>#VALUE!</v>
      </c>
      <c r="N563" t="e">
        <f>FIND("@", SUBSTITUTE(tblPassengerNames[[#This Row],[InParenthesesCleaned]], " ", "@", tblPassengerNames[[#This Row],[P_NSpaces]]))</f>
        <v>#VALUE!</v>
      </c>
      <c r="O563" t="e">
        <f>IF(tblPassengerNames[[#This Row],[P_NSpaces]] = 0,
    tblPassengerNames[[#This Row],[InParenthesesCleaned]],
    LEFT(tblPassengerNames[[#This Row],[InParenthesesCleaned]], tblPassengerNames[[#This Row],[P_FinalSpacePos]] - 1)
)</f>
        <v>#VALUE!</v>
      </c>
      <c r="P563" t="str">
        <f>IFERROR(tblPassengerNames[[#This Row],[P_Forenames]], tblPassengerNames[[#This Row],[ConvForenames]])</f>
        <v>Anna</v>
      </c>
      <c r="Q563" t="str">
        <f>MID(tblPassengerNames[[#This Row],[Name]], tblPassengerNames[[#This Row],[CommaPos]] + 2, tblPassengerNames[[#This Row],[DotPos]] - tblPassengerNames[[#This Row],[CommaPos]] - 1)</f>
        <v>Miss.</v>
      </c>
      <c r="R563" t="str">
        <f>LEFT(tblPassengerNames[[#This Row],[Name]], tblPassengerNames[[#This Row],[CommaPos]] - 1)</f>
        <v>Sinkkonen</v>
      </c>
    </row>
    <row r="564" spans="2:18" x14ac:dyDescent="0.25">
      <c r="B564" s="21">
        <v>562</v>
      </c>
      <c r="C564" s="21" t="s">
        <v>698</v>
      </c>
      <c r="D564" s="21" t="s">
        <v>138</v>
      </c>
      <c r="E564">
        <f>FIND(",", tblPassengerNames[[#This Row],[Name]])</f>
        <v>9</v>
      </c>
      <c r="F564">
        <f>FIND(".", tblPassengerNames[[#This Row],[Name]])</f>
        <v>13</v>
      </c>
      <c r="G564" t="e">
        <f>FIND("(", tblPassengerNames[[#This Row],[Name]])</f>
        <v>#VALUE!</v>
      </c>
      <c r="H564" t="e">
        <f>FIND(")", tblPassengerNames[[#This Row],[Name]])</f>
        <v>#VALUE!</v>
      </c>
      <c r="I564">
        <f>IFERROR(tblPassengerNames[[#This Row],[OpenParPos]] - 2, LEN(tblPassengerNames[[#This Row],[Name]]))</f>
        <v>25</v>
      </c>
      <c r="J564" t="str">
        <f>MID(tblPassengerNames[[#This Row],[Name]], tblPassengerNames[[#This Row],[DotPos]] + 2, tblPassengerNames[[#This Row],[EndOfConvFNPos]] - tblPassengerNames[[#This Row],[DotPos]] - 1)</f>
        <v>Ernst Adolf</v>
      </c>
      <c r="K564" t="e">
        <f>MID(tblPassengerNames[[#This Row],[Name]], tblPassengerNames[[#This Row],[OpenParPos]] + 1, tblPassengerNames[[#This Row],[CloseParPos]] - tblPassengerNames[[#This Row],[OpenParPos]] - 1)</f>
        <v>#VALUE!</v>
      </c>
      <c r="L564" t="e">
        <f>IF(AND(LEFT(tblPassengerNames[[#This Row],[InParentheses]], 1) = "'", RIGHT(tblPassengerNames[[#This Row],[InParentheses]], 1) = "'"),
    #VALUE!,
    tblPassengerNames[[#This Row],[InParentheses]]
)</f>
        <v>#VALUE!</v>
      </c>
      <c r="M564" t="e">
        <f>LEN(tblPassengerNames[[#This Row],[InParenthesesCleaned]]) - LEN(SUBSTITUTE(tblPassengerNames[[#This Row],[InParenthesesCleaned]], " ", ""))</f>
        <v>#VALUE!</v>
      </c>
      <c r="N564" t="e">
        <f>FIND("@", SUBSTITUTE(tblPassengerNames[[#This Row],[InParenthesesCleaned]], " ", "@", tblPassengerNames[[#This Row],[P_NSpaces]]))</f>
        <v>#VALUE!</v>
      </c>
      <c r="O564" t="e">
        <f>IF(tblPassengerNames[[#This Row],[P_NSpaces]] = 0,
    tblPassengerNames[[#This Row],[InParenthesesCleaned]],
    LEFT(tblPassengerNames[[#This Row],[InParenthesesCleaned]], tblPassengerNames[[#This Row],[P_FinalSpacePos]] - 1)
)</f>
        <v>#VALUE!</v>
      </c>
      <c r="P564" t="str">
        <f>IFERROR(tblPassengerNames[[#This Row],[P_Forenames]], tblPassengerNames[[#This Row],[ConvForenames]])</f>
        <v>Ernst Adolf</v>
      </c>
      <c r="Q564" t="str">
        <f>MID(tblPassengerNames[[#This Row],[Name]], tblPassengerNames[[#This Row],[CommaPos]] + 2, tblPassengerNames[[#This Row],[DotPos]] - tblPassengerNames[[#This Row],[CommaPos]] - 1)</f>
        <v>Mr.</v>
      </c>
      <c r="R564" t="str">
        <f>LEFT(tblPassengerNames[[#This Row],[Name]], tblPassengerNames[[#This Row],[CommaPos]] - 1)</f>
        <v>Sjostedt</v>
      </c>
    </row>
    <row r="565" spans="2:18" x14ac:dyDescent="0.25">
      <c r="B565" s="21">
        <v>563</v>
      </c>
      <c r="C565" s="21" t="s">
        <v>699</v>
      </c>
      <c r="D565" s="21" t="s">
        <v>136</v>
      </c>
      <c r="E565">
        <f>FIND(",", tblPassengerNames[[#This Row],[Name]])</f>
        <v>8</v>
      </c>
      <c r="F565">
        <f>FIND(".", tblPassengerNames[[#This Row],[Name]])</f>
        <v>14</v>
      </c>
      <c r="G565" t="e">
        <f>FIND("(", tblPassengerNames[[#This Row],[Name]])</f>
        <v>#VALUE!</v>
      </c>
      <c r="H565" t="e">
        <f>FIND(")", tblPassengerNames[[#This Row],[Name]])</f>
        <v>#VALUE!</v>
      </c>
      <c r="I565">
        <f>IFERROR(tblPassengerNames[[#This Row],[OpenParPos]] - 2, LEN(tblPassengerNames[[#This Row],[Name]]))</f>
        <v>25</v>
      </c>
      <c r="J565" t="str">
        <f>MID(tblPassengerNames[[#This Row],[Name]], tblPassengerNames[[#This Row],[DotPos]] + 2, tblPassengerNames[[#This Row],[EndOfConvFNPos]] - tblPassengerNames[[#This Row],[DotPos]] - 1)</f>
        <v>Hilda Mary</v>
      </c>
      <c r="K565" t="e">
        <f>MID(tblPassengerNames[[#This Row],[Name]], tblPassengerNames[[#This Row],[OpenParPos]] + 1, tblPassengerNames[[#This Row],[CloseParPos]] - tblPassengerNames[[#This Row],[OpenParPos]] - 1)</f>
        <v>#VALUE!</v>
      </c>
      <c r="L565" t="e">
        <f>IF(AND(LEFT(tblPassengerNames[[#This Row],[InParentheses]], 1) = "'", RIGHT(tblPassengerNames[[#This Row],[InParentheses]], 1) = "'"),
    #VALUE!,
    tblPassengerNames[[#This Row],[InParentheses]]
)</f>
        <v>#VALUE!</v>
      </c>
      <c r="M565" t="e">
        <f>LEN(tblPassengerNames[[#This Row],[InParenthesesCleaned]]) - LEN(SUBSTITUTE(tblPassengerNames[[#This Row],[InParenthesesCleaned]], " ", ""))</f>
        <v>#VALUE!</v>
      </c>
      <c r="N565" t="e">
        <f>FIND("@", SUBSTITUTE(tblPassengerNames[[#This Row],[InParenthesesCleaned]], " ", "@", tblPassengerNames[[#This Row],[P_NSpaces]]))</f>
        <v>#VALUE!</v>
      </c>
      <c r="O565" t="e">
        <f>IF(tblPassengerNames[[#This Row],[P_NSpaces]] = 0,
    tblPassengerNames[[#This Row],[InParenthesesCleaned]],
    LEFT(tblPassengerNames[[#This Row],[InParenthesesCleaned]], tblPassengerNames[[#This Row],[P_FinalSpacePos]] - 1)
)</f>
        <v>#VALUE!</v>
      </c>
      <c r="P565" t="str">
        <f>IFERROR(tblPassengerNames[[#This Row],[P_Forenames]], tblPassengerNames[[#This Row],[ConvForenames]])</f>
        <v>Hilda Mary</v>
      </c>
      <c r="Q565" t="str">
        <f>MID(tblPassengerNames[[#This Row],[Name]], tblPassengerNames[[#This Row],[CommaPos]] + 2, tblPassengerNames[[#This Row],[DotPos]] - tblPassengerNames[[#This Row],[CommaPos]] - 1)</f>
        <v>Miss.</v>
      </c>
      <c r="R565" t="str">
        <f>LEFT(tblPassengerNames[[#This Row],[Name]], tblPassengerNames[[#This Row],[CommaPos]] - 1)</f>
        <v>Slayter</v>
      </c>
    </row>
    <row r="566" spans="2:18" x14ac:dyDescent="0.25">
      <c r="B566" s="21">
        <v>564</v>
      </c>
      <c r="C566" s="21" t="s">
        <v>700</v>
      </c>
      <c r="D566" s="21" t="s">
        <v>138</v>
      </c>
      <c r="E566">
        <f>FIND(",", tblPassengerNames[[#This Row],[Name]])</f>
        <v>7</v>
      </c>
      <c r="F566">
        <f>FIND(".", tblPassengerNames[[#This Row],[Name]])</f>
        <v>11</v>
      </c>
      <c r="G566" t="e">
        <f>FIND("(", tblPassengerNames[[#This Row],[Name]])</f>
        <v>#VALUE!</v>
      </c>
      <c r="H566" t="e">
        <f>FIND(")", tblPassengerNames[[#This Row],[Name]])</f>
        <v>#VALUE!</v>
      </c>
      <c r="I566">
        <f>IFERROR(tblPassengerNames[[#This Row],[OpenParPos]] - 2, LEN(tblPassengerNames[[#This Row],[Name]]))</f>
        <v>25</v>
      </c>
      <c r="J566" t="str">
        <f>MID(tblPassengerNames[[#This Row],[Name]], tblPassengerNames[[#This Row],[DotPos]] + 2, tblPassengerNames[[#This Row],[EndOfConvFNPos]] - tblPassengerNames[[#This Row],[DotPos]] - 1)</f>
        <v>Richard James</v>
      </c>
      <c r="K566" t="e">
        <f>MID(tblPassengerNames[[#This Row],[Name]], tblPassengerNames[[#This Row],[OpenParPos]] + 1, tblPassengerNames[[#This Row],[CloseParPos]] - tblPassengerNames[[#This Row],[OpenParPos]] - 1)</f>
        <v>#VALUE!</v>
      </c>
      <c r="L566" t="e">
        <f>IF(AND(LEFT(tblPassengerNames[[#This Row],[InParentheses]], 1) = "'", RIGHT(tblPassengerNames[[#This Row],[InParentheses]], 1) = "'"),
    #VALUE!,
    tblPassengerNames[[#This Row],[InParentheses]]
)</f>
        <v>#VALUE!</v>
      </c>
      <c r="M566" t="e">
        <f>LEN(tblPassengerNames[[#This Row],[InParenthesesCleaned]]) - LEN(SUBSTITUTE(tblPassengerNames[[#This Row],[InParenthesesCleaned]], " ", ""))</f>
        <v>#VALUE!</v>
      </c>
      <c r="N566" t="e">
        <f>FIND("@", SUBSTITUTE(tblPassengerNames[[#This Row],[InParenthesesCleaned]], " ", "@", tblPassengerNames[[#This Row],[P_NSpaces]]))</f>
        <v>#VALUE!</v>
      </c>
      <c r="O566" t="e">
        <f>IF(tblPassengerNames[[#This Row],[P_NSpaces]] = 0,
    tblPassengerNames[[#This Row],[InParenthesesCleaned]],
    LEFT(tblPassengerNames[[#This Row],[InParenthesesCleaned]], tblPassengerNames[[#This Row],[P_FinalSpacePos]] - 1)
)</f>
        <v>#VALUE!</v>
      </c>
      <c r="P566" t="str">
        <f>IFERROR(tblPassengerNames[[#This Row],[P_Forenames]], tblPassengerNames[[#This Row],[ConvForenames]])</f>
        <v>Richard James</v>
      </c>
      <c r="Q566" t="str">
        <f>MID(tblPassengerNames[[#This Row],[Name]], tblPassengerNames[[#This Row],[CommaPos]] + 2, tblPassengerNames[[#This Row],[DotPos]] - tblPassengerNames[[#This Row],[CommaPos]] - 1)</f>
        <v>Mr.</v>
      </c>
      <c r="R566" t="str">
        <f>LEFT(tblPassengerNames[[#This Row],[Name]], tblPassengerNames[[#This Row],[CommaPos]] - 1)</f>
        <v>Slemen</v>
      </c>
    </row>
    <row r="567" spans="2:18" x14ac:dyDescent="0.25">
      <c r="B567" s="21">
        <v>565</v>
      </c>
      <c r="C567" s="21" t="s">
        <v>701</v>
      </c>
      <c r="D567" s="21" t="s">
        <v>136</v>
      </c>
      <c r="E567">
        <f>FIND(",", tblPassengerNames[[#This Row],[Name]])</f>
        <v>6</v>
      </c>
      <c r="F567">
        <f>FIND(".", tblPassengerNames[[#This Row],[Name]])</f>
        <v>12</v>
      </c>
      <c r="G567" t="e">
        <f>FIND("(", tblPassengerNames[[#This Row],[Name]])</f>
        <v>#VALUE!</v>
      </c>
      <c r="H567" t="e">
        <f>FIND(")", tblPassengerNames[[#This Row],[Name]])</f>
        <v>#VALUE!</v>
      </c>
      <c r="I567">
        <f>IFERROR(tblPassengerNames[[#This Row],[OpenParPos]] - 2, LEN(tblPassengerNames[[#This Row],[Name]]))</f>
        <v>25</v>
      </c>
      <c r="J567" t="str">
        <f>MID(tblPassengerNames[[#This Row],[Name]], tblPassengerNames[[#This Row],[DotPos]] + 2, tblPassengerNames[[#This Row],[EndOfConvFNPos]] - tblPassengerNames[[#This Row],[DotPos]] - 1)</f>
        <v>Marion Elsie</v>
      </c>
      <c r="K567" t="e">
        <f>MID(tblPassengerNames[[#This Row],[Name]], tblPassengerNames[[#This Row],[OpenParPos]] + 1, tblPassengerNames[[#This Row],[CloseParPos]] - tblPassengerNames[[#This Row],[OpenParPos]] - 1)</f>
        <v>#VALUE!</v>
      </c>
      <c r="L567" t="e">
        <f>IF(AND(LEFT(tblPassengerNames[[#This Row],[InParentheses]], 1) = "'", RIGHT(tblPassengerNames[[#This Row],[InParentheses]], 1) = "'"),
    #VALUE!,
    tblPassengerNames[[#This Row],[InParentheses]]
)</f>
        <v>#VALUE!</v>
      </c>
      <c r="M567" t="e">
        <f>LEN(tblPassengerNames[[#This Row],[InParenthesesCleaned]]) - LEN(SUBSTITUTE(tblPassengerNames[[#This Row],[InParenthesesCleaned]], " ", ""))</f>
        <v>#VALUE!</v>
      </c>
      <c r="N567" t="e">
        <f>FIND("@", SUBSTITUTE(tblPassengerNames[[#This Row],[InParenthesesCleaned]], " ", "@", tblPassengerNames[[#This Row],[P_NSpaces]]))</f>
        <v>#VALUE!</v>
      </c>
      <c r="O567" t="e">
        <f>IF(tblPassengerNames[[#This Row],[P_NSpaces]] = 0,
    tblPassengerNames[[#This Row],[InParenthesesCleaned]],
    LEFT(tblPassengerNames[[#This Row],[InParenthesesCleaned]], tblPassengerNames[[#This Row],[P_FinalSpacePos]] - 1)
)</f>
        <v>#VALUE!</v>
      </c>
      <c r="P567" t="str">
        <f>IFERROR(tblPassengerNames[[#This Row],[P_Forenames]], tblPassengerNames[[#This Row],[ConvForenames]])</f>
        <v>Marion Elsie</v>
      </c>
      <c r="Q567" t="str">
        <f>MID(tblPassengerNames[[#This Row],[Name]], tblPassengerNames[[#This Row],[CommaPos]] + 2, tblPassengerNames[[#This Row],[DotPos]] - tblPassengerNames[[#This Row],[CommaPos]] - 1)</f>
        <v>Miss.</v>
      </c>
      <c r="R567" t="str">
        <f>LEFT(tblPassengerNames[[#This Row],[Name]], tblPassengerNames[[#This Row],[CommaPos]] - 1)</f>
        <v>Smith</v>
      </c>
    </row>
    <row r="568" spans="2:18" x14ac:dyDescent="0.25">
      <c r="B568" s="21">
        <v>566</v>
      </c>
      <c r="C568" s="21" t="s">
        <v>702</v>
      </c>
      <c r="D568" s="21" t="s">
        <v>138</v>
      </c>
      <c r="E568">
        <f>FIND(",", tblPassengerNames[[#This Row],[Name]])</f>
        <v>6</v>
      </c>
      <c r="F568">
        <f>FIND(".", tblPassengerNames[[#This Row],[Name]])</f>
        <v>10</v>
      </c>
      <c r="G568" t="e">
        <f>FIND("(", tblPassengerNames[[#This Row],[Name]])</f>
        <v>#VALUE!</v>
      </c>
      <c r="H568" t="e">
        <f>FIND(")", tblPassengerNames[[#This Row],[Name]])</f>
        <v>#VALUE!</v>
      </c>
      <c r="I568">
        <f>IFERROR(tblPassengerNames[[#This Row],[OpenParPos]] - 2, LEN(tblPassengerNames[[#This Row],[Name]]))</f>
        <v>30</v>
      </c>
      <c r="J568" t="str">
        <f>MID(tblPassengerNames[[#This Row],[Name]], tblPassengerNames[[#This Row],[DotPos]] + 2, tblPassengerNames[[#This Row],[EndOfConvFNPos]] - tblPassengerNames[[#This Row],[DotPos]] - 1)</f>
        <v>Samuel James Hayden</v>
      </c>
      <c r="K568" t="e">
        <f>MID(tblPassengerNames[[#This Row],[Name]], tblPassengerNames[[#This Row],[OpenParPos]] + 1, tblPassengerNames[[#This Row],[CloseParPos]] - tblPassengerNames[[#This Row],[OpenParPos]] - 1)</f>
        <v>#VALUE!</v>
      </c>
      <c r="L568" t="e">
        <f>IF(AND(LEFT(tblPassengerNames[[#This Row],[InParentheses]], 1) = "'", RIGHT(tblPassengerNames[[#This Row],[InParentheses]], 1) = "'"),
    #VALUE!,
    tblPassengerNames[[#This Row],[InParentheses]]
)</f>
        <v>#VALUE!</v>
      </c>
      <c r="M568" t="e">
        <f>LEN(tblPassengerNames[[#This Row],[InParenthesesCleaned]]) - LEN(SUBSTITUTE(tblPassengerNames[[#This Row],[InParenthesesCleaned]], " ", ""))</f>
        <v>#VALUE!</v>
      </c>
      <c r="N568" t="e">
        <f>FIND("@", SUBSTITUTE(tblPassengerNames[[#This Row],[InParenthesesCleaned]], " ", "@", tblPassengerNames[[#This Row],[P_NSpaces]]))</f>
        <v>#VALUE!</v>
      </c>
      <c r="O568" t="e">
        <f>IF(tblPassengerNames[[#This Row],[P_NSpaces]] = 0,
    tblPassengerNames[[#This Row],[InParenthesesCleaned]],
    LEFT(tblPassengerNames[[#This Row],[InParenthesesCleaned]], tblPassengerNames[[#This Row],[P_FinalSpacePos]] - 1)
)</f>
        <v>#VALUE!</v>
      </c>
      <c r="P568" t="str">
        <f>IFERROR(tblPassengerNames[[#This Row],[P_Forenames]], tblPassengerNames[[#This Row],[ConvForenames]])</f>
        <v>Samuel James Hayden</v>
      </c>
      <c r="Q568" t="str">
        <f>MID(tblPassengerNames[[#This Row],[Name]], tblPassengerNames[[#This Row],[CommaPos]] + 2, tblPassengerNames[[#This Row],[DotPos]] - tblPassengerNames[[#This Row],[CommaPos]] - 1)</f>
        <v>Mr.</v>
      </c>
      <c r="R568" t="str">
        <f>LEFT(tblPassengerNames[[#This Row],[Name]], tblPassengerNames[[#This Row],[CommaPos]] - 1)</f>
        <v>Sobey</v>
      </c>
    </row>
    <row r="569" spans="2:18" x14ac:dyDescent="0.25">
      <c r="B569" s="21">
        <v>567</v>
      </c>
      <c r="C569" s="21" t="s">
        <v>703</v>
      </c>
      <c r="D569" s="21" t="s">
        <v>138</v>
      </c>
      <c r="E569">
        <f>FIND(",", tblPassengerNames[[#This Row],[Name]])</f>
        <v>8</v>
      </c>
      <c r="F569">
        <f>FIND(".", tblPassengerNames[[#This Row],[Name]])</f>
        <v>12</v>
      </c>
      <c r="G569" t="e">
        <f>FIND("(", tblPassengerNames[[#This Row],[Name]])</f>
        <v>#VALUE!</v>
      </c>
      <c r="H569" t="e">
        <f>FIND(")", tblPassengerNames[[#This Row],[Name]])</f>
        <v>#VALUE!</v>
      </c>
      <c r="I569">
        <f>IFERROR(tblPassengerNames[[#This Row],[OpenParPos]] - 2, LEN(tblPassengerNames[[#This Row],[Name]]))</f>
        <v>24</v>
      </c>
      <c r="J569" t="str">
        <f>MID(tblPassengerNames[[#This Row],[Name]], tblPassengerNames[[#This Row],[DotPos]] + 2, tblPassengerNames[[#This Row],[EndOfConvFNPos]] - tblPassengerNames[[#This Row],[DotPos]] - 1)</f>
        <v>Samuel Ward</v>
      </c>
      <c r="K569" t="e">
        <f>MID(tblPassengerNames[[#This Row],[Name]], tblPassengerNames[[#This Row],[OpenParPos]] + 1, tblPassengerNames[[#This Row],[CloseParPos]] - tblPassengerNames[[#This Row],[OpenParPos]] - 1)</f>
        <v>#VALUE!</v>
      </c>
      <c r="L569" t="e">
        <f>IF(AND(LEFT(tblPassengerNames[[#This Row],[InParentheses]], 1) = "'", RIGHT(tblPassengerNames[[#This Row],[InParentheses]], 1) = "'"),
    #VALUE!,
    tblPassengerNames[[#This Row],[InParentheses]]
)</f>
        <v>#VALUE!</v>
      </c>
      <c r="M569" t="e">
        <f>LEN(tblPassengerNames[[#This Row],[InParenthesesCleaned]]) - LEN(SUBSTITUTE(tblPassengerNames[[#This Row],[InParenthesesCleaned]], " ", ""))</f>
        <v>#VALUE!</v>
      </c>
      <c r="N569" t="e">
        <f>FIND("@", SUBSTITUTE(tblPassengerNames[[#This Row],[InParenthesesCleaned]], " ", "@", tblPassengerNames[[#This Row],[P_NSpaces]]))</f>
        <v>#VALUE!</v>
      </c>
      <c r="O569" t="e">
        <f>IF(tblPassengerNames[[#This Row],[P_NSpaces]] = 0,
    tblPassengerNames[[#This Row],[InParenthesesCleaned]],
    LEFT(tblPassengerNames[[#This Row],[InParenthesesCleaned]], tblPassengerNames[[#This Row],[P_FinalSpacePos]] - 1)
)</f>
        <v>#VALUE!</v>
      </c>
      <c r="P569" t="str">
        <f>IFERROR(tblPassengerNames[[#This Row],[P_Forenames]], tblPassengerNames[[#This Row],[ConvForenames]])</f>
        <v>Samuel Ward</v>
      </c>
      <c r="Q569" t="str">
        <f>MID(tblPassengerNames[[#This Row],[Name]], tblPassengerNames[[#This Row],[CommaPos]] + 2, tblPassengerNames[[#This Row],[DotPos]] - tblPassengerNames[[#This Row],[CommaPos]] - 1)</f>
        <v>Mr.</v>
      </c>
      <c r="R569" t="str">
        <f>LEFT(tblPassengerNames[[#This Row],[Name]], tblPassengerNames[[#This Row],[CommaPos]] - 1)</f>
        <v>Stanton</v>
      </c>
    </row>
    <row r="570" spans="2:18" x14ac:dyDescent="0.25">
      <c r="B570" s="21">
        <v>568</v>
      </c>
      <c r="C570" s="21" t="s">
        <v>704</v>
      </c>
      <c r="D570" s="21" t="s">
        <v>138</v>
      </c>
      <c r="E570">
        <f>FIND(",", tblPassengerNames[[#This Row],[Name]])</f>
        <v>7</v>
      </c>
      <c r="F570">
        <f>FIND(".", tblPassengerNames[[#This Row],[Name]])</f>
        <v>11</v>
      </c>
      <c r="G570" t="e">
        <f>FIND("(", tblPassengerNames[[#This Row],[Name]])</f>
        <v>#VALUE!</v>
      </c>
      <c r="H570" t="e">
        <f>FIND(")", tblPassengerNames[[#This Row],[Name]])</f>
        <v>#VALUE!</v>
      </c>
      <c r="I570">
        <f>IFERROR(tblPassengerNames[[#This Row],[OpenParPos]] - 2, LEN(tblPassengerNames[[#This Row],[Name]]))</f>
        <v>25</v>
      </c>
      <c r="J570" t="str">
        <f>MID(tblPassengerNames[[#This Row],[Name]], tblPassengerNames[[#This Row],[DotPos]] + 2, tblPassengerNames[[#This Row],[EndOfConvFNPos]] - tblPassengerNames[[#This Row],[DotPos]] - 1)</f>
        <v>Philip Joseph</v>
      </c>
      <c r="K570" t="e">
        <f>MID(tblPassengerNames[[#This Row],[Name]], tblPassengerNames[[#This Row],[OpenParPos]] + 1, tblPassengerNames[[#This Row],[CloseParPos]] - tblPassengerNames[[#This Row],[OpenParPos]] - 1)</f>
        <v>#VALUE!</v>
      </c>
      <c r="L570" t="e">
        <f>IF(AND(LEFT(tblPassengerNames[[#This Row],[InParentheses]], 1) = "'", RIGHT(tblPassengerNames[[#This Row],[InParentheses]], 1) = "'"),
    #VALUE!,
    tblPassengerNames[[#This Row],[InParentheses]]
)</f>
        <v>#VALUE!</v>
      </c>
      <c r="M570" t="e">
        <f>LEN(tblPassengerNames[[#This Row],[InParenthesesCleaned]]) - LEN(SUBSTITUTE(tblPassengerNames[[#This Row],[InParenthesesCleaned]], " ", ""))</f>
        <v>#VALUE!</v>
      </c>
      <c r="N570" t="e">
        <f>FIND("@", SUBSTITUTE(tblPassengerNames[[#This Row],[InParenthesesCleaned]], " ", "@", tblPassengerNames[[#This Row],[P_NSpaces]]))</f>
        <v>#VALUE!</v>
      </c>
      <c r="O570" t="e">
        <f>IF(tblPassengerNames[[#This Row],[P_NSpaces]] = 0,
    tblPassengerNames[[#This Row],[InParenthesesCleaned]],
    LEFT(tblPassengerNames[[#This Row],[InParenthesesCleaned]], tblPassengerNames[[#This Row],[P_FinalSpacePos]] - 1)
)</f>
        <v>#VALUE!</v>
      </c>
      <c r="P570" t="str">
        <f>IFERROR(tblPassengerNames[[#This Row],[P_Forenames]], tblPassengerNames[[#This Row],[ConvForenames]])</f>
        <v>Philip Joseph</v>
      </c>
      <c r="Q570" t="str">
        <f>MID(tblPassengerNames[[#This Row],[Name]], tblPassengerNames[[#This Row],[CommaPos]] + 2, tblPassengerNames[[#This Row],[DotPos]] - tblPassengerNames[[#This Row],[CommaPos]] - 1)</f>
        <v>Mr.</v>
      </c>
      <c r="R570" t="str">
        <f>LEFT(tblPassengerNames[[#This Row],[Name]], tblPassengerNames[[#This Row],[CommaPos]] - 1)</f>
        <v>Stokes</v>
      </c>
    </row>
    <row r="571" spans="2:18" x14ac:dyDescent="0.25">
      <c r="B571" s="21">
        <v>569</v>
      </c>
      <c r="C571" s="21" t="s">
        <v>705</v>
      </c>
      <c r="D571" s="21" t="s">
        <v>138</v>
      </c>
      <c r="E571">
        <f>FIND(",", tblPassengerNames[[#This Row],[Name]])</f>
        <v>6</v>
      </c>
      <c r="F571">
        <f>FIND(".", tblPassengerNames[[#This Row],[Name]])</f>
        <v>10</v>
      </c>
      <c r="G571" t="e">
        <f>FIND("(", tblPassengerNames[[#This Row],[Name]])</f>
        <v>#VALUE!</v>
      </c>
      <c r="H571" t="e">
        <f>FIND(")", tblPassengerNames[[#This Row],[Name]])</f>
        <v>#VALUE!</v>
      </c>
      <c r="I571">
        <f>IFERROR(tblPassengerNames[[#This Row],[OpenParPos]] - 2, LEN(tblPassengerNames[[#This Row],[Name]]))</f>
        <v>17</v>
      </c>
      <c r="J571" t="str">
        <f>MID(tblPassengerNames[[#This Row],[Name]], tblPassengerNames[[#This Row],[DotPos]] + 2, tblPassengerNames[[#This Row],[EndOfConvFNPos]] - tblPassengerNames[[#This Row],[DotPos]] - 1)</f>
        <v>George</v>
      </c>
      <c r="K571" t="e">
        <f>MID(tblPassengerNames[[#This Row],[Name]], tblPassengerNames[[#This Row],[OpenParPos]] + 1, tblPassengerNames[[#This Row],[CloseParPos]] - tblPassengerNames[[#This Row],[OpenParPos]] - 1)</f>
        <v>#VALUE!</v>
      </c>
      <c r="L571" t="e">
        <f>IF(AND(LEFT(tblPassengerNames[[#This Row],[InParentheses]], 1) = "'", RIGHT(tblPassengerNames[[#This Row],[InParentheses]], 1) = "'"),
    #VALUE!,
    tblPassengerNames[[#This Row],[InParentheses]]
)</f>
        <v>#VALUE!</v>
      </c>
      <c r="M571" t="e">
        <f>LEN(tblPassengerNames[[#This Row],[InParenthesesCleaned]]) - LEN(SUBSTITUTE(tblPassengerNames[[#This Row],[InParenthesesCleaned]], " ", ""))</f>
        <v>#VALUE!</v>
      </c>
      <c r="N571" t="e">
        <f>FIND("@", SUBSTITUTE(tblPassengerNames[[#This Row],[InParenthesesCleaned]], " ", "@", tblPassengerNames[[#This Row],[P_NSpaces]]))</f>
        <v>#VALUE!</v>
      </c>
      <c r="O571" t="e">
        <f>IF(tblPassengerNames[[#This Row],[P_NSpaces]] = 0,
    tblPassengerNames[[#This Row],[InParenthesesCleaned]],
    LEFT(tblPassengerNames[[#This Row],[InParenthesesCleaned]], tblPassengerNames[[#This Row],[P_FinalSpacePos]] - 1)
)</f>
        <v>#VALUE!</v>
      </c>
      <c r="P571" t="str">
        <f>IFERROR(tblPassengerNames[[#This Row],[P_Forenames]], tblPassengerNames[[#This Row],[ConvForenames]])</f>
        <v>George</v>
      </c>
      <c r="Q571" t="str">
        <f>MID(tblPassengerNames[[#This Row],[Name]], tblPassengerNames[[#This Row],[CommaPos]] + 2, tblPassengerNames[[#This Row],[DotPos]] - tblPassengerNames[[#This Row],[CommaPos]] - 1)</f>
        <v>Mr.</v>
      </c>
      <c r="R571" t="str">
        <f>LEFT(tblPassengerNames[[#This Row],[Name]], tblPassengerNames[[#This Row],[CommaPos]] - 1)</f>
        <v>Swane</v>
      </c>
    </row>
    <row r="572" spans="2:18" x14ac:dyDescent="0.25">
      <c r="B572" s="21">
        <v>570</v>
      </c>
      <c r="C572" s="21" t="s">
        <v>706</v>
      </c>
      <c r="D572" s="21" t="s">
        <v>138</v>
      </c>
      <c r="E572">
        <f>FIND(",", tblPassengerNames[[#This Row],[Name]])</f>
        <v>6</v>
      </c>
      <c r="F572">
        <f>FIND(".", tblPassengerNames[[#This Row],[Name]])</f>
        <v>10</v>
      </c>
      <c r="G572" t="e">
        <f>FIND("(", tblPassengerNames[[#This Row],[Name]])</f>
        <v>#VALUE!</v>
      </c>
      <c r="H572" t="e">
        <f>FIND(")", tblPassengerNames[[#This Row],[Name]])</f>
        <v>#VALUE!</v>
      </c>
      <c r="I572">
        <f>IFERROR(tblPassengerNames[[#This Row],[OpenParPos]] - 2, LEN(tblPassengerNames[[#This Row],[Name]]))</f>
        <v>27</v>
      </c>
      <c r="J572" t="str">
        <f>MID(tblPassengerNames[[#This Row],[Name]], tblPassengerNames[[#This Row],[DotPos]] + 2, tblPassengerNames[[#This Row],[EndOfConvFNPos]] - tblPassengerNames[[#This Row],[DotPos]] - 1)</f>
        <v>George Frederick</v>
      </c>
      <c r="K572" t="e">
        <f>MID(tblPassengerNames[[#This Row],[Name]], tblPassengerNames[[#This Row],[OpenParPos]] + 1, tblPassengerNames[[#This Row],[CloseParPos]] - tblPassengerNames[[#This Row],[OpenParPos]] - 1)</f>
        <v>#VALUE!</v>
      </c>
      <c r="L572" t="e">
        <f>IF(AND(LEFT(tblPassengerNames[[#This Row],[InParentheses]], 1) = "'", RIGHT(tblPassengerNames[[#This Row],[InParentheses]], 1) = "'"),
    #VALUE!,
    tblPassengerNames[[#This Row],[InParentheses]]
)</f>
        <v>#VALUE!</v>
      </c>
      <c r="M572" t="e">
        <f>LEN(tblPassengerNames[[#This Row],[InParenthesesCleaned]]) - LEN(SUBSTITUTE(tblPassengerNames[[#This Row],[InParenthesesCleaned]], " ", ""))</f>
        <v>#VALUE!</v>
      </c>
      <c r="N572" t="e">
        <f>FIND("@", SUBSTITUTE(tblPassengerNames[[#This Row],[InParenthesesCleaned]], " ", "@", tblPassengerNames[[#This Row],[P_NSpaces]]))</f>
        <v>#VALUE!</v>
      </c>
      <c r="O572" t="e">
        <f>IF(tblPassengerNames[[#This Row],[P_NSpaces]] = 0,
    tblPassengerNames[[#This Row],[InParenthesesCleaned]],
    LEFT(tblPassengerNames[[#This Row],[InParenthesesCleaned]], tblPassengerNames[[#This Row],[P_FinalSpacePos]] - 1)
)</f>
        <v>#VALUE!</v>
      </c>
      <c r="P572" t="str">
        <f>IFERROR(tblPassengerNames[[#This Row],[P_Forenames]], tblPassengerNames[[#This Row],[ConvForenames]])</f>
        <v>George Frederick</v>
      </c>
      <c r="Q572" t="str">
        <f>MID(tblPassengerNames[[#This Row],[Name]], tblPassengerNames[[#This Row],[CommaPos]] + 2, tblPassengerNames[[#This Row],[DotPos]] - tblPassengerNames[[#This Row],[CommaPos]] - 1)</f>
        <v>Mr.</v>
      </c>
      <c r="R572" t="str">
        <f>LEFT(tblPassengerNames[[#This Row],[Name]], tblPassengerNames[[#This Row],[CommaPos]] - 1)</f>
        <v>Sweet</v>
      </c>
    </row>
    <row r="573" spans="2:18" x14ac:dyDescent="0.25">
      <c r="B573" s="21">
        <v>571</v>
      </c>
      <c r="C573" s="21" t="s">
        <v>707</v>
      </c>
      <c r="D573" s="21" t="s">
        <v>136</v>
      </c>
      <c r="E573">
        <f>FIND(",", tblPassengerNames[[#This Row],[Name]])</f>
        <v>7</v>
      </c>
      <c r="F573">
        <f>FIND(".", tblPassengerNames[[#This Row],[Name]])</f>
        <v>13</v>
      </c>
      <c r="G573" t="e">
        <f>FIND("(", tblPassengerNames[[#This Row],[Name]])</f>
        <v>#VALUE!</v>
      </c>
      <c r="H573" t="e">
        <f>FIND(")", tblPassengerNames[[#This Row],[Name]])</f>
        <v>#VALUE!</v>
      </c>
      <c r="I573">
        <f>IFERROR(tblPassengerNames[[#This Row],[OpenParPos]] - 2, LEN(tblPassengerNames[[#This Row],[Name]]))</f>
        <v>19</v>
      </c>
      <c r="J573" t="str">
        <f>MID(tblPassengerNames[[#This Row],[Name]], tblPassengerNames[[#This Row],[DotPos]] + 2, tblPassengerNames[[#This Row],[EndOfConvFNPos]] - tblPassengerNames[[#This Row],[DotPos]] - 1)</f>
        <v>Ellen</v>
      </c>
      <c r="K573" t="e">
        <f>MID(tblPassengerNames[[#This Row],[Name]], tblPassengerNames[[#This Row],[OpenParPos]] + 1, tblPassengerNames[[#This Row],[CloseParPos]] - tblPassengerNames[[#This Row],[OpenParPos]] - 1)</f>
        <v>#VALUE!</v>
      </c>
      <c r="L573" t="e">
        <f>IF(AND(LEFT(tblPassengerNames[[#This Row],[InParentheses]], 1) = "'", RIGHT(tblPassengerNames[[#This Row],[InParentheses]], 1) = "'"),
    #VALUE!,
    tblPassengerNames[[#This Row],[InParentheses]]
)</f>
        <v>#VALUE!</v>
      </c>
      <c r="M573" t="e">
        <f>LEN(tblPassengerNames[[#This Row],[InParenthesesCleaned]]) - LEN(SUBSTITUTE(tblPassengerNames[[#This Row],[InParenthesesCleaned]], " ", ""))</f>
        <v>#VALUE!</v>
      </c>
      <c r="N573" t="e">
        <f>FIND("@", SUBSTITUTE(tblPassengerNames[[#This Row],[InParenthesesCleaned]], " ", "@", tblPassengerNames[[#This Row],[P_NSpaces]]))</f>
        <v>#VALUE!</v>
      </c>
      <c r="O573" t="e">
        <f>IF(tblPassengerNames[[#This Row],[P_NSpaces]] = 0,
    tblPassengerNames[[#This Row],[InParenthesesCleaned]],
    LEFT(tblPassengerNames[[#This Row],[InParenthesesCleaned]], tblPassengerNames[[#This Row],[P_FinalSpacePos]] - 1)
)</f>
        <v>#VALUE!</v>
      </c>
      <c r="P573" t="str">
        <f>IFERROR(tblPassengerNames[[#This Row],[P_Forenames]], tblPassengerNames[[#This Row],[ConvForenames]])</f>
        <v>Ellen</v>
      </c>
      <c r="Q573" t="str">
        <f>MID(tblPassengerNames[[#This Row],[Name]], tblPassengerNames[[#This Row],[CommaPos]] + 2, tblPassengerNames[[#This Row],[DotPos]] - tblPassengerNames[[#This Row],[CommaPos]] - 1)</f>
        <v>Miss.</v>
      </c>
      <c r="R573" t="str">
        <f>LEFT(tblPassengerNames[[#This Row],[Name]], tblPassengerNames[[#This Row],[CommaPos]] - 1)</f>
        <v>Toomey</v>
      </c>
    </row>
    <row r="574" spans="2:18" x14ac:dyDescent="0.25">
      <c r="B574" s="21">
        <v>572</v>
      </c>
      <c r="C574" s="21" t="s">
        <v>708</v>
      </c>
      <c r="D574" s="21" t="s">
        <v>138</v>
      </c>
      <c r="E574">
        <f>FIND(",", tblPassengerNames[[#This Row],[Name]])</f>
        <v>12</v>
      </c>
      <c r="F574">
        <f>FIND(".", tblPassengerNames[[#This Row],[Name]])</f>
        <v>16</v>
      </c>
      <c r="G574" t="e">
        <f>FIND("(", tblPassengerNames[[#This Row],[Name]])</f>
        <v>#VALUE!</v>
      </c>
      <c r="H574" t="e">
        <f>FIND(")", tblPassengerNames[[#This Row],[Name]])</f>
        <v>#VALUE!</v>
      </c>
      <c r="I574">
        <f>IFERROR(tblPassengerNames[[#This Row],[OpenParPos]] - 2, LEN(tblPassengerNames[[#This Row],[Name]]))</f>
        <v>28</v>
      </c>
      <c r="J574" t="str">
        <f>MID(tblPassengerNames[[#This Row],[Name]], tblPassengerNames[[#This Row],[DotPos]] + 2, tblPassengerNames[[#This Row],[EndOfConvFNPos]] - tblPassengerNames[[#This Row],[DotPos]] - 1)</f>
        <v>Moses Aaron</v>
      </c>
      <c r="K574" t="e">
        <f>MID(tblPassengerNames[[#This Row],[Name]], tblPassengerNames[[#This Row],[OpenParPos]] + 1, tblPassengerNames[[#This Row],[CloseParPos]] - tblPassengerNames[[#This Row],[OpenParPos]] - 1)</f>
        <v>#VALUE!</v>
      </c>
      <c r="L574" t="e">
        <f>IF(AND(LEFT(tblPassengerNames[[#This Row],[InParentheses]], 1) = "'", RIGHT(tblPassengerNames[[#This Row],[InParentheses]], 1) = "'"),
    #VALUE!,
    tblPassengerNames[[#This Row],[InParentheses]]
)</f>
        <v>#VALUE!</v>
      </c>
      <c r="M574" t="e">
        <f>LEN(tblPassengerNames[[#This Row],[InParenthesesCleaned]]) - LEN(SUBSTITUTE(tblPassengerNames[[#This Row],[InParenthesesCleaned]], " ", ""))</f>
        <v>#VALUE!</v>
      </c>
      <c r="N574" t="e">
        <f>FIND("@", SUBSTITUTE(tblPassengerNames[[#This Row],[InParenthesesCleaned]], " ", "@", tblPassengerNames[[#This Row],[P_NSpaces]]))</f>
        <v>#VALUE!</v>
      </c>
      <c r="O574" t="e">
        <f>IF(tblPassengerNames[[#This Row],[P_NSpaces]] = 0,
    tblPassengerNames[[#This Row],[InParenthesesCleaned]],
    LEFT(tblPassengerNames[[#This Row],[InParenthesesCleaned]], tblPassengerNames[[#This Row],[P_FinalSpacePos]] - 1)
)</f>
        <v>#VALUE!</v>
      </c>
      <c r="P574" t="str">
        <f>IFERROR(tblPassengerNames[[#This Row],[P_Forenames]], tblPassengerNames[[#This Row],[ConvForenames]])</f>
        <v>Moses Aaron</v>
      </c>
      <c r="Q574" t="str">
        <f>MID(tblPassengerNames[[#This Row],[Name]], tblPassengerNames[[#This Row],[CommaPos]] + 2, tblPassengerNames[[#This Row],[DotPos]] - tblPassengerNames[[#This Row],[CommaPos]] - 1)</f>
        <v>Mr.</v>
      </c>
      <c r="R574" t="str">
        <f>LEFT(tblPassengerNames[[#This Row],[Name]], tblPassengerNames[[#This Row],[CommaPos]] - 1)</f>
        <v>Troupiansky</v>
      </c>
    </row>
    <row r="575" spans="2:18" x14ac:dyDescent="0.25">
      <c r="B575" s="21">
        <v>573</v>
      </c>
      <c r="C575" s="21" t="s">
        <v>709</v>
      </c>
      <c r="D575" s="21" t="s">
        <v>136</v>
      </c>
      <c r="E575">
        <f>FIND(",", tblPassengerNames[[#This Row],[Name]])</f>
        <v>6</v>
      </c>
      <c r="F575">
        <f>FIND(".", tblPassengerNames[[#This Row],[Name]])</f>
        <v>11</v>
      </c>
      <c r="G575">
        <f>FIND("(", tblPassengerNames[[#This Row],[Name]])</f>
        <v>23</v>
      </c>
      <c r="H575">
        <f>FIND(")", tblPassengerNames[[#This Row],[Name]])</f>
        <v>32</v>
      </c>
      <c r="I575">
        <f>IFERROR(tblPassengerNames[[#This Row],[OpenParPos]] - 2, LEN(tblPassengerNames[[#This Row],[Name]]))</f>
        <v>21</v>
      </c>
      <c r="J575" t="str">
        <f>MID(tblPassengerNames[[#This Row],[Name]], tblPassengerNames[[#This Row],[DotPos]] + 2, tblPassengerNames[[#This Row],[EndOfConvFNPos]] - tblPassengerNames[[#This Row],[DotPos]] - 1)</f>
        <v>William H</v>
      </c>
      <c r="K575" t="str">
        <f>MID(tblPassengerNames[[#This Row],[Name]], tblPassengerNames[[#This Row],[OpenParPos]] + 1, tblPassengerNames[[#This Row],[CloseParPos]] - tblPassengerNames[[#This Row],[OpenParPos]] - 1)</f>
        <v>Jessie L</v>
      </c>
      <c r="L575" t="str">
        <f>IF(AND(LEFT(tblPassengerNames[[#This Row],[InParentheses]], 1) = "'", RIGHT(tblPassengerNames[[#This Row],[InParentheses]], 1) = "'"),
    #VALUE!,
    tblPassengerNames[[#This Row],[InParentheses]]
)</f>
        <v>Jessie L</v>
      </c>
      <c r="M575">
        <f>LEN(tblPassengerNames[[#This Row],[InParenthesesCleaned]]) - LEN(SUBSTITUTE(tblPassengerNames[[#This Row],[InParenthesesCleaned]], " ", ""))</f>
        <v>1</v>
      </c>
      <c r="N575">
        <f>FIND("@", SUBSTITUTE(tblPassengerNames[[#This Row],[InParenthesesCleaned]], " ", "@", tblPassengerNames[[#This Row],[P_NSpaces]]))</f>
        <v>7</v>
      </c>
      <c r="O575" t="str">
        <f>IF(tblPassengerNames[[#This Row],[P_NSpaces]] = 0,
    tblPassengerNames[[#This Row],[InParenthesesCleaned]],
    LEFT(tblPassengerNames[[#This Row],[InParenthesesCleaned]], tblPassengerNames[[#This Row],[P_FinalSpacePos]] - 1)
)</f>
        <v>Jessie</v>
      </c>
      <c r="P575" t="str">
        <f>IFERROR(tblPassengerNames[[#This Row],[P_Forenames]], tblPassengerNames[[#This Row],[ConvForenames]])</f>
        <v>Jessie</v>
      </c>
      <c r="Q575" t="str">
        <f>MID(tblPassengerNames[[#This Row],[Name]], tblPassengerNames[[#This Row],[CommaPos]] + 2, tblPassengerNames[[#This Row],[DotPos]] - tblPassengerNames[[#This Row],[CommaPos]] - 1)</f>
        <v>Mrs.</v>
      </c>
      <c r="R575" t="str">
        <f>LEFT(tblPassengerNames[[#This Row],[Name]], tblPassengerNames[[#This Row],[CommaPos]] - 1)</f>
        <v>Trout</v>
      </c>
    </row>
    <row r="576" spans="2:18" x14ac:dyDescent="0.25">
      <c r="B576" s="21">
        <v>574</v>
      </c>
      <c r="C576" s="21" t="s">
        <v>710</v>
      </c>
      <c r="D576" s="21" t="s">
        <v>136</v>
      </c>
      <c r="E576">
        <f>FIND(",", tblPassengerNames[[#This Row],[Name]])</f>
        <v>7</v>
      </c>
      <c r="F576">
        <f>FIND(".", tblPassengerNames[[#This Row],[Name]])</f>
        <v>13</v>
      </c>
      <c r="G576" t="e">
        <f>FIND("(", tblPassengerNames[[#This Row],[Name]])</f>
        <v>#VALUE!</v>
      </c>
      <c r="H576" t="e">
        <f>FIND(")", tblPassengerNames[[#This Row],[Name]])</f>
        <v>#VALUE!</v>
      </c>
      <c r="I576">
        <f>IFERROR(tblPassengerNames[[#This Row],[OpenParPos]] - 2, LEN(tblPassengerNames[[#This Row],[Name]]))</f>
        <v>35</v>
      </c>
      <c r="J576" t="str">
        <f>MID(tblPassengerNames[[#This Row],[Name]], tblPassengerNames[[#This Row],[DotPos]] + 2, tblPassengerNames[[#This Row],[EndOfConvFNPos]] - tblPassengerNames[[#This Row],[DotPos]] - 1)</f>
        <v>Edwina Celia 'Winnie'</v>
      </c>
      <c r="K576" t="e">
        <f>MID(tblPassengerNames[[#This Row],[Name]], tblPassengerNames[[#This Row],[OpenParPos]] + 1, tblPassengerNames[[#This Row],[CloseParPos]] - tblPassengerNames[[#This Row],[OpenParPos]] - 1)</f>
        <v>#VALUE!</v>
      </c>
      <c r="L576" t="e">
        <f>IF(AND(LEFT(tblPassengerNames[[#This Row],[InParentheses]], 1) = "'", RIGHT(tblPassengerNames[[#This Row],[InParentheses]], 1) = "'"),
    #VALUE!,
    tblPassengerNames[[#This Row],[InParentheses]]
)</f>
        <v>#VALUE!</v>
      </c>
      <c r="M576" t="e">
        <f>LEN(tblPassengerNames[[#This Row],[InParenthesesCleaned]]) - LEN(SUBSTITUTE(tblPassengerNames[[#This Row],[InParenthesesCleaned]], " ", ""))</f>
        <v>#VALUE!</v>
      </c>
      <c r="N576" t="e">
        <f>FIND("@", SUBSTITUTE(tblPassengerNames[[#This Row],[InParenthesesCleaned]], " ", "@", tblPassengerNames[[#This Row],[P_NSpaces]]))</f>
        <v>#VALUE!</v>
      </c>
      <c r="O576" t="e">
        <f>IF(tblPassengerNames[[#This Row],[P_NSpaces]] = 0,
    tblPassengerNames[[#This Row],[InParenthesesCleaned]],
    LEFT(tblPassengerNames[[#This Row],[InParenthesesCleaned]], tblPassengerNames[[#This Row],[P_FinalSpacePos]] - 1)
)</f>
        <v>#VALUE!</v>
      </c>
      <c r="P576" t="str">
        <f>IFERROR(tblPassengerNames[[#This Row],[P_Forenames]], tblPassengerNames[[#This Row],[ConvForenames]])</f>
        <v>Edwina Celia 'Winnie'</v>
      </c>
      <c r="Q576" t="str">
        <f>MID(tblPassengerNames[[#This Row],[Name]], tblPassengerNames[[#This Row],[CommaPos]] + 2, tblPassengerNames[[#This Row],[DotPos]] - tblPassengerNames[[#This Row],[CommaPos]] - 1)</f>
        <v>Miss.</v>
      </c>
      <c r="R576" t="str">
        <f>LEFT(tblPassengerNames[[#This Row],[Name]], tblPassengerNames[[#This Row],[CommaPos]] - 1)</f>
        <v>Troutt</v>
      </c>
    </row>
    <row r="577" spans="2:18" x14ac:dyDescent="0.25">
      <c r="B577" s="21">
        <v>575</v>
      </c>
      <c r="C577" s="21" t="s">
        <v>711</v>
      </c>
      <c r="D577" s="21" t="s">
        <v>138</v>
      </c>
      <c r="E577">
        <f>FIND(",", tblPassengerNames[[#This Row],[Name]])</f>
        <v>7</v>
      </c>
      <c r="F577">
        <f>FIND(".", tblPassengerNames[[#This Row],[Name]])</f>
        <v>11</v>
      </c>
      <c r="G577" t="e">
        <f>FIND("(", tblPassengerNames[[#This Row],[Name]])</f>
        <v>#VALUE!</v>
      </c>
      <c r="H577" t="e">
        <f>FIND(")", tblPassengerNames[[#This Row],[Name]])</f>
        <v>#VALUE!</v>
      </c>
      <c r="I577">
        <f>IFERROR(tblPassengerNames[[#This Row],[OpenParPos]] - 2, LEN(tblPassengerNames[[#This Row],[Name]]))</f>
        <v>31</v>
      </c>
      <c r="J577" t="str">
        <f>MID(tblPassengerNames[[#This Row],[Name]], tblPassengerNames[[#This Row],[DotPos]] + 2, tblPassengerNames[[#This Row],[EndOfConvFNPos]] - tblPassengerNames[[#This Row],[DotPos]] - 1)</f>
        <v>William John Robert</v>
      </c>
      <c r="K577" t="e">
        <f>MID(tblPassengerNames[[#This Row],[Name]], tblPassengerNames[[#This Row],[OpenParPos]] + 1, tblPassengerNames[[#This Row],[CloseParPos]] - tblPassengerNames[[#This Row],[OpenParPos]] - 1)</f>
        <v>#VALUE!</v>
      </c>
      <c r="L577" t="e">
        <f>IF(AND(LEFT(tblPassengerNames[[#This Row],[InParentheses]], 1) = "'", RIGHT(tblPassengerNames[[#This Row],[InParentheses]], 1) = "'"),
    #VALUE!,
    tblPassengerNames[[#This Row],[InParentheses]]
)</f>
        <v>#VALUE!</v>
      </c>
      <c r="M577" t="e">
        <f>LEN(tblPassengerNames[[#This Row],[InParenthesesCleaned]]) - LEN(SUBSTITUTE(tblPassengerNames[[#This Row],[InParenthesesCleaned]], " ", ""))</f>
        <v>#VALUE!</v>
      </c>
      <c r="N577" t="e">
        <f>FIND("@", SUBSTITUTE(tblPassengerNames[[#This Row],[InParenthesesCleaned]], " ", "@", tblPassengerNames[[#This Row],[P_NSpaces]]))</f>
        <v>#VALUE!</v>
      </c>
      <c r="O577" t="e">
        <f>IF(tblPassengerNames[[#This Row],[P_NSpaces]] = 0,
    tblPassengerNames[[#This Row],[InParenthesesCleaned]],
    LEFT(tblPassengerNames[[#This Row],[InParenthesesCleaned]], tblPassengerNames[[#This Row],[P_FinalSpacePos]] - 1)
)</f>
        <v>#VALUE!</v>
      </c>
      <c r="P577" t="str">
        <f>IFERROR(tblPassengerNames[[#This Row],[P_Forenames]], tblPassengerNames[[#This Row],[ConvForenames]])</f>
        <v>William John Robert</v>
      </c>
      <c r="Q577" t="str">
        <f>MID(tblPassengerNames[[#This Row],[Name]], tblPassengerNames[[#This Row],[CommaPos]] + 2, tblPassengerNames[[#This Row],[DotPos]] - tblPassengerNames[[#This Row],[CommaPos]] - 1)</f>
        <v>Mr.</v>
      </c>
      <c r="R577" t="str">
        <f>LEFT(tblPassengerNames[[#This Row],[Name]], tblPassengerNames[[#This Row],[CommaPos]] - 1)</f>
        <v>Turpin</v>
      </c>
    </row>
    <row r="578" spans="2:18" x14ac:dyDescent="0.25">
      <c r="B578" s="21">
        <v>576</v>
      </c>
      <c r="C578" s="21" t="s">
        <v>712</v>
      </c>
      <c r="D578" s="21" t="s">
        <v>136</v>
      </c>
      <c r="E578">
        <f>FIND(",", tblPassengerNames[[#This Row],[Name]])</f>
        <v>7</v>
      </c>
      <c r="F578">
        <f>FIND(".", tblPassengerNames[[#This Row],[Name]])</f>
        <v>12</v>
      </c>
      <c r="G578">
        <f>FIND("(", tblPassengerNames[[#This Row],[Name]])</f>
        <v>34</v>
      </c>
      <c r="H578">
        <f>FIND(")", tblPassengerNames[[#This Row],[Name]])</f>
        <v>56</v>
      </c>
      <c r="I578">
        <f>IFERROR(tblPassengerNames[[#This Row],[OpenParPos]] - 2, LEN(tblPassengerNames[[#This Row],[Name]]))</f>
        <v>32</v>
      </c>
      <c r="J578" t="str">
        <f>MID(tblPassengerNames[[#This Row],[Name]], tblPassengerNames[[#This Row],[DotPos]] + 2, tblPassengerNames[[#This Row],[EndOfConvFNPos]] - tblPassengerNames[[#This Row],[DotPos]] - 1)</f>
        <v>William John Robert</v>
      </c>
      <c r="K578" t="str">
        <f>MID(tblPassengerNames[[#This Row],[Name]], tblPassengerNames[[#This Row],[OpenParPos]] + 1, tblPassengerNames[[#This Row],[CloseParPos]] - tblPassengerNames[[#This Row],[OpenParPos]] - 1)</f>
        <v>Dorothy Ann Wonnacott</v>
      </c>
      <c r="L578" t="str">
        <f>IF(AND(LEFT(tblPassengerNames[[#This Row],[InParentheses]], 1) = "'", RIGHT(tblPassengerNames[[#This Row],[InParentheses]], 1) = "'"),
    #VALUE!,
    tblPassengerNames[[#This Row],[InParentheses]]
)</f>
        <v>Dorothy Ann Wonnacott</v>
      </c>
      <c r="M578">
        <f>LEN(tblPassengerNames[[#This Row],[InParenthesesCleaned]]) - LEN(SUBSTITUTE(tblPassengerNames[[#This Row],[InParenthesesCleaned]], " ", ""))</f>
        <v>2</v>
      </c>
      <c r="N578">
        <f>FIND("@", SUBSTITUTE(tblPassengerNames[[#This Row],[InParenthesesCleaned]], " ", "@", tblPassengerNames[[#This Row],[P_NSpaces]]))</f>
        <v>12</v>
      </c>
      <c r="O578" t="str">
        <f>IF(tblPassengerNames[[#This Row],[P_NSpaces]] = 0,
    tblPassengerNames[[#This Row],[InParenthesesCleaned]],
    LEFT(tblPassengerNames[[#This Row],[InParenthesesCleaned]], tblPassengerNames[[#This Row],[P_FinalSpacePos]] - 1)
)</f>
        <v>Dorothy Ann</v>
      </c>
      <c r="P578" t="str">
        <f>IFERROR(tblPassengerNames[[#This Row],[P_Forenames]], tblPassengerNames[[#This Row],[ConvForenames]])</f>
        <v>Dorothy Ann</v>
      </c>
      <c r="Q578" t="str">
        <f>MID(tblPassengerNames[[#This Row],[Name]], tblPassengerNames[[#This Row],[CommaPos]] + 2, tblPassengerNames[[#This Row],[DotPos]] - tblPassengerNames[[#This Row],[CommaPos]] - 1)</f>
        <v>Mrs.</v>
      </c>
      <c r="R578" t="str">
        <f>LEFT(tblPassengerNames[[#This Row],[Name]], tblPassengerNames[[#This Row],[CommaPos]] - 1)</f>
        <v>Turpin</v>
      </c>
    </row>
    <row r="579" spans="2:18" x14ac:dyDescent="0.25">
      <c r="B579" s="21">
        <v>577</v>
      </c>
      <c r="C579" s="21" t="s">
        <v>713</v>
      </c>
      <c r="D579" s="21" t="s">
        <v>138</v>
      </c>
      <c r="E579">
        <f>FIND(",", tblPassengerNames[[#This Row],[Name]])</f>
        <v>5</v>
      </c>
      <c r="F579">
        <f>FIND(".", tblPassengerNames[[#This Row],[Name]])</f>
        <v>9</v>
      </c>
      <c r="G579" t="e">
        <f>FIND("(", tblPassengerNames[[#This Row],[Name]])</f>
        <v>#VALUE!</v>
      </c>
      <c r="H579" t="e">
        <f>FIND(")", tblPassengerNames[[#This Row],[Name]])</f>
        <v>#VALUE!</v>
      </c>
      <c r="I579">
        <f>IFERROR(tblPassengerNames[[#This Row],[OpenParPos]] - 2, LEN(tblPassengerNames[[#This Row],[Name]]))</f>
        <v>15</v>
      </c>
      <c r="J579" t="str">
        <f>MID(tblPassengerNames[[#This Row],[Name]], tblPassengerNames[[#This Row],[DotPos]] + 2, tblPassengerNames[[#This Row],[EndOfConvFNPos]] - tblPassengerNames[[#This Row],[DotPos]] - 1)</f>
        <v>James</v>
      </c>
      <c r="K579" t="e">
        <f>MID(tblPassengerNames[[#This Row],[Name]], tblPassengerNames[[#This Row],[OpenParPos]] + 1, tblPassengerNames[[#This Row],[CloseParPos]] - tblPassengerNames[[#This Row],[OpenParPos]] - 1)</f>
        <v>#VALUE!</v>
      </c>
      <c r="L579" t="e">
        <f>IF(AND(LEFT(tblPassengerNames[[#This Row],[InParentheses]], 1) = "'", RIGHT(tblPassengerNames[[#This Row],[InParentheses]], 1) = "'"),
    #VALUE!,
    tblPassengerNames[[#This Row],[InParentheses]]
)</f>
        <v>#VALUE!</v>
      </c>
      <c r="M579" t="e">
        <f>LEN(tblPassengerNames[[#This Row],[InParenthesesCleaned]]) - LEN(SUBSTITUTE(tblPassengerNames[[#This Row],[InParenthesesCleaned]], " ", ""))</f>
        <v>#VALUE!</v>
      </c>
      <c r="N579" t="e">
        <f>FIND("@", SUBSTITUTE(tblPassengerNames[[#This Row],[InParenthesesCleaned]], " ", "@", tblPassengerNames[[#This Row],[P_NSpaces]]))</f>
        <v>#VALUE!</v>
      </c>
      <c r="O579" t="e">
        <f>IF(tblPassengerNames[[#This Row],[P_NSpaces]] = 0,
    tblPassengerNames[[#This Row],[InParenthesesCleaned]],
    LEFT(tblPassengerNames[[#This Row],[InParenthesesCleaned]], tblPassengerNames[[#This Row],[P_FinalSpacePos]] - 1)
)</f>
        <v>#VALUE!</v>
      </c>
      <c r="P579" t="str">
        <f>IFERROR(tblPassengerNames[[#This Row],[P_Forenames]], tblPassengerNames[[#This Row],[ConvForenames]])</f>
        <v>James</v>
      </c>
      <c r="Q579" t="str">
        <f>MID(tblPassengerNames[[#This Row],[Name]], tblPassengerNames[[#This Row],[CommaPos]] + 2, tblPassengerNames[[#This Row],[DotPos]] - tblPassengerNames[[#This Row],[CommaPos]] - 1)</f>
        <v>Mr.</v>
      </c>
      <c r="R579" t="str">
        <f>LEFT(tblPassengerNames[[#This Row],[Name]], tblPassengerNames[[#This Row],[CommaPos]] - 1)</f>
        <v>Veal</v>
      </c>
    </row>
    <row r="580" spans="2:18" x14ac:dyDescent="0.25">
      <c r="B580" s="21">
        <v>578</v>
      </c>
      <c r="C580" s="21" t="s">
        <v>714</v>
      </c>
      <c r="D580" s="21" t="s">
        <v>136</v>
      </c>
      <c r="E580">
        <f>FIND(",", tblPassengerNames[[#This Row],[Name]])</f>
        <v>9</v>
      </c>
      <c r="F580">
        <f>FIND(".", tblPassengerNames[[#This Row],[Name]])</f>
        <v>15</v>
      </c>
      <c r="G580" t="e">
        <f>FIND("(", tblPassengerNames[[#This Row],[Name]])</f>
        <v>#VALUE!</v>
      </c>
      <c r="H580" t="e">
        <f>FIND(")", tblPassengerNames[[#This Row],[Name]])</f>
        <v>#VALUE!</v>
      </c>
      <c r="I580">
        <f>IFERROR(tblPassengerNames[[#This Row],[OpenParPos]] - 2, LEN(tblPassengerNames[[#This Row],[Name]]))</f>
        <v>22</v>
      </c>
      <c r="J580" t="str">
        <f>MID(tblPassengerNames[[#This Row],[Name]], tblPassengerNames[[#This Row],[DotPos]] + 2, tblPassengerNames[[#This Row],[EndOfConvFNPos]] - tblPassengerNames[[#This Row],[DotPos]] - 1)</f>
        <v>Nellie</v>
      </c>
      <c r="K580" t="e">
        <f>MID(tblPassengerNames[[#This Row],[Name]], tblPassengerNames[[#This Row],[OpenParPos]] + 1, tblPassengerNames[[#This Row],[CloseParPos]] - tblPassengerNames[[#This Row],[OpenParPos]] - 1)</f>
        <v>#VALUE!</v>
      </c>
      <c r="L580" t="e">
        <f>IF(AND(LEFT(tblPassengerNames[[#This Row],[InParentheses]], 1) = "'", RIGHT(tblPassengerNames[[#This Row],[InParentheses]], 1) = "'"),
    #VALUE!,
    tblPassengerNames[[#This Row],[InParentheses]]
)</f>
        <v>#VALUE!</v>
      </c>
      <c r="M580" t="e">
        <f>LEN(tblPassengerNames[[#This Row],[InParenthesesCleaned]]) - LEN(SUBSTITUTE(tblPassengerNames[[#This Row],[InParenthesesCleaned]], " ", ""))</f>
        <v>#VALUE!</v>
      </c>
      <c r="N580" t="e">
        <f>FIND("@", SUBSTITUTE(tblPassengerNames[[#This Row],[InParenthesesCleaned]], " ", "@", tblPassengerNames[[#This Row],[P_NSpaces]]))</f>
        <v>#VALUE!</v>
      </c>
      <c r="O580" t="e">
        <f>IF(tblPassengerNames[[#This Row],[P_NSpaces]] = 0,
    tblPassengerNames[[#This Row],[InParenthesesCleaned]],
    LEFT(tblPassengerNames[[#This Row],[InParenthesesCleaned]], tblPassengerNames[[#This Row],[P_FinalSpacePos]] - 1)
)</f>
        <v>#VALUE!</v>
      </c>
      <c r="P580" t="str">
        <f>IFERROR(tblPassengerNames[[#This Row],[P_Forenames]], tblPassengerNames[[#This Row],[ConvForenames]])</f>
        <v>Nellie</v>
      </c>
      <c r="Q580" t="str">
        <f>MID(tblPassengerNames[[#This Row],[Name]], tblPassengerNames[[#This Row],[CommaPos]] + 2, tblPassengerNames[[#This Row],[DotPos]] - tblPassengerNames[[#This Row],[CommaPos]] - 1)</f>
        <v>Miss.</v>
      </c>
      <c r="R580" t="str">
        <f>LEFT(tblPassengerNames[[#This Row],[Name]], tblPassengerNames[[#This Row],[CommaPos]] - 1)</f>
        <v>Walcroft</v>
      </c>
    </row>
    <row r="581" spans="2:18" x14ac:dyDescent="0.25">
      <c r="B581" s="21">
        <v>579</v>
      </c>
      <c r="C581" s="21" t="s">
        <v>715</v>
      </c>
      <c r="D581" s="21" t="s">
        <v>138</v>
      </c>
      <c r="E581">
        <f>FIND(",", tblPassengerNames[[#This Row],[Name]])</f>
        <v>5</v>
      </c>
      <c r="F581">
        <f>FIND(".", tblPassengerNames[[#This Row],[Name]])</f>
        <v>9</v>
      </c>
      <c r="G581" t="e">
        <f>FIND("(", tblPassengerNames[[#This Row],[Name]])</f>
        <v>#VALUE!</v>
      </c>
      <c r="H581" t="e">
        <f>FIND(")", tblPassengerNames[[#This Row],[Name]])</f>
        <v>#VALUE!</v>
      </c>
      <c r="I581">
        <f>IFERROR(tblPassengerNames[[#This Row],[OpenParPos]] - 2, LEN(tblPassengerNames[[#This Row],[Name]]))</f>
        <v>20</v>
      </c>
      <c r="J581" t="str">
        <f>MID(tblPassengerNames[[#This Row],[Name]], tblPassengerNames[[#This Row],[DotPos]] + 2, tblPassengerNames[[#This Row],[EndOfConvFNPos]] - tblPassengerNames[[#This Row],[DotPos]] - 1)</f>
        <v>John James</v>
      </c>
      <c r="K581" t="e">
        <f>MID(tblPassengerNames[[#This Row],[Name]], tblPassengerNames[[#This Row],[OpenParPos]] + 1, tblPassengerNames[[#This Row],[CloseParPos]] - tblPassengerNames[[#This Row],[OpenParPos]] - 1)</f>
        <v>#VALUE!</v>
      </c>
      <c r="L581" t="e">
        <f>IF(AND(LEFT(tblPassengerNames[[#This Row],[InParentheses]], 1) = "'", RIGHT(tblPassengerNames[[#This Row],[InParentheses]], 1) = "'"),
    #VALUE!,
    tblPassengerNames[[#This Row],[InParentheses]]
)</f>
        <v>#VALUE!</v>
      </c>
      <c r="M581" t="e">
        <f>LEN(tblPassengerNames[[#This Row],[InParenthesesCleaned]]) - LEN(SUBSTITUTE(tblPassengerNames[[#This Row],[InParenthesesCleaned]], " ", ""))</f>
        <v>#VALUE!</v>
      </c>
      <c r="N581" t="e">
        <f>FIND("@", SUBSTITUTE(tblPassengerNames[[#This Row],[InParenthesesCleaned]], " ", "@", tblPassengerNames[[#This Row],[P_NSpaces]]))</f>
        <v>#VALUE!</v>
      </c>
      <c r="O581" t="e">
        <f>IF(tblPassengerNames[[#This Row],[P_NSpaces]] = 0,
    tblPassengerNames[[#This Row],[InParenthesesCleaned]],
    LEFT(tblPassengerNames[[#This Row],[InParenthesesCleaned]], tblPassengerNames[[#This Row],[P_FinalSpacePos]] - 1)
)</f>
        <v>#VALUE!</v>
      </c>
      <c r="P581" t="str">
        <f>IFERROR(tblPassengerNames[[#This Row],[P_Forenames]], tblPassengerNames[[#This Row],[ConvForenames]])</f>
        <v>John James</v>
      </c>
      <c r="Q581" t="str">
        <f>MID(tblPassengerNames[[#This Row],[Name]], tblPassengerNames[[#This Row],[CommaPos]] + 2, tblPassengerNames[[#This Row],[DotPos]] - tblPassengerNames[[#This Row],[CommaPos]] - 1)</f>
        <v>Mr.</v>
      </c>
      <c r="R581" t="str">
        <f>LEFT(tblPassengerNames[[#This Row],[Name]], tblPassengerNames[[#This Row],[CommaPos]] - 1)</f>
        <v>Ware</v>
      </c>
    </row>
    <row r="582" spans="2:18" x14ac:dyDescent="0.25">
      <c r="B582" s="21">
        <v>580</v>
      </c>
      <c r="C582" s="21" t="s">
        <v>716</v>
      </c>
      <c r="D582" s="21" t="s">
        <v>138</v>
      </c>
      <c r="E582">
        <f>FIND(",", tblPassengerNames[[#This Row],[Name]])</f>
        <v>5</v>
      </c>
      <c r="F582">
        <f>FIND(".", tblPassengerNames[[#This Row],[Name]])</f>
        <v>9</v>
      </c>
      <c r="G582" t="e">
        <f>FIND("(", tblPassengerNames[[#This Row],[Name]])</f>
        <v>#VALUE!</v>
      </c>
      <c r="H582" t="e">
        <f>FIND(")", tblPassengerNames[[#This Row],[Name]])</f>
        <v>#VALUE!</v>
      </c>
      <c r="I582">
        <f>IFERROR(tblPassengerNames[[#This Row],[OpenParPos]] - 2, LEN(tblPassengerNames[[#This Row],[Name]]))</f>
        <v>25</v>
      </c>
      <c r="J582" t="str">
        <f>MID(tblPassengerNames[[#This Row],[Name]], tblPassengerNames[[#This Row],[DotPos]] + 2, tblPassengerNames[[#This Row],[EndOfConvFNPos]] - tblPassengerNames[[#This Row],[DotPos]] - 1)</f>
        <v>William Jeffery</v>
      </c>
      <c r="K582" t="e">
        <f>MID(tblPassengerNames[[#This Row],[Name]], tblPassengerNames[[#This Row],[OpenParPos]] + 1, tblPassengerNames[[#This Row],[CloseParPos]] - tblPassengerNames[[#This Row],[OpenParPos]] - 1)</f>
        <v>#VALUE!</v>
      </c>
      <c r="L582" t="e">
        <f>IF(AND(LEFT(tblPassengerNames[[#This Row],[InParentheses]], 1) = "'", RIGHT(tblPassengerNames[[#This Row],[InParentheses]], 1) = "'"),
    #VALUE!,
    tblPassengerNames[[#This Row],[InParentheses]]
)</f>
        <v>#VALUE!</v>
      </c>
      <c r="M582" t="e">
        <f>LEN(tblPassengerNames[[#This Row],[InParenthesesCleaned]]) - LEN(SUBSTITUTE(tblPassengerNames[[#This Row],[InParenthesesCleaned]], " ", ""))</f>
        <v>#VALUE!</v>
      </c>
      <c r="N582" t="e">
        <f>FIND("@", SUBSTITUTE(tblPassengerNames[[#This Row],[InParenthesesCleaned]], " ", "@", tblPassengerNames[[#This Row],[P_NSpaces]]))</f>
        <v>#VALUE!</v>
      </c>
      <c r="O582" t="e">
        <f>IF(tblPassengerNames[[#This Row],[P_NSpaces]] = 0,
    tblPassengerNames[[#This Row],[InParenthesesCleaned]],
    LEFT(tblPassengerNames[[#This Row],[InParenthesesCleaned]], tblPassengerNames[[#This Row],[P_FinalSpacePos]] - 1)
)</f>
        <v>#VALUE!</v>
      </c>
      <c r="P582" t="str">
        <f>IFERROR(tblPassengerNames[[#This Row],[P_Forenames]], tblPassengerNames[[#This Row],[ConvForenames]])</f>
        <v>William Jeffery</v>
      </c>
      <c r="Q582" t="str">
        <f>MID(tblPassengerNames[[#This Row],[Name]], tblPassengerNames[[#This Row],[CommaPos]] + 2, tblPassengerNames[[#This Row],[DotPos]] - tblPassengerNames[[#This Row],[CommaPos]] - 1)</f>
        <v>Mr.</v>
      </c>
      <c r="R582" t="str">
        <f>LEFT(tblPassengerNames[[#This Row],[Name]], tblPassengerNames[[#This Row],[CommaPos]] - 1)</f>
        <v>Ware</v>
      </c>
    </row>
    <row r="583" spans="2:18" x14ac:dyDescent="0.25">
      <c r="B583" s="21">
        <v>581</v>
      </c>
      <c r="C583" s="21" t="s">
        <v>717</v>
      </c>
      <c r="D583" s="21" t="s">
        <v>136</v>
      </c>
      <c r="E583">
        <f>FIND(",", tblPassengerNames[[#This Row],[Name]])</f>
        <v>5</v>
      </c>
      <c r="F583">
        <f>FIND(".", tblPassengerNames[[#This Row],[Name]])</f>
        <v>10</v>
      </c>
      <c r="G583">
        <f>FIND("(", tblPassengerNames[[#This Row],[Name]])</f>
        <v>23</v>
      </c>
      <c r="H583">
        <f>FIND(")", tblPassengerNames[[#This Row],[Name]])</f>
        <v>44</v>
      </c>
      <c r="I583">
        <f>IFERROR(tblPassengerNames[[#This Row],[OpenParPos]] - 2, LEN(tblPassengerNames[[#This Row],[Name]]))</f>
        <v>21</v>
      </c>
      <c r="J583" t="str">
        <f>MID(tblPassengerNames[[#This Row],[Name]], tblPassengerNames[[#This Row],[DotPos]] + 2, tblPassengerNames[[#This Row],[EndOfConvFNPos]] - tblPassengerNames[[#This Row],[DotPos]] - 1)</f>
        <v>John James</v>
      </c>
      <c r="K583" t="str">
        <f>MID(tblPassengerNames[[#This Row],[Name]], tblPassengerNames[[#This Row],[OpenParPos]] + 1, tblPassengerNames[[#This Row],[CloseParPos]] - tblPassengerNames[[#This Row],[OpenParPos]] - 1)</f>
        <v>Florence Louise Long</v>
      </c>
      <c r="L583" t="str">
        <f>IF(AND(LEFT(tblPassengerNames[[#This Row],[InParentheses]], 1) = "'", RIGHT(tblPassengerNames[[#This Row],[InParentheses]], 1) = "'"),
    #VALUE!,
    tblPassengerNames[[#This Row],[InParentheses]]
)</f>
        <v>Florence Louise Long</v>
      </c>
      <c r="M583">
        <f>LEN(tblPassengerNames[[#This Row],[InParenthesesCleaned]]) - LEN(SUBSTITUTE(tblPassengerNames[[#This Row],[InParenthesesCleaned]], " ", ""))</f>
        <v>2</v>
      </c>
      <c r="N583">
        <f>FIND("@", SUBSTITUTE(tblPassengerNames[[#This Row],[InParenthesesCleaned]], " ", "@", tblPassengerNames[[#This Row],[P_NSpaces]]))</f>
        <v>16</v>
      </c>
      <c r="O583" t="str">
        <f>IF(tblPassengerNames[[#This Row],[P_NSpaces]] = 0,
    tblPassengerNames[[#This Row],[InParenthesesCleaned]],
    LEFT(tblPassengerNames[[#This Row],[InParenthesesCleaned]], tblPassengerNames[[#This Row],[P_FinalSpacePos]] - 1)
)</f>
        <v>Florence Louise</v>
      </c>
      <c r="P583" t="str">
        <f>IFERROR(tblPassengerNames[[#This Row],[P_Forenames]], tblPassengerNames[[#This Row],[ConvForenames]])</f>
        <v>Florence Louise</v>
      </c>
      <c r="Q583" t="str">
        <f>MID(tblPassengerNames[[#This Row],[Name]], tblPassengerNames[[#This Row],[CommaPos]] + 2, tblPassengerNames[[#This Row],[DotPos]] - tblPassengerNames[[#This Row],[CommaPos]] - 1)</f>
        <v>Mrs.</v>
      </c>
      <c r="R583" t="str">
        <f>LEFT(tblPassengerNames[[#This Row],[Name]], tblPassengerNames[[#This Row],[CommaPos]] - 1)</f>
        <v>Ware</v>
      </c>
    </row>
    <row r="584" spans="2:18" x14ac:dyDescent="0.25">
      <c r="B584" s="21">
        <v>582</v>
      </c>
      <c r="C584" s="21" t="s">
        <v>718</v>
      </c>
      <c r="D584" s="21" t="s">
        <v>138</v>
      </c>
      <c r="E584">
        <f>FIND(",", tblPassengerNames[[#This Row],[Name]])</f>
        <v>7</v>
      </c>
      <c r="F584">
        <f>FIND(".", tblPassengerNames[[#This Row],[Name]])</f>
        <v>11</v>
      </c>
      <c r="G584" t="e">
        <f>FIND("(", tblPassengerNames[[#This Row],[Name]])</f>
        <v>#VALUE!</v>
      </c>
      <c r="H584" t="e">
        <f>FIND(")", tblPassengerNames[[#This Row],[Name]])</f>
        <v>#VALUE!</v>
      </c>
      <c r="I584">
        <f>IFERROR(tblPassengerNames[[#This Row],[OpenParPos]] - 2, LEN(tblPassengerNames[[#This Row],[Name]]))</f>
        <v>26</v>
      </c>
      <c r="J584" t="str">
        <f>MID(tblPassengerNames[[#This Row],[Name]], tblPassengerNames[[#This Row],[DotPos]] + 2, tblPassengerNames[[#This Row],[EndOfConvFNPos]] - tblPassengerNames[[#This Row],[DotPos]] - 1)</f>
        <v>Ennis Hastings</v>
      </c>
      <c r="K584" t="e">
        <f>MID(tblPassengerNames[[#This Row],[Name]], tblPassengerNames[[#This Row],[OpenParPos]] + 1, tblPassengerNames[[#This Row],[CloseParPos]] - tblPassengerNames[[#This Row],[OpenParPos]] - 1)</f>
        <v>#VALUE!</v>
      </c>
      <c r="L584" t="e">
        <f>IF(AND(LEFT(tblPassengerNames[[#This Row],[InParentheses]], 1) = "'", RIGHT(tblPassengerNames[[#This Row],[InParentheses]], 1) = "'"),
    #VALUE!,
    tblPassengerNames[[#This Row],[InParentheses]]
)</f>
        <v>#VALUE!</v>
      </c>
      <c r="M584" t="e">
        <f>LEN(tblPassengerNames[[#This Row],[InParenthesesCleaned]]) - LEN(SUBSTITUTE(tblPassengerNames[[#This Row],[InParenthesesCleaned]], " ", ""))</f>
        <v>#VALUE!</v>
      </c>
      <c r="N584" t="e">
        <f>FIND("@", SUBSTITUTE(tblPassengerNames[[#This Row],[InParenthesesCleaned]], " ", "@", tblPassengerNames[[#This Row],[P_NSpaces]]))</f>
        <v>#VALUE!</v>
      </c>
      <c r="O584" t="e">
        <f>IF(tblPassengerNames[[#This Row],[P_NSpaces]] = 0,
    tblPassengerNames[[#This Row],[InParenthesesCleaned]],
    LEFT(tblPassengerNames[[#This Row],[InParenthesesCleaned]], tblPassengerNames[[#This Row],[P_FinalSpacePos]] - 1)
)</f>
        <v>#VALUE!</v>
      </c>
      <c r="P584" t="str">
        <f>IFERROR(tblPassengerNames[[#This Row],[P_Forenames]], tblPassengerNames[[#This Row],[ConvForenames]])</f>
        <v>Ennis Hastings</v>
      </c>
      <c r="Q584" t="str">
        <f>MID(tblPassengerNames[[#This Row],[Name]], tblPassengerNames[[#This Row],[CommaPos]] + 2, tblPassengerNames[[#This Row],[DotPos]] - tblPassengerNames[[#This Row],[CommaPos]] - 1)</f>
        <v>Mr.</v>
      </c>
      <c r="R584" t="str">
        <f>LEFT(tblPassengerNames[[#This Row],[Name]], tblPassengerNames[[#This Row],[CommaPos]] - 1)</f>
        <v>Watson</v>
      </c>
    </row>
    <row r="585" spans="2:18" x14ac:dyDescent="0.25">
      <c r="B585" s="21">
        <v>583</v>
      </c>
      <c r="C585" s="21" t="s">
        <v>719</v>
      </c>
      <c r="D585" s="21" t="s">
        <v>136</v>
      </c>
      <c r="E585">
        <f>FIND(",", tblPassengerNames[[#This Row],[Name]])</f>
        <v>5</v>
      </c>
      <c r="F585">
        <f>FIND(".", tblPassengerNames[[#This Row],[Name]])</f>
        <v>11</v>
      </c>
      <c r="G585" t="e">
        <f>FIND("(", tblPassengerNames[[#This Row],[Name]])</f>
        <v>#VALUE!</v>
      </c>
      <c r="H585" t="e">
        <f>FIND(")", tblPassengerNames[[#This Row],[Name]])</f>
        <v>#VALUE!</v>
      </c>
      <c r="I585">
        <f>IFERROR(tblPassengerNames[[#This Row],[OpenParPos]] - 2, LEN(tblPassengerNames[[#This Row],[Name]]))</f>
        <v>20</v>
      </c>
      <c r="J585" t="str">
        <f>MID(tblPassengerNames[[#This Row],[Name]], tblPassengerNames[[#This Row],[DotPos]] + 2, tblPassengerNames[[#This Row],[EndOfConvFNPos]] - tblPassengerNames[[#This Row],[DotPos]] - 1)</f>
        <v>Bertha J</v>
      </c>
      <c r="K585" t="e">
        <f>MID(tblPassengerNames[[#This Row],[Name]], tblPassengerNames[[#This Row],[OpenParPos]] + 1, tblPassengerNames[[#This Row],[CloseParPos]] - tblPassengerNames[[#This Row],[OpenParPos]] - 1)</f>
        <v>#VALUE!</v>
      </c>
      <c r="L585" t="e">
        <f>IF(AND(LEFT(tblPassengerNames[[#This Row],[InParentheses]], 1) = "'", RIGHT(tblPassengerNames[[#This Row],[InParentheses]], 1) = "'"),
    #VALUE!,
    tblPassengerNames[[#This Row],[InParentheses]]
)</f>
        <v>#VALUE!</v>
      </c>
      <c r="M585" t="e">
        <f>LEN(tblPassengerNames[[#This Row],[InParenthesesCleaned]]) - LEN(SUBSTITUTE(tblPassengerNames[[#This Row],[InParenthesesCleaned]], " ", ""))</f>
        <v>#VALUE!</v>
      </c>
      <c r="N585" t="e">
        <f>FIND("@", SUBSTITUTE(tblPassengerNames[[#This Row],[InParenthesesCleaned]], " ", "@", tblPassengerNames[[#This Row],[P_NSpaces]]))</f>
        <v>#VALUE!</v>
      </c>
      <c r="O585" t="e">
        <f>IF(tblPassengerNames[[#This Row],[P_NSpaces]] = 0,
    tblPassengerNames[[#This Row],[InParenthesesCleaned]],
    LEFT(tblPassengerNames[[#This Row],[InParenthesesCleaned]], tblPassengerNames[[#This Row],[P_FinalSpacePos]] - 1)
)</f>
        <v>#VALUE!</v>
      </c>
      <c r="P585" t="str">
        <f>IFERROR(tblPassengerNames[[#This Row],[P_Forenames]], tblPassengerNames[[#This Row],[ConvForenames]])</f>
        <v>Bertha J</v>
      </c>
      <c r="Q585" t="str">
        <f>MID(tblPassengerNames[[#This Row],[Name]], tblPassengerNames[[#This Row],[CommaPos]] + 2, tblPassengerNames[[#This Row],[DotPos]] - tblPassengerNames[[#This Row],[CommaPos]] - 1)</f>
        <v>Miss.</v>
      </c>
      <c r="R585" t="str">
        <f>LEFT(tblPassengerNames[[#This Row],[Name]], tblPassengerNames[[#This Row],[CommaPos]] - 1)</f>
        <v>Watt</v>
      </c>
    </row>
    <row r="586" spans="2:18" x14ac:dyDescent="0.25">
      <c r="B586" s="21">
        <v>584</v>
      </c>
      <c r="C586" s="21" t="s">
        <v>720</v>
      </c>
      <c r="D586" s="21" t="s">
        <v>136</v>
      </c>
      <c r="E586">
        <f>FIND(",", tblPassengerNames[[#This Row],[Name]])</f>
        <v>5</v>
      </c>
      <c r="F586">
        <f>FIND(".", tblPassengerNames[[#This Row],[Name]])</f>
        <v>10</v>
      </c>
      <c r="G586">
        <f>FIND("(", tblPassengerNames[[#This Row],[Name]])</f>
        <v>18</v>
      </c>
      <c r="H586">
        <f>FIND(")", tblPassengerNames[[#This Row],[Name]])</f>
        <v>50</v>
      </c>
      <c r="I586">
        <f>IFERROR(tblPassengerNames[[#This Row],[OpenParPos]] - 2, LEN(tblPassengerNames[[#This Row],[Name]]))</f>
        <v>16</v>
      </c>
      <c r="J586" t="str">
        <f>MID(tblPassengerNames[[#This Row],[Name]], tblPassengerNames[[#This Row],[DotPos]] + 2, tblPassengerNames[[#This Row],[EndOfConvFNPos]] - tblPassengerNames[[#This Row],[DotPos]] - 1)</f>
        <v>James</v>
      </c>
      <c r="K586" t="str">
        <f>MID(tblPassengerNames[[#This Row],[Name]], tblPassengerNames[[#This Row],[OpenParPos]] + 1, tblPassengerNames[[#This Row],[CloseParPos]] - tblPassengerNames[[#This Row],[OpenParPos]] - 1)</f>
        <v>Elizabeth 'Bessie' Inglis Milne</v>
      </c>
      <c r="L586" t="str">
        <f>IF(AND(LEFT(tblPassengerNames[[#This Row],[InParentheses]], 1) = "'", RIGHT(tblPassengerNames[[#This Row],[InParentheses]], 1) = "'"),
    #VALUE!,
    tblPassengerNames[[#This Row],[InParentheses]]
)</f>
        <v>Elizabeth 'Bessie' Inglis Milne</v>
      </c>
      <c r="M586">
        <f>LEN(tblPassengerNames[[#This Row],[InParenthesesCleaned]]) - LEN(SUBSTITUTE(tblPassengerNames[[#This Row],[InParenthesesCleaned]], " ", ""))</f>
        <v>3</v>
      </c>
      <c r="N586">
        <f>FIND("@", SUBSTITUTE(tblPassengerNames[[#This Row],[InParenthesesCleaned]], " ", "@", tblPassengerNames[[#This Row],[P_NSpaces]]))</f>
        <v>26</v>
      </c>
      <c r="O586" t="str">
        <f>IF(tblPassengerNames[[#This Row],[P_NSpaces]] = 0,
    tblPassengerNames[[#This Row],[InParenthesesCleaned]],
    LEFT(tblPassengerNames[[#This Row],[InParenthesesCleaned]], tblPassengerNames[[#This Row],[P_FinalSpacePos]] - 1)
)</f>
        <v>Elizabeth 'Bessie' Inglis</v>
      </c>
      <c r="P586" t="str">
        <f>IFERROR(tblPassengerNames[[#This Row],[P_Forenames]], tblPassengerNames[[#This Row],[ConvForenames]])</f>
        <v>Elizabeth 'Bessie' Inglis</v>
      </c>
      <c r="Q586" t="str">
        <f>MID(tblPassengerNames[[#This Row],[Name]], tblPassengerNames[[#This Row],[CommaPos]] + 2, tblPassengerNames[[#This Row],[DotPos]] - tblPassengerNames[[#This Row],[CommaPos]] - 1)</f>
        <v>Mrs.</v>
      </c>
      <c r="R586" t="str">
        <f>LEFT(tblPassengerNames[[#This Row],[Name]], tblPassengerNames[[#This Row],[CommaPos]] - 1)</f>
        <v>Watt</v>
      </c>
    </row>
    <row r="587" spans="2:18" x14ac:dyDescent="0.25">
      <c r="B587" s="21">
        <v>585</v>
      </c>
      <c r="C587" s="21" t="s">
        <v>721</v>
      </c>
      <c r="D587" s="21" t="s">
        <v>136</v>
      </c>
      <c r="E587">
        <f>FIND(",", tblPassengerNames[[#This Row],[Name]])</f>
        <v>7</v>
      </c>
      <c r="F587">
        <f>FIND(".", tblPassengerNames[[#This Row],[Name]])</f>
        <v>13</v>
      </c>
      <c r="G587" t="e">
        <f>FIND("(", tblPassengerNames[[#This Row],[Name]])</f>
        <v>#VALUE!</v>
      </c>
      <c r="H587" t="e">
        <f>FIND(")", tblPassengerNames[[#This Row],[Name]])</f>
        <v>#VALUE!</v>
      </c>
      <c r="I587">
        <f>IFERROR(tblPassengerNames[[#This Row],[OpenParPos]] - 2, LEN(tblPassengerNames[[#This Row],[Name]]))</f>
        <v>19</v>
      </c>
      <c r="J587" t="str">
        <f>MID(tblPassengerNames[[#This Row],[Name]], tblPassengerNames[[#This Row],[DotPos]] + 2, tblPassengerNames[[#This Row],[EndOfConvFNPos]] - tblPassengerNames[[#This Row],[DotPos]] - 1)</f>
        <v>Susan</v>
      </c>
      <c r="K587" t="e">
        <f>MID(tblPassengerNames[[#This Row],[Name]], tblPassengerNames[[#This Row],[OpenParPos]] + 1, tblPassengerNames[[#This Row],[CloseParPos]] - tblPassengerNames[[#This Row],[OpenParPos]] - 1)</f>
        <v>#VALUE!</v>
      </c>
      <c r="L587" t="e">
        <f>IF(AND(LEFT(tblPassengerNames[[#This Row],[InParentheses]], 1) = "'", RIGHT(tblPassengerNames[[#This Row],[InParentheses]], 1) = "'"),
    #VALUE!,
    tblPassengerNames[[#This Row],[InParentheses]]
)</f>
        <v>#VALUE!</v>
      </c>
      <c r="M587" t="e">
        <f>LEN(tblPassengerNames[[#This Row],[InParenthesesCleaned]]) - LEN(SUBSTITUTE(tblPassengerNames[[#This Row],[InParenthesesCleaned]], " ", ""))</f>
        <v>#VALUE!</v>
      </c>
      <c r="N587" t="e">
        <f>FIND("@", SUBSTITUTE(tblPassengerNames[[#This Row],[InParenthesesCleaned]], " ", "@", tblPassengerNames[[#This Row],[P_NSpaces]]))</f>
        <v>#VALUE!</v>
      </c>
      <c r="O587" t="e">
        <f>IF(tblPassengerNames[[#This Row],[P_NSpaces]] = 0,
    tblPassengerNames[[#This Row],[InParenthesesCleaned]],
    LEFT(tblPassengerNames[[#This Row],[InParenthesesCleaned]], tblPassengerNames[[#This Row],[P_FinalSpacePos]] - 1)
)</f>
        <v>#VALUE!</v>
      </c>
      <c r="P587" t="str">
        <f>IFERROR(tblPassengerNames[[#This Row],[P_Forenames]], tblPassengerNames[[#This Row],[ConvForenames]])</f>
        <v>Susan</v>
      </c>
      <c r="Q587" t="str">
        <f>MID(tblPassengerNames[[#This Row],[Name]], tblPassengerNames[[#This Row],[CommaPos]] + 2, tblPassengerNames[[#This Row],[DotPos]] - tblPassengerNames[[#This Row],[CommaPos]] - 1)</f>
        <v>Miss.</v>
      </c>
      <c r="R587" t="str">
        <f>LEFT(tblPassengerNames[[#This Row],[Name]], tblPassengerNames[[#This Row],[CommaPos]] - 1)</f>
        <v>Webber</v>
      </c>
    </row>
    <row r="588" spans="2:18" x14ac:dyDescent="0.25">
      <c r="B588" s="21">
        <v>586</v>
      </c>
      <c r="C588" s="21" t="s">
        <v>722</v>
      </c>
      <c r="D588" s="21" t="s">
        <v>138</v>
      </c>
      <c r="E588">
        <f>FIND(",", tblPassengerNames[[#This Row],[Name]])</f>
        <v>6</v>
      </c>
      <c r="F588">
        <f>FIND(".", tblPassengerNames[[#This Row],[Name]])</f>
        <v>10</v>
      </c>
      <c r="G588" t="e">
        <f>FIND("(", tblPassengerNames[[#This Row],[Name]])</f>
        <v>#VALUE!</v>
      </c>
      <c r="H588" t="e">
        <f>FIND(")", tblPassengerNames[[#This Row],[Name]])</f>
        <v>#VALUE!</v>
      </c>
      <c r="I588">
        <f>IFERROR(tblPassengerNames[[#This Row],[OpenParPos]] - 2, LEN(tblPassengerNames[[#This Row],[Name]]))</f>
        <v>18</v>
      </c>
      <c r="J588" t="str">
        <f>MID(tblPassengerNames[[#This Row],[Name]], tblPassengerNames[[#This Row],[DotPos]] + 2, tblPassengerNames[[#This Row],[EndOfConvFNPos]] - tblPassengerNames[[#This Row],[DotPos]] - 1)</f>
        <v>Leopold</v>
      </c>
      <c r="K588" t="e">
        <f>MID(tblPassengerNames[[#This Row],[Name]], tblPassengerNames[[#This Row],[OpenParPos]] + 1, tblPassengerNames[[#This Row],[CloseParPos]] - tblPassengerNames[[#This Row],[OpenParPos]] - 1)</f>
        <v>#VALUE!</v>
      </c>
      <c r="L588" t="e">
        <f>IF(AND(LEFT(tblPassengerNames[[#This Row],[InParentheses]], 1) = "'", RIGHT(tblPassengerNames[[#This Row],[InParentheses]], 1) = "'"),
    #VALUE!,
    tblPassengerNames[[#This Row],[InParentheses]]
)</f>
        <v>#VALUE!</v>
      </c>
      <c r="M588" t="e">
        <f>LEN(tblPassengerNames[[#This Row],[InParenthesesCleaned]]) - LEN(SUBSTITUTE(tblPassengerNames[[#This Row],[InParenthesesCleaned]], " ", ""))</f>
        <v>#VALUE!</v>
      </c>
      <c r="N588" t="e">
        <f>FIND("@", SUBSTITUTE(tblPassengerNames[[#This Row],[InParenthesesCleaned]], " ", "@", tblPassengerNames[[#This Row],[P_NSpaces]]))</f>
        <v>#VALUE!</v>
      </c>
      <c r="O588" t="e">
        <f>IF(tblPassengerNames[[#This Row],[P_NSpaces]] = 0,
    tblPassengerNames[[#This Row],[InParenthesesCleaned]],
    LEFT(tblPassengerNames[[#This Row],[InParenthesesCleaned]], tblPassengerNames[[#This Row],[P_FinalSpacePos]] - 1)
)</f>
        <v>#VALUE!</v>
      </c>
      <c r="P588" t="str">
        <f>IFERROR(tblPassengerNames[[#This Row],[P_Forenames]], tblPassengerNames[[#This Row],[ConvForenames]])</f>
        <v>Leopold</v>
      </c>
      <c r="Q588" t="str">
        <f>MID(tblPassengerNames[[#This Row],[Name]], tblPassengerNames[[#This Row],[CommaPos]] + 2, tblPassengerNames[[#This Row],[DotPos]] - tblPassengerNames[[#This Row],[CommaPos]] - 1)</f>
        <v>Mr.</v>
      </c>
      <c r="R588" t="str">
        <f>LEFT(tblPassengerNames[[#This Row],[Name]], tblPassengerNames[[#This Row],[CommaPos]] - 1)</f>
        <v>Weisz</v>
      </c>
    </row>
    <row r="589" spans="2:18" x14ac:dyDescent="0.25">
      <c r="B589" s="21">
        <v>587</v>
      </c>
      <c r="C589" s="21" t="s">
        <v>723</v>
      </c>
      <c r="D589" s="21" t="s">
        <v>136</v>
      </c>
      <c r="E589">
        <f>FIND(",", tblPassengerNames[[#This Row],[Name]])</f>
        <v>6</v>
      </c>
      <c r="F589">
        <f>FIND(".", tblPassengerNames[[#This Row],[Name]])</f>
        <v>11</v>
      </c>
      <c r="G589">
        <f>FIND("(", tblPassengerNames[[#This Row],[Name]])</f>
        <v>21</v>
      </c>
      <c r="H589">
        <f>FIND(")", tblPassengerNames[[#This Row],[Name]])</f>
        <v>45</v>
      </c>
      <c r="I589">
        <f>IFERROR(tblPassengerNames[[#This Row],[OpenParPos]] - 2, LEN(tblPassengerNames[[#This Row],[Name]]))</f>
        <v>19</v>
      </c>
      <c r="J589" t="str">
        <f>MID(tblPassengerNames[[#This Row],[Name]], tblPassengerNames[[#This Row],[DotPos]] + 2, tblPassengerNames[[#This Row],[EndOfConvFNPos]] - tblPassengerNames[[#This Row],[DotPos]] - 1)</f>
        <v>Leopold</v>
      </c>
      <c r="K589" t="str">
        <f>MID(tblPassengerNames[[#This Row],[Name]], tblPassengerNames[[#This Row],[OpenParPos]] + 1, tblPassengerNames[[#This Row],[CloseParPos]] - tblPassengerNames[[#This Row],[OpenParPos]] - 1)</f>
        <v>Mathilde Francoise Pede</v>
      </c>
      <c r="L589" t="str">
        <f>IF(AND(LEFT(tblPassengerNames[[#This Row],[InParentheses]], 1) = "'", RIGHT(tblPassengerNames[[#This Row],[InParentheses]], 1) = "'"),
    #VALUE!,
    tblPassengerNames[[#This Row],[InParentheses]]
)</f>
        <v>Mathilde Francoise Pede</v>
      </c>
      <c r="M589">
        <f>LEN(tblPassengerNames[[#This Row],[InParenthesesCleaned]]) - LEN(SUBSTITUTE(tblPassengerNames[[#This Row],[InParenthesesCleaned]], " ", ""))</f>
        <v>2</v>
      </c>
      <c r="N589">
        <f>FIND("@", SUBSTITUTE(tblPassengerNames[[#This Row],[InParenthesesCleaned]], " ", "@", tblPassengerNames[[#This Row],[P_NSpaces]]))</f>
        <v>19</v>
      </c>
      <c r="O589" t="str">
        <f>IF(tblPassengerNames[[#This Row],[P_NSpaces]] = 0,
    tblPassengerNames[[#This Row],[InParenthesesCleaned]],
    LEFT(tblPassengerNames[[#This Row],[InParenthesesCleaned]], tblPassengerNames[[#This Row],[P_FinalSpacePos]] - 1)
)</f>
        <v>Mathilde Francoise</v>
      </c>
      <c r="P589" t="str">
        <f>IFERROR(tblPassengerNames[[#This Row],[P_Forenames]], tblPassengerNames[[#This Row],[ConvForenames]])</f>
        <v>Mathilde Francoise</v>
      </c>
      <c r="Q589" t="str">
        <f>MID(tblPassengerNames[[#This Row],[Name]], tblPassengerNames[[#This Row],[CommaPos]] + 2, tblPassengerNames[[#This Row],[DotPos]] - tblPassengerNames[[#This Row],[CommaPos]] - 1)</f>
        <v>Mrs.</v>
      </c>
      <c r="R589" t="str">
        <f>LEFT(tblPassengerNames[[#This Row],[Name]], tblPassengerNames[[#This Row],[CommaPos]] - 1)</f>
        <v>Weisz</v>
      </c>
    </row>
    <row r="590" spans="2:18" x14ac:dyDescent="0.25">
      <c r="B590" s="21">
        <v>588</v>
      </c>
      <c r="C590" s="21" t="s">
        <v>724</v>
      </c>
      <c r="D590" s="21" t="s">
        <v>138</v>
      </c>
      <c r="E590">
        <f>FIND(",", tblPassengerNames[[#This Row],[Name]])</f>
        <v>6</v>
      </c>
      <c r="F590">
        <f>FIND(".", tblPassengerNames[[#This Row],[Name]])</f>
        <v>14</v>
      </c>
      <c r="G590" t="e">
        <f>FIND("(", tblPassengerNames[[#This Row],[Name]])</f>
        <v>#VALUE!</v>
      </c>
      <c r="H590" t="e">
        <f>FIND(")", tblPassengerNames[[#This Row],[Name]])</f>
        <v>#VALUE!</v>
      </c>
      <c r="I590">
        <f>IFERROR(tblPassengerNames[[#This Row],[OpenParPos]] - 2, LEN(tblPassengerNames[[#This Row],[Name]]))</f>
        <v>27</v>
      </c>
      <c r="J590" t="str">
        <f>MID(tblPassengerNames[[#This Row],[Name]], tblPassengerNames[[#This Row],[DotPos]] + 2, tblPassengerNames[[#This Row],[EndOfConvFNPos]] - tblPassengerNames[[#This Row],[DotPos]] - 1)</f>
        <v>Ralph Lester</v>
      </c>
      <c r="K590" t="e">
        <f>MID(tblPassengerNames[[#This Row],[Name]], tblPassengerNames[[#This Row],[OpenParPos]] + 1, tblPassengerNames[[#This Row],[CloseParPos]] - tblPassengerNames[[#This Row],[OpenParPos]] - 1)</f>
        <v>#VALUE!</v>
      </c>
      <c r="L590" t="e">
        <f>IF(AND(LEFT(tblPassengerNames[[#This Row],[InParentheses]], 1) = "'", RIGHT(tblPassengerNames[[#This Row],[InParentheses]], 1) = "'"),
    #VALUE!,
    tblPassengerNames[[#This Row],[InParentheses]]
)</f>
        <v>#VALUE!</v>
      </c>
      <c r="M590" t="e">
        <f>LEN(tblPassengerNames[[#This Row],[InParenthesesCleaned]]) - LEN(SUBSTITUTE(tblPassengerNames[[#This Row],[InParenthesesCleaned]], " ", ""))</f>
        <v>#VALUE!</v>
      </c>
      <c r="N590" t="e">
        <f>FIND("@", SUBSTITUTE(tblPassengerNames[[#This Row],[InParenthesesCleaned]], " ", "@", tblPassengerNames[[#This Row],[P_NSpaces]]))</f>
        <v>#VALUE!</v>
      </c>
      <c r="O590" t="e">
        <f>IF(tblPassengerNames[[#This Row],[P_NSpaces]] = 0,
    tblPassengerNames[[#This Row],[InParenthesesCleaned]],
    LEFT(tblPassengerNames[[#This Row],[InParenthesesCleaned]], tblPassengerNames[[#This Row],[P_FinalSpacePos]] - 1)
)</f>
        <v>#VALUE!</v>
      </c>
      <c r="P590" t="str">
        <f>IFERROR(tblPassengerNames[[#This Row],[P_Forenames]], tblPassengerNames[[#This Row],[ConvForenames]])</f>
        <v>Ralph Lester</v>
      </c>
      <c r="Q590" t="str">
        <f>MID(tblPassengerNames[[#This Row],[Name]], tblPassengerNames[[#This Row],[CommaPos]] + 2, tblPassengerNames[[#This Row],[DotPos]] - tblPassengerNames[[#This Row],[CommaPos]] - 1)</f>
        <v>Master.</v>
      </c>
      <c r="R590" t="str">
        <f>LEFT(tblPassengerNames[[#This Row],[Name]], tblPassengerNames[[#This Row],[CommaPos]] - 1)</f>
        <v>Wells</v>
      </c>
    </row>
    <row r="591" spans="2:18" x14ac:dyDescent="0.25">
      <c r="B591" s="21">
        <v>589</v>
      </c>
      <c r="C591" s="21" t="s">
        <v>725</v>
      </c>
      <c r="D591" s="21" t="s">
        <v>136</v>
      </c>
      <c r="E591">
        <f>FIND(",", tblPassengerNames[[#This Row],[Name]])</f>
        <v>6</v>
      </c>
      <c r="F591">
        <f>FIND(".", tblPassengerNames[[#This Row],[Name]])</f>
        <v>12</v>
      </c>
      <c r="G591" t="e">
        <f>FIND("(", tblPassengerNames[[#This Row],[Name]])</f>
        <v>#VALUE!</v>
      </c>
      <c r="H591" t="e">
        <f>FIND(")", tblPassengerNames[[#This Row],[Name]])</f>
        <v>#VALUE!</v>
      </c>
      <c r="I591">
        <f>IFERROR(tblPassengerNames[[#This Row],[OpenParPos]] - 2, LEN(tblPassengerNames[[#This Row],[Name]]))</f>
        <v>17</v>
      </c>
      <c r="J591" t="str">
        <f>MID(tblPassengerNames[[#This Row],[Name]], tblPassengerNames[[#This Row],[DotPos]] + 2, tblPassengerNames[[#This Row],[EndOfConvFNPos]] - tblPassengerNames[[#This Row],[DotPos]] - 1)</f>
        <v>Joan</v>
      </c>
      <c r="K591" t="e">
        <f>MID(tblPassengerNames[[#This Row],[Name]], tblPassengerNames[[#This Row],[OpenParPos]] + 1, tblPassengerNames[[#This Row],[CloseParPos]] - tblPassengerNames[[#This Row],[OpenParPos]] - 1)</f>
        <v>#VALUE!</v>
      </c>
      <c r="L591" t="e">
        <f>IF(AND(LEFT(tblPassengerNames[[#This Row],[InParentheses]], 1) = "'", RIGHT(tblPassengerNames[[#This Row],[InParentheses]], 1) = "'"),
    #VALUE!,
    tblPassengerNames[[#This Row],[InParentheses]]
)</f>
        <v>#VALUE!</v>
      </c>
      <c r="M591" t="e">
        <f>LEN(tblPassengerNames[[#This Row],[InParenthesesCleaned]]) - LEN(SUBSTITUTE(tblPassengerNames[[#This Row],[InParenthesesCleaned]], " ", ""))</f>
        <v>#VALUE!</v>
      </c>
      <c r="N591" t="e">
        <f>FIND("@", SUBSTITUTE(tblPassengerNames[[#This Row],[InParenthesesCleaned]], " ", "@", tblPassengerNames[[#This Row],[P_NSpaces]]))</f>
        <v>#VALUE!</v>
      </c>
      <c r="O591" t="e">
        <f>IF(tblPassengerNames[[#This Row],[P_NSpaces]] = 0,
    tblPassengerNames[[#This Row],[InParenthesesCleaned]],
    LEFT(tblPassengerNames[[#This Row],[InParenthesesCleaned]], tblPassengerNames[[#This Row],[P_FinalSpacePos]] - 1)
)</f>
        <v>#VALUE!</v>
      </c>
      <c r="P591" t="str">
        <f>IFERROR(tblPassengerNames[[#This Row],[P_Forenames]], tblPassengerNames[[#This Row],[ConvForenames]])</f>
        <v>Joan</v>
      </c>
      <c r="Q591" t="str">
        <f>MID(tblPassengerNames[[#This Row],[Name]], tblPassengerNames[[#This Row],[CommaPos]] + 2, tblPassengerNames[[#This Row],[DotPos]] - tblPassengerNames[[#This Row],[CommaPos]] - 1)</f>
        <v>Miss.</v>
      </c>
      <c r="R591" t="str">
        <f>LEFT(tblPassengerNames[[#This Row],[Name]], tblPassengerNames[[#This Row],[CommaPos]] - 1)</f>
        <v>Wells</v>
      </c>
    </row>
    <row r="592" spans="2:18" x14ac:dyDescent="0.25">
      <c r="B592" s="21">
        <v>590</v>
      </c>
      <c r="C592" s="21" t="s">
        <v>726</v>
      </c>
      <c r="D592" s="21" t="s">
        <v>136</v>
      </c>
      <c r="E592">
        <f>FIND(",", tblPassengerNames[[#This Row],[Name]])</f>
        <v>6</v>
      </c>
      <c r="F592">
        <f>FIND(".", tblPassengerNames[[#This Row],[Name]])</f>
        <v>11</v>
      </c>
      <c r="G592">
        <f>FIND("(", tblPassengerNames[[#This Row],[Name]])</f>
        <v>26</v>
      </c>
      <c r="H592">
        <f>FIND(")", tblPassengerNames[[#This Row],[Name]])</f>
        <v>49</v>
      </c>
      <c r="I592">
        <f>IFERROR(tblPassengerNames[[#This Row],[OpenParPos]] - 2, LEN(tblPassengerNames[[#This Row],[Name]]))</f>
        <v>24</v>
      </c>
      <c r="J592" t="str">
        <f>MID(tblPassengerNames[[#This Row],[Name]], tblPassengerNames[[#This Row],[DotPos]] + 2, tblPassengerNames[[#This Row],[EndOfConvFNPos]] - tblPassengerNames[[#This Row],[DotPos]] - 1)</f>
        <v>Arthur Henry</v>
      </c>
      <c r="K592" t="str">
        <f>MID(tblPassengerNames[[#This Row],[Name]], tblPassengerNames[[#This Row],[OpenParPos]] + 1, tblPassengerNames[[#This Row],[CloseParPos]] - tblPassengerNames[[#This Row],[OpenParPos]] - 1)</f>
        <v>'Addie' Dart Trevaskis</v>
      </c>
      <c r="L592" t="str">
        <f>IF(AND(LEFT(tblPassengerNames[[#This Row],[InParentheses]], 1) = "'", RIGHT(tblPassengerNames[[#This Row],[InParentheses]], 1) = "'"),
    #VALUE!,
    tblPassengerNames[[#This Row],[InParentheses]]
)</f>
        <v>'Addie' Dart Trevaskis</v>
      </c>
      <c r="M592">
        <f>LEN(tblPassengerNames[[#This Row],[InParenthesesCleaned]]) - LEN(SUBSTITUTE(tblPassengerNames[[#This Row],[InParenthesesCleaned]], " ", ""))</f>
        <v>2</v>
      </c>
      <c r="N592">
        <f>FIND("@", SUBSTITUTE(tblPassengerNames[[#This Row],[InParenthesesCleaned]], " ", "@", tblPassengerNames[[#This Row],[P_NSpaces]]))</f>
        <v>13</v>
      </c>
      <c r="O592" t="str">
        <f>IF(tblPassengerNames[[#This Row],[P_NSpaces]] = 0,
    tblPassengerNames[[#This Row],[InParenthesesCleaned]],
    LEFT(tblPassengerNames[[#This Row],[InParenthesesCleaned]], tblPassengerNames[[#This Row],[P_FinalSpacePos]] - 1)
)</f>
        <v>'Addie' Dart</v>
      </c>
      <c r="P592" t="str">
        <f>IFERROR(tblPassengerNames[[#This Row],[P_Forenames]], tblPassengerNames[[#This Row],[ConvForenames]])</f>
        <v>'Addie' Dart</v>
      </c>
      <c r="Q592" t="str">
        <f>MID(tblPassengerNames[[#This Row],[Name]], tblPassengerNames[[#This Row],[CommaPos]] + 2, tblPassengerNames[[#This Row],[DotPos]] - tblPassengerNames[[#This Row],[CommaPos]] - 1)</f>
        <v>Mrs.</v>
      </c>
      <c r="R592" t="str">
        <f>LEFT(tblPassengerNames[[#This Row],[Name]], tblPassengerNames[[#This Row],[CommaPos]] - 1)</f>
        <v>Wells</v>
      </c>
    </row>
    <row r="593" spans="2:18" x14ac:dyDescent="0.25">
      <c r="B593" s="21">
        <v>591</v>
      </c>
      <c r="C593" s="21" t="s">
        <v>727</v>
      </c>
      <c r="D593" s="21" t="s">
        <v>136</v>
      </c>
      <c r="E593">
        <f>FIND(",", tblPassengerNames[[#This Row],[Name]])</f>
        <v>5</v>
      </c>
      <c r="F593">
        <f>FIND(".", tblPassengerNames[[#This Row],[Name]])</f>
        <v>11</v>
      </c>
      <c r="G593" t="e">
        <f>FIND("(", tblPassengerNames[[#This Row],[Name]])</f>
        <v>#VALUE!</v>
      </c>
      <c r="H593" t="e">
        <f>FIND(")", tblPassengerNames[[#This Row],[Name]])</f>
        <v>#VALUE!</v>
      </c>
      <c r="I593">
        <f>IFERROR(tblPassengerNames[[#This Row],[OpenParPos]] - 2, LEN(tblPassengerNames[[#This Row],[Name]]))</f>
        <v>21</v>
      </c>
      <c r="J593" t="str">
        <f>MID(tblPassengerNames[[#This Row],[Name]], tblPassengerNames[[#This Row],[DotPos]] + 2, tblPassengerNames[[#This Row],[EndOfConvFNPos]] - tblPassengerNames[[#This Row],[DotPos]] - 1)</f>
        <v>Barbara J</v>
      </c>
      <c r="K593" t="e">
        <f>MID(tblPassengerNames[[#This Row],[Name]], tblPassengerNames[[#This Row],[OpenParPos]] + 1, tblPassengerNames[[#This Row],[CloseParPos]] - tblPassengerNames[[#This Row],[OpenParPos]] - 1)</f>
        <v>#VALUE!</v>
      </c>
      <c r="L593" t="e">
        <f>IF(AND(LEFT(tblPassengerNames[[#This Row],[InParentheses]], 1) = "'", RIGHT(tblPassengerNames[[#This Row],[InParentheses]], 1) = "'"),
    #VALUE!,
    tblPassengerNames[[#This Row],[InParentheses]]
)</f>
        <v>#VALUE!</v>
      </c>
      <c r="M593" t="e">
        <f>LEN(tblPassengerNames[[#This Row],[InParenthesesCleaned]]) - LEN(SUBSTITUTE(tblPassengerNames[[#This Row],[InParenthesesCleaned]], " ", ""))</f>
        <v>#VALUE!</v>
      </c>
      <c r="N593" t="e">
        <f>FIND("@", SUBSTITUTE(tblPassengerNames[[#This Row],[InParenthesesCleaned]], " ", "@", tblPassengerNames[[#This Row],[P_NSpaces]]))</f>
        <v>#VALUE!</v>
      </c>
      <c r="O593" t="e">
        <f>IF(tblPassengerNames[[#This Row],[P_NSpaces]] = 0,
    tblPassengerNames[[#This Row],[InParenthesesCleaned]],
    LEFT(tblPassengerNames[[#This Row],[InParenthesesCleaned]], tblPassengerNames[[#This Row],[P_FinalSpacePos]] - 1)
)</f>
        <v>#VALUE!</v>
      </c>
      <c r="P593" t="str">
        <f>IFERROR(tblPassengerNames[[#This Row],[P_Forenames]], tblPassengerNames[[#This Row],[ConvForenames]])</f>
        <v>Barbara J</v>
      </c>
      <c r="Q593" t="str">
        <f>MID(tblPassengerNames[[#This Row],[Name]], tblPassengerNames[[#This Row],[CommaPos]] + 2, tblPassengerNames[[#This Row],[DotPos]] - tblPassengerNames[[#This Row],[CommaPos]] - 1)</f>
        <v>Miss.</v>
      </c>
      <c r="R593" t="str">
        <f>LEFT(tblPassengerNames[[#This Row],[Name]], tblPassengerNames[[#This Row],[CommaPos]] - 1)</f>
        <v>West</v>
      </c>
    </row>
    <row r="594" spans="2:18" x14ac:dyDescent="0.25">
      <c r="B594" s="21">
        <v>592</v>
      </c>
      <c r="C594" s="21" t="s">
        <v>728</v>
      </c>
      <c r="D594" s="21" t="s">
        <v>136</v>
      </c>
      <c r="E594">
        <f>FIND(",", tblPassengerNames[[#This Row],[Name]])</f>
        <v>5</v>
      </c>
      <c r="F594">
        <f>FIND(".", tblPassengerNames[[#This Row],[Name]])</f>
        <v>11</v>
      </c>
      <c r="G594" t="e">
        <f>FIND("(", tblPassengerNames[[#This Row],[Name]])</f>
        <v>#VALUE!</v>
      </c>
      <c r="H594" t="e">
        <f>FIND(")", tblPassengerNames[[#This Row],[Name]])</f>
        <v>#VALUE!</v>
      </c>
      <c r="I594">
        <f>IFERROR(tblPassengerNames[[#This Row],[OpenParPos]] - 2, LEN(tblPassengerNames[[#This Row],[Name]]))</f>
        <v>28</v>
      </c>
      <c r="J594" t="str">
        <f>MID(tblPassengerNames[[#This Row],[Name]], tblPassengerNames[[#This Row],[DotPos]] + 2, tblPassengerNames[[#This Row],[EndOfConvFNPos]] - tblPassengerNames[[#This Row],[DotPos]] - 1)</f>
        <v>Constance Mirium</v>
      </c>
      <c r="K594" t="e">
        <f>MID(tblPassengerNames[[#This Row],[Name]], tblPassengerNames[[#This Row],[OpenParPos]] + 1, tblPassengerNames[[#This Row],[CloseParPos]] - tblPassengerNames[[#This Row],[OpenParPos]] - 1)</f>
        <v>#VALUE!</v>
      </c>
      <c r="L594" t="e">
        <f>IF(AND(LEFT(tblPassengerNames[[#This Row],[InParentheses]], 1) = "'", RIGHT(tblPassengerNames[[#This Row],[InParentheses]], 1) = "'"),
    #VALUE!,
    tblPassengerNames[[#This Row],[InParentheses]]
)</f>
        <v>#VALUE!</v>
      </c>
      <c r="M594" t="e">
        <f>LEN(tblPassengerNames[[#This Row],[InParenthesesCleaned]]) - LEN(SUBSTITUTE(tblPassengerNames[[#This Row],[InParenthesesCleaned]], " ", ""))</f>
        <v>#VALUE!</v>
      </c>
      <c r="N594" t="e">
        <f>FIND("@", SUBSTITUTE(tblPassengerNames[[#This Row],[InParenthesesCleaned]], " ", "@", tblPassengerNames[[#This Row],[P_NSpaces]]))</f>
        <v>#VALUE!</v>
      </c>
      <c r="O594" t="e">
        <f>IF(tblPassengerNames[[#This Row],[P_NSpaces]] = 0,
    tblPassengerNames[[#This Row],[InParenthesesCleaned]],
    LEFT(tblPassengerNames[[#This Row],[InParenthesesCleaned]], tblPassengerNames[[#This Row],[P_FinalSpacePos]] - 1)
)</f>
        <v>#VALUE!</v>
      </c>
      <c r="P594" t="str">
        <f>IFERROR(tblPassengerNames[[#This Row],[P_Forenames]], tblPassengerNames[[#This Row],[ConvForenames]])</f>
        <v>Constance Mirium</v>
      </c>
      <c r="Q594" t="str">
        <f>MID(tblPassengerNames[[#This Row],[Name]], tblPassengerNames[[#This Row],[CommaPos]] + 2, tblPassengerNames[[#This Row],[DotPos]] - tblPassengerNames[[#This Row],[CommaPos]] - 1)</f>
        <v>Miss.</v>
      </c>
      <c r="R594" t="str">
        <f>LEFT(tblPassengerNames[[#This Row],[Name]], tblPassengerNames[[#This Row],[CommaPos]] - 1)</f>
        <v>West</v>
      </c>
    </row>
    <row r="595" spans="2:18" x14ac:dyDescent="0.25">
      <c r="B595" s="21">
        <v>593</v>
      </c>
      <c r="C595" s="21" t="s">
        <v>729</v>
      </c>
      <c r="D595" s="21" t="s">
        <v>138</v>
      </c>
      <c r="E595">
        <f>FIND(",", tblPassengerNames[[#This Row],[Name]])</f>
        <v>5</v>
      </c>
      <c r="F595">
        <f>FIND(".", tblPassengerNames[[#This Row],[Name]])</f>
        <v>9</v>
      </c>
      <c r="G595" t="e">
        <f>FIND("(", tblPassengerNames[[#This Row],[Name]])</f>
        <v>#VALUE!</v>
      </c>
      <c r="H595" t="e">
        <f>FIND(")", tblPassengerNames[[#This Row],[Name]])</f>
        <v>#VALUE!</v>
      </c>
      <c r="I595">
        <f>IFERROR(tblPassengerNames[[#This Row],[OpenParPos]] - 2, LEN(tblPassengerNames[[#This Row],[Name]]))</f>
        <v>21</v>
      </c>
      <c r="J595" t="str">
        <f>MID(tblPassengerNames[[#This Row],[Name]], tblPassengerNames[[#This Row],[DotPos]] + 2, tblPassengerNames[[#This Row],[EndOfConvFNPos]] - tblPassengerNames[[#This Row],[DotPos]] - 1)</f>
        <v>Edwy Arthur</v>
      </c>
      <c r="K595" t="e">
        <f>MID(tblPassengerNames[[#This Row],[Name]], tblPassengerNames[[#This Row],[OpenParPos]] + 1, tblPassengerNames[[#This Row],[CloseParPos]] - tblPassengerNames[[#This Row],[OpenParPos]] - 1)</f>
        <v>#VALUE!</v>
      </c>
      <c r="L595" t="e">
        <f>IF(AND(LEFT(tblPassengerNames[[#This Row],[InParentheses]], 1) = "'", RIGHT(tblPassengerNames[[#This Row],[InParentheses]], 1) = "'"),
    #VALUE!,
    tblPassengerNames[[#This Row],[InParentheses]]
)</f>
        <v>#VALUE!</v>
      </c>
      <c r="M595" t="e">
        <f>LEN(tblPassengerNames[[#This Row],[InParenthesesCleaned]]) - LEN(SUBSTITUTE(tblPassengerNames[[#This Row],[InParenthesesCleaned]], " ", ""))</f>
        <v>#VALUE!</v>
      </c>
      <c r="N595" t="e">
        <f>FIND("@", SUBSTITUTE(tblPassengerNames[[#This Row],[InParenthesesCleaned]], " ", "@", tblPassengerNames[[#This Row],[P_NSpaces]]))</f>
        <v>#VALUE!</v>
      </c>
      <c r="O595" t="e">
        <f>IF(tblPassengerNames[[#This Row],[P_NSpaces]] = 0,
    tblPassengerNames[[#This Row],[InParenthesesCleaned]],
    LEFT(tblPassengerNames[[#This Row],[InParenthesesCleaned]], tblPassengerNames[[#This Row],[P_FinalSpacePos]] - 1)
)</f>
        <v>#VALUE!</v>
      </c>
      <c r="P595" t="str">
        <f>IFERROR(tblPassengerNames[[#This Row],[P_Forenames]], tblPassengerNames[[#This Row],[ConvForenames]])</f>
        <v>Edwy Arthur</v>
      </c>
      <c r="Q595" t="str">
        <f>MID(tblPassengerNames[[#This Row],[Name]], tblPassengerNames[[#This Row],[CommaPos]] + 2, tblPassengerNames[[#This Row],[DotPos]] - tblPassengerNames[[#This Row],[CommaPos]] - 1)</f>
        <v>Mr.</v>
      </c>
      <c r="R595" t="str">
        <f>LEFT(tblPassengerNames[[#This Row],[Name]], tblPassengerNames[[#This Row],[CommaPos]] - 1)</f>
        <v>West</v>
      </c>
    </row>
    <row r="596" spans="2:18" x14ac:dyDescent="0.25">
      <c r="B596" s="21">
        <v>594</v>
      </c>
      <c r="C596" s="21" t="s">
        <v>730</v>
      </c>
      <c r="D596" s="21" t="s">
        <v>136</v>
      </c>
      <c r="E596">
        <f>FIND(",", tblPassengerNames[[#This Row],[Name]])</f>
        <v>5</v>
      </c>
      <c r="F596">
        <f>FIND(".", tblPassengerNames[[#This Row],[Name]])</f>
        <v>10</v>
      </c>
      <c r="G596">
        <f>FIND("(", tblPassengerNames[[#This Row],[Name]])</f>
        <v>24</v>
      </c>
      <c r="H596">
        <f>FIND(")", tblPassengerNames[[#This Row],[Name]])</f>
        <v>39</v>
      </c>
      <c r="I596">
        <f>IFERROR(tblPassengerNames[[#This Row],[OpenParPos]] - 2, LEN(tblPassengerNames[[#This Row],[Name]]))</f>
        <v>22</v>
      </c>
      <c r="J596" t="str">
        <f>MID(tblPassengerNames[[#This Row],[Name]], tblPassengerNames[[#This Row],[DotPos]] + 2, tblPassengerNames[[#This Row],[EndOfConvFNPos]] - tblPassengerNames[[#This Row],[DotPos]] - 1)</f>
        <v>Edwy Arthur</v>
      </c>
      <c r="K596" t="str">
        <f>MID(tblPassengerNames[[#This Row],[Name]], tblPassengerNames[[#This Row],[OpenParPos]] + 1, tblPassengerNames[[#This Row],[CloseParPos]] - tblPassengerNames[[#This Row],[OpenParPos]] - 1)</f>
        <v>Ada Mary Worth</v>
      </c>
      <c r="L596" t="str">
        <f>IF(AND(LEFT(tblPassengerNames[[#This Row],[InParentheses]], 1) = "'", RIGHT(tblPassengerNames[[#This Row],[InParentheses]], 1) = "'"),
    #VALUE!,
    tblPassengerNames[[#This Row],[InParentheses]]
)</f>
        <v>Ada Mary Worth</v>
      </c>
      <c r="M596">
        <f>LEN(tblPassengerNames[[#This Row],[InParenthesesCleaned]]) - LEN(SUBSTITUTE(tblPassengerNames[[#This Row],[InParenthesesCleaned]], " ", ""))</f>
        <v>2</v>
      </c>
      <c r="N596">
        <f>FIND("@", SUBSTITUTE(tblPassengerNames[[#This Row],[InParenthesesCleaned]], " ", "@", tblPassengerNames[[#This Row],[P_NSpaces]]))</f>
        <v>9</v>
      </c>
      <c r="O596" t="str">
        <f>IF(tblPassengerNames[[#This Row],[P_NSpaces]] = 0,
    tblPassengerNames[[#This Row],[InParenthesesCleaned]],
    LEFT(tblPassengerNames[[#This Row],[InParenthesesCleaned]], tblPassengerNames[[#This Row],[P_FinalSpacePos]] - 1)
)</f>
        <v>Ada Mary</v>
      </c>
      <c r="P596" t="str">
        <f>IFERROR(tblPassengerNames[[#This Row],[P_Forenames]], tblPassengerNames[[#This Row],[ConvForenames]])</f>
        <v>Ada Mary</v>
      </c>
      <c r="Q596" t="str">
        <f>MID(tblPassengerNames[[#This Row],[Name]], tblPassengerNames[[#This Row],[CommaPos]] + 2, tblPassengerNames[[#This Row],[DotPos]] - tblPassengerNames[[#This Row],[CommaPos]] - 1)</f>
        <v>Mrs.</v>
      </c>
      <c r="R596" t="str">
        <f>LEFT(tblPassengerNames[[#This Row],[Name]], tblPassengerNames[[#This Row],[CommaPos]] - 1)</f>
        <v>West</v>
      </c>
    </row>
    <row r="597" spans="2:18" x14ac:dyDescent="0.25">
      <c r="B597" s="21">
        <v>595</v>
      </c>
      <c r="C597" s="21" t="s">
        <v>731</v>
      </c>
      <c r="D597" s="21" t="s">
        <v>138</v>
      </c>
      <c r="E597">
        <f>FIND(",", tblPassengerNames[[#This Row],[Name]])</f>
        <v>8</v>
      </c>
      <c r="F597">
        <f>FIND(".", tblPassengerNames[[#This Row],[Name]])</f>
        <v>12</v>
      </c>
      <c r="G597" t="e">
        <f>FIND("(", tblPassengerNames[[#This Row],[Name]])</f>
        <v>#VALUE!</v>
      </c>
      <c r="H597" t="e">
        <f>FIND(")", tblPassengerNames[[#This Row],[Name]])</f>
        <v>#VALUE!</v>
      </c>
      <c r="I597">
        <f>IFERROR(tblPassengerNames[[#This Row],[OpenParPos]] - 2, LEN(tblPassengerNames[[#This Row],[Name]]))</f>
        <v>21</v>
      </c>
      <c r="J597" t="str">
        <f>MID(tblPassengerNames[[#This Row],[Name]], tblPassengerNames[[#This Row],[DotPos]] + 2, tblPassengerNames[[#This Row],[EndOfConvFNPos]] - tblPassengerNames[[#This Row],[DotPos]] - 1)</f>
        <v>Edward H</v>
      </c>
      <c r="K597" t="e">
        <f>MID(tblPassengerNames[[#This Row],[Name]], tblPassengerNames[[#This Row],[OpenParPos]] + 1, tblPassengerNames[[#This Row],[CloseParPos]] - tblPassengerNames[[#This Row],[OpenParPos]] - 1)</f>
        <v>#VALUE!</v>
      </c>
      <c r="L597" t="e">
        <f>IF(AND(LEFT(tblPassengerNames[[#This Row],[InParentheses]], 1) = "'", RIGHT(tblPassengerNames[[#This Row],[InParentheses]], 1) = "'"),
    #VALUE!,
    tblPassengerNames[[#This Row],[InParentheses]]
)</f>
        <v>#VALUE!</v>
      </c>
      <c r="M597" t="e">
        <f>LEN(tblPassengerNames[[#This Row],[InParenthesesCleaned]]) - LEN(SUBSTITUTE(tblPassengerNames[[#This Row],[InParenthesesCleaned]], " ", ""))</f>
        <v>#VALUE!</v>
      </c>
      <c r="N597" t="e">
        <f>FIND("@", SUBSTITUTE(tblPassengerNames[[#This Row],[InParenthesesCleaned]], " ", "@", tblPassengerNames[[#This Row],[P_NSpaces]]))</f>
        <v>#VALUE!</v>
      </c>
      <c r="O597" t="e">
        <f>IF(tblPassengerNames[[#This Row],[P_NSpaces]] = 0,
    tblPassengerNames[[#This Row],[InParenthesesCleaned]],
    LEFT(tblPassengerNames[[#This Row],[InParenthesesCleaned]], tblPassengerNames[[#This Row],[P_FinalSpacePos]] - 1)
)</f>
        <v>#VALUE!</v>
      </c>
      <c r="P597" t="str">
        <f>IFERROR(tblPassengerNames[[#This Row],[P_Forenames]], tblPassengerNames[[#This Row],[ConvForenames]])</f>
        <v>Edward H</v>
      </c>
      <c r="Q597" t="str">
        <f>MID(tblPassengerNames[[#This Row],[Name]], tblPassengerNames[[#This Row],[CommaPos]] + 2, tblPassengerNames[[#This Row],[DotPos]] - tblPassengerNames[[#This Row],[CommaPos]] - 1)</f>
        <v>Mr.</v>
      </c>
      <c r="R597" t="str">
        <f>LEFT(tblPassengerNames[[#This Row],[Name]], tblPassengerNames[[#This Row],[CommaPos]] - 1)</f>
        <v>Wheadon</v>
      </c>
    </row>
    <row r="598" spans="2:18" x14ac:dyDescent="0.25">
      <c r="B598" s="21">
        <v>596</v>
      </c>
      <c r="C598" s="21" t="s">
        <v>732</v>
      </c>
      <c r="D598" s="21" t="s">
        <v>138</v>
      </c>
      <c r="E598">
        <f>FIND(",", tblPassengerNames[[#This Row],[Name]])</f>
        <v>8</v>
      </c>
      <c r="F598">
        <f>FIND(".", tblPassengerNames[[#This Row],[Name]])</f>
        <v>12</v>
      </c>
      <c r="G598" t="e">
        <f>FIND("(", tblPassengerNames[[#This Row],[Name]])</f>
        <v>#VALUE!</v>
      </c>
      <c r="H598" t="e">
        <f>FIND(")", tblPassengerNames[[#This Row],[Name]])</f>
        <v>#VALUE!</v>
      </c>
      <c r="I598">
        <f>IFERROR(tblPassengerNames[[#This Row],[OpenParPos]] - 2, LEN(tblPassengerNames[[#This Row],[Name]]))</f>
        <v>30</v>
      </c>
      <c r="J598" t="str">
        <f>MID(tblPassengerNames[[#This Row],[Name]], tblPassengerNames[[#This Row],[DotPos]] + 2, tblPassengerNames[[#This Row],[EndOfConvFNPos]] - tblPassengerNames[[#This Row],[DotPos]] - 1)</f>
        <v>Edwin 'Frederick'</v>
      </c>
      <c r="K598" t="e">
        <f>MID(tblPassengerNames[[#This Row],[Name]], tblPassengerNames[[#This Row],[OpenParPos]] + 1, tblPassengerNames[[#This Row],[CloseParPos]] - tblPassengerNames[[#This Row],[OpenParPos]] - 1)</f>
        <v>#VALUE!</v>
      </c>
      <c r="L598" t="e">
        <f>IF(AND(LEFT(tblPassengerNames[[#This Row],[InParentheses]], 1) = "'", RIGHT(tblPassengerNames[[#This Row],[InParentheses]], 1) = "'"),
    #VALUE!,
    tblPassengerNames[[#This Row],[InParentheses]]
)</f>
        <v>#VALUE!</v>
      </c>
      <c r="M598" t="e">
        <f>LEN(tblPassengerNames[[#This Row],[InParenthesesCleaned]]) - LEN(SUBSTITUTE(tblPassengerNames[[#This Row],[InParenthesesCleaned]], " ", ""))</f>
        <v>#VALUE!</v>
      </c>
      <c r="N598" t="e">
        <f>FIND("@", SUBSTITUTE(tblPassengerNames[[#This Row],[InParenthesesCleaned]], " ", "@", tblPassengerNames[[#This Row],[P_NSpaces]]))</f>
        <v>#VALUE!</v>
      </c>
      <c r="O598" t="e">
        <f>IF(tblPassengerNames[[#This Row],[P_NSpaces]] = 0,
    tblPassengerNames[[#This Row],[InParenthesesCleaned]],
    LEFT(tblPassengerNames[[#This Row],[InParenthesesCleaned]], tblPassengerNames[[#This Row],[P_FinalSpacePos]] - 1)
)</f>
        <v>#VALUE!</v>
      </c>
      <c r="P598" t="str">
        <f>IFERROR(tblPassengerNames[[#This Row],[P_Forenames]], tblPassengerNames[[#This Row],[ConvForenames]])</f>
        <v>Edwin 'Frederick'</v>
      </c>
      <c r="Q598" t="str">
        <f>MID(tblPassengerNames[[#This Row],[Name]], tblPassengerNames[[#This Row],[CommaPos]] + 2, tblPassengerNames[[#This Row],[DotPos]] - tblPassengerNames[[#This Row],[CommaPos]] - 1)</f>
        <v>Mr.</v>
      </c>
      <c r="R598" t="str">
        <f>LEFT(tblPassengerNames[[#This Row],[Name]], tblPassengerNames[[#This Row],[CommaPos]] - 1)</f>
        <v>Wheeler</v>
      </c>
    </row>
    <row r="599" spans="2:18" x14ac:dyDescent="0.25">
      <c r="B599" s="21">
        <v>597</v>
      </c>
      <c r="C599" s="21" t="s">
        <v>733</v>
      </c>
      <c r="D599" s="21" t="s">
        <v>138</v>
      </c>
      <c r="E599">
        <f>FIND(",", tblPassengerNames[[#This Row],[Name]])</f>
        <v>9</v>
      </c>
      <c r="F599">
        <f>FIND(".", tblPassengerNames[[#This Row],[Name]])</f>
        <v>13</v>
      </c>
      <c r="G599" t="e">
        <f>FIND("(", tblPassengerNames[[#This Row],[Name]])</f>
        <v>#VALUE!</v>
      </c>
      <c r="H599" t="e">
        <f>FIND(")", tblPassengerNames[[#This Row],[Name]])</f>
        <v>#VALUE!</v>
      </c>
      <c r="I599">
        <f>IFERROR(tblPassengerNames[[#This Row],[OpenParPos]] - 2, LEN(tblPassengerNames[[#This Row],[Name]]))</f>
        <v>21</v>
      </c>
      <c r="J599" t="str">
        <f>MID(tblPassengerNames[[#This Row],[Name]], tblPassengerNames[[#This Row],[DotPos]] + 2, tblPassengerNames[[#This Row],[EndOfConvFNPos]] - tblPassengerNames[[#This Row],[DotPos]] - 1)</f>
        <v>Charles</v>
      </c>
      <c r="K599" t="e">
        <f>MID(tblPassengerNames[[#This Row],[Name]], tblPassengerNames[[#This Row],[OpenParPos]] + 1, tblPassengerNames[[#This Row],[CloseParPos]] - tblPassengerNames[[#This Row],[OpenParPos]] - 1)</f>
        <v>#VALUE!</v>
      </c>
      <c r="L599" t="e">
        <f>IF(AND(LEFT(tblPassengerNames[[#This Row],[InParentheses]], 1) = "'", RIGHT(tblPassengerNames[[#This Row],[InParentheses]], 1) = "'"),
    #VALUE!,
    tblPassengerNames[[#This Row],[InParentheses]]
)</f>
        <v>#VALUE!</v>
      </c>
      <c r="M599" t="e">
        <f>LEN(tblPassengerNames[[#This Row],[InParenthesesCleaned]]) - LEN(SUBSTITUTE(tblPassengerNames[[#This Row],[InParenthesesCleaned]], " ", ""))</f>
        <v>#VALUE!</v>
      </c>
      <c r="N599" t="e">
        <f>FIND("@", SUBSTITUTE(tblPassengerNames[[#This Row],[InParenthesesCleaned]], " ", "@", tblPassengerNames[[#This Row],[P_NSpaces]]))</f>
        <v>#VALUE!</v>
      </c>
      <c r="O599" t="e">
        <f>IF(tblPassengerNames[[#This Row],[P_NSpaces]] = 0,
    tblPassengerNames[[#This Row],[InParenthesesCleaned]],
    LEFT(tblPassengerNames[[#This Row],[InParenthesesCleaned]], tblPassengerNames[[#This Row],[P_FinalSpacePos]] - 1)
)</f>
        <v>#VALUE!</v>
      </c>
      <c r="P599" t="str">
        <f>IFERROR(tblPassengerNames[[#This Row],[P_Forenames]], tblPassengerNames[[#This Row],[ConvForenames]])</f>
        <v>Charles</v>
      </c>
      <c r="Q599" t="str">
        <f>MID(tblPassengerNames[[#This Row],[Name]], tblPassengerNames[[#This Row],[CommaPos]] + 2, tblPassengerNames[[#This Row],[DotPos]] - tblPassengerNames[[#This Row],[CommaPos]] - 1)</f>
        <v>Mr.</v>
      </c>
      <c r="R599" t="str">
        <f>LEFT(tblPassengerNames[[#This Row],[Name]], tblPassengerNames[[#This Row],[CommaPos]] - 1)</f>
        <v>Wilhelms</v>
      </c>
    </row>
    <row r="600" spans="2:18" x14ac:dyDescent="0.25">
      <c r="B600" s="21">
        <v>598</v>
      </c>
      <c r="C600" s="21" t="s">
        <v>734</v>
      </c>
      <c r="D600" s="21" t="s">
        <v>138</v>
      </c>
      <c r="E600">
        <f>FIND(",", tblPassengerNames[[#This Row],[Name]])</f>
        <v>9</v>
      </c>
      <c r="F600">
        <f>FIND(".", tblPassengerNames[[#This Row],[Name]])</f>
        <v>13</v>
      </c>
      <c r="G600" t="e">
        <f>FIND("(", tblPassengerNames[[#This Row],[Name]])</f>
        <v>#VALUE!</v>
      </c>
      <c r="H600" t="e">
        <f>FIND(")", tblPassengerNames[[#This Row],[Name]])</f>
        <v>#VALUE!</v>
      </c>
      <c r="I600">
        <f>IFERROR(tblPassengerNames[[#This Row],[OpenParPos]] - 2, LEN(tblPassengerNames[[#This Row],[Name]]))</f>
        <v>28</v>
      </c>
      <c r="J600" t="str">
        <f>MID(tblPassengerNames[[#This Row],[Name]], tblPassengerNames[[#This Row],[DotPos]] + 2, tblPassengerNames[[#This Row],[EndOfConvFNPos]] - tblPassengerNames[[#This Row],[DotPos]] - 1)</f>
        <v>Charles Eugene</v>
      </c>
      <c r="K600" t="e">
        <f>MID(tblPassengerNames[[#This Row],[Name]], tblPassengerNames[[#This Row],[OpenParPos]] + 1, tblPassengerNames[[#This Row],[CloseParPos]] - tblPassengerNames[[#This Row],[OpenParPos]] - 1)</f>
        <v>#VALUE!</v>
      </c>
      <c r="L600" t="e">
        <f>IF(AND(LEFT(tblPassengerNames[[#This Row],[InParentheses]], 1) = "'", RIGHT(tblPassengerNames[[#This Row],[InParentheses]], 1) = "'"),
    #VALUE!,
    tblPassengerNames[[#This Row],[InParentheses]]
)</f>
        <v>#VALUE!</v>
      </c>
      <c r="M600" t="e">
        <f>LEN(tblPassengerNames[[#This Row],[InParenthesesCleaned]]) - LEN(SUBSTITUTE(tblPassengerNames[[#This Row],[InParenthesesCleaned]], " ", ""))</f>
        <v>#VALUE!</v>
      </c>
      <c r="N600" t="e">
        <f>FIND("@", SUBSTITUTE(tblPassengerNames[[#This Row],[InParenthesesCleaned]], " ", "@", tblPassengerNames[[#This Row],[P_NSpaces]]))</f>
        <v>#VALUE!</v>
      </c>
      <c r="O600" t="e">
        <f>IF(tblPassengerNames[[#This Row],[P_NSpaces]] = 0,
    tblPassengerNames[[#This Row],[InParenthesesCleaned]],
    LEFT(tblPassengerNames[[#This Row],[InParenthesesCleaned]], tblPassengerNames[[#This Row],[P_FinalSpacePos]] - 1)
)</f>
        <v>#VALUE!</v>
      </c>
      <c r="P600" t="str">
        <f>IFERROR(tblPassengerNames[[#This Row],[P_Forenames]], tblPassengerNames[[#This Row],[ConvForenames]])</f>
        <v>Charles Eugene</v>
      </c>
      <c r="Q600" t="str">
        <f>MID(tblPassengerNames[[#This Row],[Name]], tblPassengerNames[[#This Row],[CommaPos]] + 2, tblPassengerNames[[#This Row],[DotPos]] - tblPassengerNames[[#This Row],[CommaPos]] - 1)</f>
        <v>Mr.</v>
      </c>
      <c r="R600" t="str">
        <f>LEFT(tblPassengerNames[[#This Row],[Name]], tblPassengerNames[[#This Row],[CommaPos]] - 1)</f>
        <v>Williams</v>
      </c>
    </row>
    <row r="601" spans="2:18" x14ac:dyDescent="0.25">
      <c r="B601" s="21">
        <v>599</v>
      </c>
      <c r="C601" s="21" t="s">
        <v>735</v>
      </c>
      <c r="D601" s="21" t="s">
        <v>136</v>
      </c>
      <c r="E601">
        <f>FIND(",", tblPassengerNames[[#This Row],[Name]])</f>
        <v>7</v>
      </c>
      <c r="F601">
        <f>FIND(".", tblPassengerNames[[#This Row],[Name]])</f>
        <v>13</v>
      </c>
      <c r="G601" t="e">
        <f>FIND("(", tblPassengerNames[[#This Row],[Name]])</f>
        <v>#VALUE!</v>
      </c>
      <c r="H601" t="e">
        <f>FIND(")", tblPassengerNames[[#This Row],[Name]])</f>
        <v>#VALUE!</v>
      </c>
      <c r="I601">
        <f>IFERROR(tblPassengerNames[[#This Row],[OpenParPos]] - 2, LEN(tblPassengerNames[[#This Row],[Name]]))</f>
        <v>20</v>
      </c>
      <c r="J601" t="str">
        <f>MID(tblPassengerNames[[#This Row],[Name]], tblPassengerNames[[#This Row],[DotPos]] + 2, tblPassengerNames[[#This Row],[EndOfConvFNPos]] - tblPassengerNames[[#This Row],[DotPos]] - 1)</f>
        <v>Marion</v>
      </c>
      <c r="K601" t="e">
        <f>MID(tblPassengerNames[[#This Row],[Name]], tblPassengerNames[[#This Row],[OpenParPos]] + 1, tblPassengerNames[[#This Row],[CloseParPos]] - tblPassengerNames[[#This Row],[OpenParPos]] - 1)</f>
        <v>#VALUE!</v>
      </c>
      <c r="L601" t="e">
        <f>IF(AND(LEFT(tblPassengerNames[[#This Row],[InParentheses]], 1) = "'", RIGHT(tblPassengerNames[[#This Row],[InParentheses]], 1) = "'"),
    #VALUE!,
    tblPassengerNames[[#This Row],[InParentheses]]
)</f>
        <v>#VALUE!</v>
      </c>
      <c r="M601" t="e">
        <f>LEN(tblPassengerNames[[#This Row],[InParenthesesCleaned]]) - LEN(SUBSTITUTE(tblPassengerNames[[#This Row],[InParenthesesCleaned]], " ", ""))</f>
        <v>#VALUE!</v>
      </c>
      <c r="N601" t="e">
        <f>FIND("@", SUBSTITUTE(tblPassengerNames[[#This Row],[InParenthesesCleaned]], " ", "@", tblPassengerNames[[#This Row],[P_NSpaces]]))</f>
        <v>#VALUE!</v>
      </c>
      <c r="O601" t="e">
        <f>IF(tblPassengerNames[[#This Row],[P_NSpaces]] = 0,
    tblPassengerNames[[#This Row],[InParenthesesCleaned]],
    LEFT(tblPassengerNames[[#This Row],[InParenthesesCleaned]], tblPassengerNames[[#This Row],[P_FinalSpacePos]] - 1)
)</f>
        <v>#VALUE!</v>
      </c>
      <c r="P601" t="str">
        <f>IFERROR(tblPassengerNames[[#This Row],[P_Forenames]], tblPassengerNames[[#This Row],[ConvForenames]])</f>
        <v>Marion</v>
      </c>
      <c r="Q601" t="str">
        <f>MID(tblPassengerNames[[#This Row],[Name]], tblPassengerNames[[#This Row],[CommaPos]] + 2, tblPassengerNames[[#This Row],[DotPos]] - tblPassengerNames[[#This Row],[CommaPos]] - 1)</f>
        <v>Miss.</v>
      </c>
      <c r="R601" t="str">
        <f>LEFT(tblPassengerNames[[#This Row],[Name]], tblPassengerNames[[#This Row],[CommaPos]] - 1)</f>
        <v>Wright</v>
      </c>
    </row>
    <row r="602" spans="2:18" x14ac:dyDescent="0.25">
      <c r="B602" s="21">
        <v>600</v>
      </c>
      <c r="C602" s="21" t="s">
        <v>736</v>
      </c>
      <c r="D602" s="21" t="s">
        <v>136</v>
      </c>
      <c r="E602">
        <f>FIND(",", tblPassengerNames[[#This Row],[Name]])</f>
        <v>6</v>
      </c>
      <c r="F602">
        <f>FIND(".", tblPassengerNames[[#This Row],[Name]])</f>
        <v>12</v>
      </c>
      <c r="G602">
        <f>FIND("(", tblPassengerNames[[#This Row],[Name]])</f>
        <v>24</v>
      </c>
      <c r="H602">
        <f>FIND(")", tblPassengerNames[[#This Row],[Name]])</f>
        <v>38</v>
      </c>
      <c r="I602">
        <f>IFERROR(tblPassengerNames[[#This Row],[OpenParPos]] - 2, LEN(tblPassengerNames[[#This Row],[Name]]))</f>
        <v>22</v>
      </c>
      <c r="J602" t="str">
        <f>MID(tblPassengerNames[[#This Row],[Name]], tblPassengerNames[[#This Row],[DotPos]] + 2, tblPassengerNames[[#This Row],[EndOfConvFNPos]] - tblPassengerNames[[#This Row],[DotPos]] - 1)</f>
        <v>Henriette</v>
      </c>
      <c r="K602" t="str">
        <f>MID(tblPassengerNames[[#This Row],[Name]], tblPassengerNames[[#This Row],[OpenParPos]] + 1, tblPassengerNames[[#This Row],[CloseParPos]] - tblPassengerNames[[#This Row],[OpenParPos]] - 1)</f>
        <v>'Mrs Harbeck'</v>
      </c>
      <c r="L602" t="e">
        <f>IF(AND(LEFT(tblPassengerNames[[#This Row],[InParentheses]], 1) = "'", RIGHT(tblPassengerNames[[#This Row],[InParentheses]], 1) = "'"),
    #VALUE!,
    tblPassengerNames[[#This Row],[InParentheses]]
)</f>
        <v>#VALUE!</v>
      </c>
      <c r="M602" t="e">
        <f>LEN(tblPassengerNames[[#This Row],[InParenthesesCleaned]]) - LEN(SUBSTITUTE(tblPassengerNames[[#This Row],[InParenthesesCleaned]], " ", ""))</f>
        <v>#VALUE!</v>
      </c>
      <c r="N602" t="e">
        <f>FIND("@", SUBSTITUTE(tblPassengerNames[[#This Row],[InParenthesesCleaned]], " ", "@", tblPassengerNames[[#This Row],[P_NSpaces]]))</f>
        <v>#VALUE!</v>
      </c>
      <c r="O602" t="e">
        <f>IF(tblPassengerNames[[#This Row],[P_NSpaces]] = 0,
    tblPassengerNames[[#This Row],[InParenthesesCleaned]],
    LEFT(tblPassengerNames[[#This Row],[InParenthesesCleaned]], tblPassengerNames[[#This Row],[P_FinalSpacePos]] - 1)
)</f>
        <v>#VALUE!</v>
      </c>
      <c r="P602" t="str">
        <f>IFERROR(tblPassengerNames[[#This Row],[P_Forenames]], tblPassengerNames[[#This Row],[ConvForenames]])</f>
        <v>Henriette</v>
      </c>
      <c r="Q602" t="str">
        <f>MID(tblPassengerNames[[#This Row],[Name]], tblPassengerNames[[#This Row],[CommaPos]] + 2, tblPassengerNames[[#This Row],[DotPos]] - tblPassengerNames[[#This Row],[CommaPos]] - 1)</f>
        <v>Miss.</v>
      </c>
      <c r="R602" t="str">
        <f>LEFT(tblPassengerNames[[#This Row],[Name]], tblPassengerNames[[#This Row],[CommaPos]] - 1)</f>
        <v>Yrois</v>
      </c>
    </row>
    <row r="603" spans="2:18" x14ac:dyDescent="0.25">
      <c r="B603" s="21">
        <v>601</v>
      </c>
      <c r="C603" s="21" t="s">
        <v>737</v>
      </c>
      <c r="D603" s="21" t="s">
        <v>138</v>
      </c>
      <c r="E603">
        <f>FIND(",", tblPassengerNames[[#This Row],[Name]])</f>
        <v>7</v>
      </c>
      <c r="F603">
        <f>FIND(".", tblPassengerNames[[#This Row],[Name]])</f>
        <v>11</v>
      </c>
      <c r="G603" t="e">
        <f>FIND("(", tblPassengerNames[[#This Row],[Name]])</f>
        <v>#VALUE!</v>
      </c>
      <c r="H603" t="e">
        <f>FIND(")", tblPassengerNames[[#This Row],[Name]])</f>
        <v>#VALUE!</v>
      </c>
      <c r="I603">
        <f>IFERROR(tblPassengerNames[[#This Row],[OpenParPos]] - 2, LEN(tblPassengerNames[[#This Row],[Name]]))</f>
        <v>19</v>
      </c>
      <c r="J603" t="str">
        <f>MID(tblPassengerNames[[#This Row],[Name]], tblPassengerNames[[#This Row],[DotPos]] + 2, tblPassengerNames[[#This Row],[EndOfConvFNPos]] - tblPassengerNames[[#This Row],[DotPos]] - 1)</f>
        <v>Anthony</v>
      </c>
      <c r="K603" t="e">
        <f>MID(tblPassengerNames[[#This Row],[Name]], tblPassengerNames[[#This Row],[OpenParPos]] + 1, tblPassengerNames[[#This Row],[CloseParPos]] - tblPassengerNames[[#This Row],[OpenParPos]] - 1)</f>
        <v>#VALUE!</v>
      </c>
      <c r="L603" t="e">
        <f>IF(AND(LEFT(tblPassengerNames[[#This Row],[InParentheses]], 1) = "'", RIGHT(tblPassengerNames[[#This Row],[InParentheses]], 1) = "'"),
    #VALUE!,
    tblPassengerNames[[#This Row],[InParentheses]]
)</f>
        <v>#VALUE!</v>
      </c>
      <c r="M603" t="e">
        <f>LEN(tblPassengerNames[[#This Row],[InParenthesesCleaned]]) - LEN(SUBSTITUTE(tblPassengerNames[[#This Row],[InParenthesesCleaned]], " ", ""))</f>
        <v>#VALUE!</v>
      </c>
      <c r="N603" t="e">
        <f>FIND("@", SUBSTITUTE(tblPassengerNames[[#This Row],[InParenthesesCleaned]], " ", "@", tblPassengerNames[[#This Row],[P_NSpaces]]))</f>
        <v>#VALUE!</v>
      </c>
      <c r="O603" t="e">
        <f>IF(tblPassengerNames[[#This Row],[P_NSpaces]] = 0,
    tblPassengerNames[[#This Row],[InParenthesesCleaned]],
    LEFT(tblPassengerNames[[#This Row],[InParenthesesCleaned]], tblPassengerNames[[#This Row],[P_FinalSpacePos]] - 1)
)</f>
        <v>#VALUE!</v>
      </c>
      <c r="P603" t="str">
        <f>IFERROR(tblPassengerNames[[#This Row],[P_Forenames]], tblPassengerNames[[#This Row],[ConvForenames]])</f>
        <v>Anthony</v>
      </c>
      <c r="Q603" t="str">
        <f>MID(tblPassengerNames[[#This Row],[Name]], tblPassengerNames[[#This Row],[CommaPos]] + 2, tblPassengerNames[[#This Row],[DotPos]] - tblPassengerNames[[#This Row],[CommaPos]] - 1)</f>
        <v>Mr.</v>
      </c>
      <c r="R603" t="str">
        <f>LEFT(tblPassengerNames[[#This Row],[Name]], tblPassengerNames[[#This Row],[CommaPos]] - 1)</f>
        <v>Abbing</v>
      </c>
    </row>
    <row r="604" spans="2:18" x14ac:dyDescent="0.25">
      <c r="B604" s="21">
        <v>602</v>
      </c>
      <c r="C604" s="21" t="s">
        <v>738</v>
      </c>
      <c r="D604" s="21" t="s">
        <v>138</v>
      </c>
      <c r="E604">
        <f>FIND(",", tblPassengerNames[[#This Row],[Name]])</f>
        <v>7</v>
      </c>
      <c r="F604">
        <f>FIND(".", tblPassengerNames[[#This Row],[Name]])</f>
        <v>15</v>
      </c>
      <c r="G604" t="e">
        <f>FIND("(", tblPassengerNames[[#This Row],[Name]])</f>
        <v>#VALUE!</v>
      </c>
      <c r="H604" t="e">
        <f>FIND(")", tblPassengerNames[[#This Row],[Name]])</f>
        <v>#VALUE!</v>
      </c>
      <c r="I604">
        <f>IFERROR(tblPassengerNames[[#This Row],[OpenParPos]] - 2, LEN(tblPassengerNames[[#This Row],[Name]]))</f>
        <v>29</v>
      </c>
      <c r="J604" t="str">
        <f>MID(tblPassengerNames[[#This Row],[Name]], tblPassengerNames[[#This Row],[DotPos]] + 2, tblPassengerNames[[#This Row],[EndOfConvFNPos]] - tblPassengerNames[[#This Row],[DotPos]] - 1)</f>
        <v>Eugene Joseph</v>
      </c>
      <c r="K604" t="e">
        <f>MID(tblPassengerNames[[#This Row],[Name]], tblPassengerNames[[#This Row],[OpenParPos]] + 1, tblPassengerNames[[#This Row],[CloseParPos]] - tblPassengerNames[[#This Row],[OpenParPos]] - 1)</f>
        <v>#VALUE!</v>
      </c>
      <c r="L604" t="e">
        <f>IF(AND(LEFT(tblPassengerNames[[#This Row],[InParentheses]], 1) = "'", RIGHT(tblPassengerNames[[#This Row],[InParentheses]], 1) = "'"),
    #VALUE!,
    tblPassengerNames[[#This Row],[InParentheses]]
)</f>
        <v>#VALUE!</v>
      </c>
      <c r="M604" t="e">
        <f>LEN(tblPassengerNames[[#This Row],[InParenthesesCleaned]]) - LEN(SUBSTITUTE(tblPassengerNames[[#This Row],[InParenthesesCleaned]], " ", ""))</f>
        <v>#VALUE!</v>
      </c>
      <c r="N604" t="e">
        <f>FIND("@", SUBSTITUTE(tblPassengerNames[[#This Row],[InParenthesesCleaned]], " ", "@", tblPassengerNames[[#This Row],[P_NSpaces]]))</f>
        <v>#VALUE!</v>
      </c>
      <c r="O604" t="e">
        <f>IF(tblPassengerNames[[#This Row],[P_NSpaces]] = 0,
    tblPassengerNames[[#This Row],[InParenthesesCleaned]],
    LEFT(tblPassengerNames[[#This Row],[InParenthesesCleaned]], tblPassengerNames[[#This Row],[P_FinalSpacePos]] - 1)
)</f>
        <v>#VALUE!</v>
      </c>
      <c r="P604" t="str">
        <f>IFERROR(tblPassengerNames[[#This Row],[P_Forenames]], tblPassengerNames[[#This Row],[ConvForenames]])</f>
        <v>Eugene Joseph</v>
      </c>
      <c r="Q604" t="str">
        <f>MID(tblPassengerNames[[#This Row],[Name]], tblPassengerNames[[#This Row],[CommaPos]] + 2, tblPassengerNames[[#This Row],[DotPos]] - tblPassengerNames[[#This Row],[CommaPos]] - 1)</f>
        <v>Master.</v>
      </c>
      <c r="R604" t="str">
        <f>LEFT(tblPassengerNames[[#This Row],[Name]], tblPassengerNames[[#This Row],[CommaPos]] - 1)</f>
        <v>Abbott</v>
      </c>
    </row>
    <row r="605" spans="2:18" x14ac:dyDescent="0.25">
      <c r="B605" s="21">
        <v>603</v>
      </c>
      <c r="C605" s="21" t="s">
        <v>739</v>
      </c>
      <c r="D605" s="21" t="s">
        <v>138</v>
      </c>
      <c r="E605">
        <f>FIND(",", tblPassengerNames[[#This Row],[Name]])</f>
        <v>7</v>
      </c>
      <c r="F605">
        <f>FIND(".", tblPassengerNames[[#This Row],[Name]])</f>
        <v>11</v>
      </c>
      <c r="G605" t="e">
        <f>FIND("(", tblPassengerNames[[#This Row],[Name]])</f>
        <v>#VALUE!</v>
      </c>
      <c r="H605" t="e">
        <f>FIND(")", tblPassengerNames[[#This Row],[Name]])</f>
        <v>#VALUE!</v>
      </c>
      <c r="I605">
        <f>IFERROR(tblPassengerNames[[#This Row],[OpenParPos]] - 2, LEN(tblPassengerNames[[#This Row],[Name]]))</f>
        <v>27</v>
      </c>
      <c r="J605" t="str">
        <f>MID(tblPassengerNames[[#This Row],[Name]], tblPassengerNames[[#This Row],[DotPos]] + 2, tblPassengerNames[[#This Row],[EndOfConvFNPos]] - tblPassengerNames[[#This Row],[DotPos]] - 1)</f>
        <v>Rossmore Edward</v>
      </c>
      <c r="K605" t="e">
        <f>MID(tblPassengerNames[[#This Row],[Name]], tblPassengerNames[[#This Row],[OpenParPos]] + 1, tblPassengerNames[[#This Row],[CloseParPos]] - tblPassengerNames[[#This Row],[OpenParPos]] - 1)</f>
        <v>#VALUE!</v>
      </c>
      <c r="L605" t="e">
        <f>IF(AND(LEFT(tblPassengerNames[[#This Row],[InParentheses]], 1) = "'", RIGHT(tblPassengerNames[[#This Row],[InParentheses]], 1) = "'"),
    #VALUE!,
    tblPassengerNames[[#This Row],[InParentheses]]
)</f>
        <v>#VALUE!</v>
      </c>
      <c r="M605" t="e">
        <f>LEN(tblPassengerNames[[#This Row],[InParenthesesCleaned]]) - LEN(SUBSTITUTE(tblPassengerNames[[#This Row],[InParenthesesCleaned]], " ", ""))</f>
        <v>#VALUE!</v>
      </c>
      <c r="N605" t="e">
        <f>FIND("@", SUBSTITUTE(tblPassengerNames[[#This Row],[InParenthesesCleaned]], " ", "@", tblPassengerNames[[#This Row],[P_NSpaces]]))</f>
        <v>#VALUE!</v>
      </c>
      <c r="O605" t="e">
        <f>IF(tblPassengerNames[[#This Row],[P_NSpaces]] = 0,
    tblPassengerNames[[#This Row],[InParenthesesCleaned]],
    LEFT(tblPassengerNames[[#This Row],[InParenthesesCleaned]], tblPassengerNames[[#This Row],[P_FinalSpacePos]] - 1)
)</f>
        <v>#VALUE!</v>
      </c>
      <c r="P605" t="str">
        <f>IFERROR(tblPassengerNames[[#This Row],[P_Forenames]], tblPassengerNames[[#This Row],[ConvForenames]])</f>
        <v>Rossmore Edward</v>
      </c>
      <c r="Q605" t="str">
        <f>MID(tblPassengerNames[[#This Row],[Name]], tblPassengerNames[[#This Row],[CommaPos]] + 2, tblPassengerNames[[#This Row],[DotPos]] - tblPassengerNames[[#This Row],[CommaPos]] - 1)</f>
        <v>Mr.</v>
      </c>
      <c r="R605" t="str">
        <f>LEFT(tblPassengerNames[[#This Row],[Name]], tblPassengerNames[[#This Row],[CommaPos]] - 1)</f>
        <v>Abbott</v>
      </c>
    </row>
    <row r="606" spans="2:18" x14ac:dyDescent="0.25">
      <c r="B606" s="21">
        <v>604</v>
      </c>
      <c r="C606" s="21" t="s">
        <v>740</v>
      </c>
      <c r="D606" s="21" t="s">
        <v>136</v>
      </c>
      <c r="E606">
        <f>FIND(",", tblPassengerNames[[#This Row],[Name]])</f>
        <v>7</v>
      </c>
      <c r="F606">
        <f>FIND(".", tblPassengerNames[[#This Row],[Name]])</f>
        <v>12</v>
      </c>
      <c r="G606">
        <f>FIND("(", tblPassengerNames[[#This Row],[Name]])</f>
        <v>22</v>
      </c>
      <c r="H606">
        <f>FIND(")", tblPassengerNames[[#This Row],[Name]])</f>
        <v>32</v>
      </c>
      <c r="I606">
        <f>IFERROR(tblPassengerNames[[#This Row],[OpenParPos]] - 2, LEN(tblPassengerNames[[#This Row],[Name]]))</f>
        <v>20</v>
      </c>
      <c r="J606" t="str">
        <f>MID(tblPassengerNames[[#This Row],[Name]], tblPassengerNames[[#This Row],[DotPos]] + 2, tblPassengerNames[[#This Row],[EndOfConvFNPos]] - tblPassengerNames[[#This Row],[DotPos]] - 1)</f>
        <v>Stanton</v>
      </c>
      <c r="K606" t="str">
        <f>MID(tblPassengerNames[[#This Row],[Name]], tblPassengerNames[[#This Row],[OpenParPos]] + 1, tblPassengerNames[[#This Row],[CloseParPos]] - tblPassengerNames[[#This Row],[OpenParPos]] - 1)</f>
        <v>Rosa Hunt</v>
      </c>
      <c r="L606" t="str">
        <f>IF(AND(LEFT(tblPassengerNames[[#This Row],[InParentheses]], 1) = "'", RIGHT(tblPassengerNames[[#This Row],[InParentheses]], 1) = "'"),
    #VALUE!,
    tblPassengerNames[[#This Row],[InParentheses]]
)</f>
        <v>Rosa Hunt</v>
      </c>
      <c r="M606">
        <f>LEN(tblPassengerNames[[#This Row],[InParenthesesCleaned]]) - LEN(SUBSTITUTE(tblPassengerNames[[#This Row],[InParenthesesCleaned]], " ", ""))</f>
        <v>1</v>
      </c>
      <c r="N606">
        <f>FIND("@", SUBSTITUTE(tblPassengerNames[[#This Row],[InParenthesesCleaned]], " ", "@", tblPassengerNames[[#This Row],[P_NSpaces]]))</f>
        <v>5</v>
      </c>
      <c r="O606" t="str">
        <f>IF(tblPassengerNames[[#This Row],[P_NSpaces]] = 0,
    tblPassengerNames[[#This Row],[InParenthesesCleaned]],
    LEFT(tblPassengerNames[[#This Row],[InParenthesesCleaned]], tblPassengerNames[[#This Row],[P_FinalSpacePos]] - 1)
)</f>
        <v>Rosa</v>
      </c>
      <c r="P606" t="str">
        <f>IFERROR(tblPassengerNames[[#This Row],[P_Forenames]], tblPassengerNames[[#This Row],[ConvForenames]])</f>
        <v>Rosa</v>
      </c>
      <c r="Q606" t="str">
        <f>MID(tblPassengerNames[[#This Row],[Name]], tblPassengerNames[[#This Row],[CommaPos]] + 2, tblPassengerNames[[#This Row],[DotPos]] - tblPassengerNames[[#This Row],[CommaPos]] - 1)</f>
        <v>Mrs.</v>
      </c>
      <c r="R606" t="str">
        <f>LEFT(tblPassengerNames[[#This Row],[Name]], tblPassengerNames[[#This Row],[CommaPos]] - 1)</f>
        <v>Abbott</v>
      </c>
    </row>
    <row r="607" spans="2:18" x14ac:dyDescent="0.25">
      <c r="B607" s="21">
        <v>605</v>
      </c>
      <c r="C607" s="21" t="s">
        <v>741</v>
      </c>
      <c r="D607" s="21" t="s">
        <v>136</v>
      </c>
      <c r="E607">
        <f>FIND(",", tblPassengerNames[[#This Row],[Name]])</f>
        <v>9</v>
      </c>
      <c r="F607">
        <f>FIND(".", tblPassengerNames[[#This Row],[Name]])</f>
        <v>15</v>
      </c>
      <c r="G607" t="e">
        <f>FIND("(", tblPassengerNames[[#This Row],[Name]])</f>
        <v>#VALUE!</v>
      </c>
      <c r="H607" t="e">
        <f>FIND(")", tblPassengerNames[[#This Row],[Name]])</f>
        <v>#VALUE!</v>
      </c>
      <c r="I607">
        <f>IFERROR(tblPassengerNames[[#This Row],[OpenParPos]] - 2, LEN(tblPassengerNames[[#This Row],[Name]]))</f>
        <v>27</v>
      </c>
      <c r="J607" t="str">
        <f>MID(tblPassengerNames[[#This Row],[Name]], tblPassengerNames[[#This Row],[DotPos]] + 2, tblPassengerNames[[#This Row],[EndOfConvFNPos]] - tblPassengerNames[[#This Row],[DotPos]] - 1)</f>
        <v>Karen Marie</v>
      </c>
      <c r="K607" t="e">
        <f>MID(tblPassengerNames[[#This Row],[Name]], tblPassengerNames[[#This Row],[OpenParPos]] + 1, tblPassengerNames[[#This Row],[CloseParPos]] - tblPassengerNames[[#This Row],[OpenParPos]] - 1)</f>
        <v>#VALUE!</v>
      </c>
      <c r="L607" t="e">
        <f>IF(AND(LEFT(tblPassengerNames[[#This Row],[InParentheses]], 1) = "'", RIGHT(tblPassengerNames[[#This Row],[InParentheses]], 1) = "'"),
    #VALUE!,
    tblPassengerNames[[#This Row],[InParentheses]]
)</f>
        <v>#VALUE!</v>
      </c>
      <c r="M607" t="e">
        <f>LEN(tblPassengerNames[[#This Row],[InParenthesesCleaned]]) - LEN(SUBSTITUTE(tblPassengerNames[[#This Row],[InParenthesesCleaned]], " ", ""))</f>
        <v>#VALUE!</v>
      </c>
      <c r="N607" t="e">
        <f>FIND("@", SUBSTITUTE(tblPassengerNames[[#This Row],[InParenthesesCleaned]], " ", "@", tblPassengerNames[[#This Row],[P_NSpaces]]))</f>
        <v>#VALUE!</v>
      </c>
      <c r="O607" t="e">
        <f>IF(tblPassengerNames[[#This Row],[P_NSpaces]] = 0,
    tblPassengerNames[[#This Row],[InParenthesesCleaned]],
    LEFT(tblPassengerNames[[#This Row],[InParenthesesCleaned]], tblPassengerNames[[#This Row],[P_FinalSpacePos]] - 1)
)</f>
        <v>#VALUE!</v>
      </c>
      <c r="P607" t="str">
        <f>IFERROR(tblPassengerNames[[#This Row],[P_Forenames]], tblPassengerNames[[#This Row],[ConvForenames]])</f>
        <v>Karen Marie</v>
      </c>
      <c r="Q607" t="str">
        <f>MID(tblPassengerNames[[#This Row],[Name]], tblPassengerNames[[#This Row],[CommaPos]] + 2, tblPassengerNames[[#This Row],[DotPos]] - tblPassengerNames[[#This Row],[CommaPos]] - 1)</f>
        <v>Miss.</v>
      </c>
      <c r="R607" t="str">
        <f>LEFT(tblPassengerNames[[#This Row],[Name]], tblPassengerNames[[#This Row],[CommaPos]] - 1)</f>
        <v>Abelseth</v>
      </c>
    </row>
    <row r="608" spans="2:18" x14ac:dyDescent="0.25">
      <c r="B608" s="21">
        <v>606</v>
      </c>
      <c r="C608" s="21" t="s">
        <v>742</v>
      </c>
      <c r="D608" s="21" t="s">
        <v>138</v>
      </c>
      <c r="E608">
        <f>FIND(",", tblPassengerNames[[#This Row],[Name]])</f>
        <v>9</v>
      </c>
      <c r="F608">
        <f>FIND(".", tblPassengerNames[[#This Row],[Name]])</f>
        <v>13</v>
      </c>
      <c r="G608" t="e">
        <f>FIND("(", tblPassengerNames[[#This Row],[Name]])</f>
        <v>#VALUE!</v>
      </c>
      <c r="H608" t="e">
        <f>FIND(")", tblPassengerNames[[#This Row],[Name]])</f>
        <v>#VALUE!</v>
      </c>
      <c r="I608">
        <f>IFERROR(tblPassengerNames[[#This Row],[OpenParPos]] - 2, LEN(tblPassengerNames[[#This Row],[Name]]))</f>
        <v>29</v>
      </c>
      <c r="J608" t="str">
        <f>MID(tblPassengerNames[[#This Row],[Name]], tblPassengerNames[[#This Row],[DotPos]] + 2, tblPassengerNames[[#This Row],[EndOfConvFNPos]] - tblPassengerNames[[#This Row],[DotPos]] - 1)</f>
        <v>Olaus Jorgensen</v>
      </c>
      <c r="K608" t="e">
        <f>MID(tblPassengerNames[[#This Row],[Name]], tblPassengerNames[[#This Row],[OpenParPos]] + 1, tblPassengerNames[[#This Row],[CloseParPos]] - tblPassengerNames[[#This Row],[OpenParPos]] - 1)</f>
        <v>#VALUE!</v>
      </c>
      <c r="L608" t="e">
        <f>IF(AND(LEFT(tblPassengerNames[[#This Row],[InParentheses]], 1) = "'", RIGHT(tblPassengerNames[[#This Row],[InParentheses]], 1) = "'"),
    #VALUE!,
    tblPassengerNames[[#This Row],[InParentheses]]
)</f>
        <v>#VALUE!</v>
      </c>
      <c r="M608" t="e">
        <f>LEN(tblPassengerNames[[#This Row],[InParenthesesCleaned]]) - LEN(SUBSTITUTE(tblPassengerNames[[#This Row],[InParenthesesCleaned]], " ", ""))</f>
        <v>#VALUE!</v>
      </c>
      <c r="N608" t="e">
        <f>FIND("@", SUBSTITUTE(tblPassengerNames[[#This Row],[InParenthesesCleaned]], " ", "@", tblPassengerNames[[#This Row],[P_NSpaces]]))</f>
        <v>#VALUE!</v>
      </c>
      <c r="O608" t="e">
        <f>IF(tblPassengerNames[[#This Row],[P_NSpaces]] = 0,
    tblPassengerNames[[#This Row],[InParenthesesCleaned]],
    LEFT(tblPassengerNames[[#This Row],[InParenthesesCleaned]], tblPassengerNames[[#This Row],[P_FinalSpacePos]] - 1)
)</f>
        <v>#VALUE!</v>
      </c>
      <c r="P608" t="str">
        <f>IFERROR(tblPassengerNames[[#This Row],[P_Forenames]], tblPassengerNames[[#This Row],[ConvForenames]])</f>
        <v>Olaus Jorgensen</v>
      </c>
      <c r="Q608" t="str">
        <f>MID(tblPassengerNames[[#This Row],[Name]], tblPassengerNames[[#This Row],[CommaPos]] + 2, tblPassengerNames[[#This Row],[DotPos]] - tblPassengerNames[[#This Row],[CommaPos]] - 1)</f>
        <v>Mr.</v>
      </c>
      <c r="R608" t="str">
        <f>LEFT(tblPassengerNames[[#This Row],[Name]], tblPassengerNames[[#This Row],[CommaPos]] - 1)</f>
        <v>Abelseth</v>
      </c>
    </row>
    <row r="609" spans="2:18" x14ac:dyDescent="0.25">
      <c r="B609" s="21">
        <v>607</v>
      </c>
      <c r="C609" s="21" t="s">
        <v>743</v>
      </c>
      <c r="D609" s="21" t="s">
        <v>138</v>
      </c>
      <c r="E609">
        <f>FIND(",", tblPassengerNames[[#This Row],[Name]])</f>
        <v>12</v>
      </c>
      <c r="F609">
        <f>FIND(".", tblPassengerNames[[#This Row],[Name]])</f>
        <v>16</v>
      </c>
      <c r="G609" t="e">
        <f>FIND("(", tblPassengerNames[[#This Row],[Name]])</f>
        <v>#VALUE!</v>
      </c>
      <c r="H609" t="e">
        <f>FIND(")", tblPassengerNames[[#This Row],[Name]])</f>
        <v>#VALUE!</v>
      </c>
      <c r="I609">
        <f>IFERROR(tblPassengerNames[[#This Row],[OpenParPos]] - 2, LEN(tblPassengerNames[[#This Row],[Name]]))</f>
        <v>40</v>
      </c>
      <c r="J609" t="str">
        <f>MID(tblPassengerNames[[#This Row],[Name]], tblPassengerNames[[#This Row],[DotPos]] + 2, tblPassengerNames[[#This Row],[EndOfConvFNPos]] - tblPassengerNames[[#This Row],[DotPos]] - 1)</f>
        <v>Abraham August Johannes</v>
      </c>
      <c r="K609" t="e">
        <f>MID(tblPassengerNames[[#This Row],[Name]], tblPassengerNames[[#This Row],[OpenParPos]] + 1, tblPassengerNames[[#This Row],[CloseParPos]] - tblPassengerNames[[#This Row],[OpenParPos]] - 1)</f>
        <v>#VALUE!</v>
      </c>
      <c r="L609" t="e">
        <f>IF(AND(LEFT(tblPassengerNames[[#This Row],[InParentheses]], 1) = "'", RIGHT(tblPassengerNames[[#This Row],[InParentheses]], 1) = "'"),
    #VALUE!,
    tblPassengerNames[[#This Row],[InParentheses]]
)</f>
        <v>#VALUE!</v>
      </c>
      <c r="M609" t="e">
        <f>LEN(tblPassengerNames[[#This Row],[InParenthesesCleaned]]) - LEN(SUBSTITUTE(tblPassengerNames[[#This Row],[InParenthesesCleaned]], " ", ""))</f>
        <v>#VALUE!</v>
      </c>
      <c r="N609" t="e">
        <f>FIND("@", SUBSTITUTE(tblPassengerNames[[#This Row],[InParenthesesCleaned]], " ", "@", tblPassengerNames[[#This Row],[P_NSpaces]]))</f>
        <v>#VALUE!</v>
      </c>
      <c r="O609" t="e">
        <f>IF(tblPassengerNames[[#This Row],[P_NSpaces]] = 0,
    tblPassengerNames[[#This Row],[InParenthesesCleaned]],
    LEFT(tblPassengerNames[[#This Row],[InParenthesesCleaned]], tblPassengerNames[[#This Row],[P_FinalSpacePos]] - 1)
)</f>
        <v>#VALUE!</v>
      </c>
      <c r="P609" t="str">
        <f>IFERROR(tblPassengerNames[[#This Row],[P_Forenames]], tblPassengerNames[[#This Row],[ConvForenames]])</f>
        <v>Abraham August Johannes</v>
      </c>
      <c r="Q609" t="str">
        <f>MID(tblPassengerNames[[#This Row],[Name]], tblPassengerNames[[#This Row],[CommaPos]] + 2, tblPassengerNames[[#This Row],[DotPos]] - tblPassengerNames[[#This Row],[CommaPos]] - 1)</f>
        <v>Mr.</v>
      </c>
      <c r="R609" t="str">
        <f>LEFT(tblPassengerNames[[#This Row],[Name]], tblPassengerNames[[#This Row],[CommaPos]] - 1)</f>
        <v>Abrahamsson</v>
      </c>
    </row>
    <row r="610" spans="2:18" x14ac:dyDescent="0.25">
      <c r="B610" s="21">
        <v>608</v>
      </c>
      <c r="C610" s="21" t="s">
        <v>744</v>
      </c>
      <c r="D610" s="21" t="s">
        <v>136</v>
      </c>
      <c r="E610">
        <f>FIND(",", tblPassengerNames[[#This Row],[Name]])</f>
        <v>8</v>
      </c>
      <c r="F610">
        <f>FIND(".", tblPassengerNames[[#This Row],[Name]])</f>
        <v>13</v>
      </c>
      <c r="G610">
        <f>FIND("(", tblPassengerNames[[#This Row],[Name]])</f>
        <v>22</v>
      </c>
      <c r="H610">
        <f>FIND(")", tblPassengerNames[[#This Row],[Name]])</f>
        <v>41</v>
      </c>
      <c r="I610">
        <f>IFERROR(tblPassengerNames[[#This Row],[OpenParPos]] - 2, LEN(tblPassengerNames[[#This Row],[Name]]))</f>
        <v>20</v>
      </c>
      <c r="J610" t="str">
        <f>MID(tblPassengerNames[[#This Row],[Name]], tblPassengerNames[[#This Row],[DotPos]] + 2, tblPassengerNames[[#This Row],[EndOfConvFNPos]] - tblPassengerNames[[#This Row],[DotPos]] - 1)</f>
        <v>Joseph</v>
      </c>
      <c r="K610" t="str">
        <f>MID(tblPassengerNames[[#This Row],[Name]], tblPassengerNames[[#This Row],[OpenParPos]] + 1, tblPassengerNames[[#This Row],[CloseParPos]] - tblPassengerNames[[#This Row],[OpenParPos]] - 1)</f>
        <v>Sophie Halaut Easu</v>
      </c>
      <c r="L610" t="str">
        <f>IF(AND(LEFT(tblPassengerNames[[#This Row],[InParentheses]], 1) = "'", RIGHT(tblPassengerNames[[#This Row],[InParentheses]], 1) = "'"),
    #VALUE!,
    tblPassengerNames[[#This Row],[InParentheses]]
)</f>
        <v>Sophie Halaut Easu</v>
      </c>
      <c r="M610">
        <f>LEN(tblPassengerNames[[#This Row],[InParenthesesCleaned]]) - LEN(SUBSTITUTE(tblPassengerNames[[#This Row],[InParenthesesCleaned]], " ", ""))</f>
        <v>2</v>
      </c>
      <c r="N610">
        <f>FIND("@", SUBSTITUTE(tblPassengerNames[[#This Row],[InParenthesesCleaned]], " ", "@", tblPassengerNames[[#This Row],[P_NSpaces]]))</f>
        <v>14</v>
      </c>
      <c r="O610" t="str">
        <f>IF(tblPassengerNames[[#This Row],[P_NSpaces]] = 0,
    tblPassengerNames[[#This Row],[InParenthesesCleaned]],
    LEFT(tblPassengerNames[[#This Row],[InParenthesesCleaned]], tblPassengerNames[[#This Row],[P_FinalSpacePos]] - 1)
)</f>
        <v>Sophie Halaut</v>
      </c>
      <c r="P610" t="str">
        <f>IFERROR(tblPassengerNames[[#This Row],[P_Forenames]], tblPassengerNames[[#This Row],[ConvForenames]])</f>
        <v>Sophie Halaut</v>
      </c>
      <c r="Q610" t="str">
        <f>MID(tblPassengerNames[[#This Row],[Name]], tblPassengerNames[[#This Row],[CommaPos]] + 2, tblPassengerNames[[#This Row],[DotPos]] - tblPassengerNames[[#This Row],[CommaPos]] - 1)</f>
        <v>Mrs.</v>
      </c>
      <c r="R610" t="str">
        <f>LEFT(tblPassengerNames[[#This Row],[Name]], tblPassengerNames[[#This Row],[CommaPos]] - 1)</f>
        <v>Abrahim</v>
      </c>
    </row>
    <row r="611" spans="2:18" x14ac:dyDescent="0.25">
      <c r="B611" s="21">
        <v>609</v>
      </c>
      <c r="C611" s="21" t="s">
        <v>745</v>
      </c>
      <c r="D611" s="21" t="s">
        <v>138</v>
      </c>
      <c r="E611">
        <f>FIND(",", tblPassengerNames[[#This Row],[Name]])</f>
        <v>6</v>
      </c>
      <c r="F611">
        <f>FIND(".", tblPassengerNames[[#This Row],[Name]])</f>
        <v>10</v>
      </c>
      <c r="G611" t="e">
        <f>FIND("(", tblPassengerNames[[#This Row],[Name]])</f>
        <v>#VALUE!</v>
      </c>
      <c r="H611" t="e">
        <f>FIND(")", tblPassengerNames[[#This Row],[Name]])</f>
        <v>#VALUE!</v>
      </c>
      <c r="I611">
        <f>IFERROR(tblPassengerNames[[#This Row],[OpenParPos]] - 2, LEN(tblPassengerNames[[#This Row],[Name]]))</f>
        <v>30</v>
      </c>
      <c r="J611" t="str">
        <f>MID(tblPassengerNames[[#This Row],[Name]], tblPassengerNames[[#This Row],[DotPos]] + 2, tblPassengerNames[[#This Row],[EndOfConvFNPos]] - tblPassengerNames[[#This Row],[DotPos]] - 1)</f>
        <v>Mauritz Nils Martin</v>
      </c>
      <c r="K611" t="e">
        <f>MID(tblPassengerNames[[#This Row],[Name]], tblPassengerNames[[#This Row],[OpenParPos]] + 1, tblPassengerNames[[#This Row],[CloseParPos]] - tblPassengerNames[[#This Row],[OpenParPos]] - 1)</f>
        <v>#VALUE!</v>
      </c>
      <c r="L611" t="e">
        <f>IF(AND(LEFT(tblPassengerNames[[#This Row],[InParentheses]], 1) = "'", RIGHT(tblPassengerNames[[#This Row],[InParentheses]], 1) = "'"),
    #VALUE!,
    tblPassengerNames[[#This Row],[InParentheses]]
)</f>
        <v>#VALUE!</v>
      </c>
      <c r="M611" t="e">
        <f>LEN(tblPassengerNames[[#This Row],[InParenthesesCleaned]]) - LEN(SUBSTITUTE(tblPassengerNames[[#This Row],[InParenthesesCleaned]], " ", ""))</f>
        <v>#VALUE!</v>
      </c>
      <c r="N611" t="e">
        <f>FIND("@", SUBSTITUTE(tblPassengerNames[[#This Row],[InParenthesesCleaned]], " ", "@", tblPassengerNames[[#This Row],[P_NSpaces]]))</f>
        <v>#VALUE!</v>
      </c>
      <c r="O611" t="e">
        <f>IF(tblPassengerNames[[#This Row],[P_NSpaces]] = 0,
    tblPassengerNames[[#This Row],[InParenthesesCleaned]],
    LEFT(tblPassengerNames[[#This Row],[InParenthesesCleaned]], tblPassengerNames[[#This Row],[P_FinalSpacePos]] - 1)
)</f>
        <v>#VALUE!</v>
      </c>
      <c r="P611" t="str">
        <f>IFERROR(tblPassengerNames[[#This Row],[P_Forenames]], tblPassengerNames[[#This Row],[ConvForenames]])</f>
        <v>Mauritz Nils Martin</v>
      </c>
      <c r="Q611" t="str">
        <f>MID(tblPassengerNames[[#This Row],[Name]], tblPassengerNames[[#This Row],[CommaPos]] + 2, tblPassengerNames[[#This Row],[DotPos]] - tblPassengerNames[[#This Row],[CommaPos]] - 1)</f>
        <v>Mr.</v>
      </c>
      <c r="R611" t="str">
        <f>LEFT(tblPassengerNames[[#This Row],[Name]], tblPassengerNames[[#This Row],[CommaPos]] - 1)</f>
        <v>Adahl</v>
      </c>
    </row>
    <row r="612" spans="2:18" x14ac:dyDescent="0.25">
      <c r="B612" s="21">
        <v>610</v>
      </c>
      <c r="C612" s="21" t="s">
        <v>746</v>
      </c>
      <c r="D612" s="21" t="s">
        <v>138</v>
      </c>
      <c r="E612">
        <f>FIND(",", tblPassengerNames[[#This Row],[Name]])</f>
        <v>6</v>
      </c>
      <c r="F612">
        <f>FIND(".", tblPassengerNames[[#This Row],[Name]])</f>
        <v>10</v>
      </c>
      <c r="G612" t="e">
        <f>FIND("(", tblPassengerNames[[#This Row],[Name]])</f>
        <v>#VALUE!</v>
      </c>
      <c r="H612" t="e">
        <f>FIND(")", tblPassengerNames[[#This Row],[Name]])</f>
        <v>#VALUE!</v>
      </c>
      <c r="I612">
        <f>IFERROR(tblPassengerNames[[#This Row],[OpenParPos]] - 2, LEN(tblPassengerNames[[#This Row],[Name]]))</f>
        <v>15</v>
      </c>
      <c r="J612" t="str">
        <f>MID(tblPassengerNames[[#This Row],[Name]], tblPassengerNames[[#This Row],[DotPos]] + 2, tblPassengerNames[[#This Row],[EndOfConvFNPos]] - tblPassengerNames[[#This Row],[DotPos]] - 1)</f>
        <v>John</v>
      </c>
      <c r="K612" t="e">
        <f>MID(tblPassengerNames[[#This Row],[Name]], tblPassengerNames[[#This Row],[OpenParPos]] + 1, tblPassengerNames[[#This Row],[CloseParPos]] - tblPassengerNames[[#This Row],[OpenParPos]] - 1)</f>
        <v>#VALUE!</v>
      </c>
      <c r="L612" t="e">
        <f>IF(AND(LEFT(tblPassengerNames[[#This Row],[InParentheses]], 1) = "'", RIGHT(tblPassengerNames[[#This Row],[InParentheses]], 1) = "'"),
    #VALUE!,
    tblPassengerNames[[#This Row],[InParentheses]]
)</f>
        <v>#VALUE!</v>
      </c>
      <c r="M612" t="e">
        <f>LEN(tblPassengerNames[[#This Row],[InParenthesesCleaned]]) - LEN(SUBSTITUTE(tblPassengerNames[[#This Row],[InParenthesesCleaned]], " ", ""))</f>
        <v>#VALUE!</v>
      </c>
      <c r="N612" t="e">
        <f>FIND("@", SUBSTITUTE(tblPassengerNames[[#This Row],[InParenthesesCleaned]], " ", "@", tblPassengerNames[[#This Row],[P_NSpaces]]))</f>
        <v>#VALUE!</v>
      </c>
      <c r="O612" t="e">
        <f>IF(tblPassengerNames[[#This Row],[P_NSpaces]] = 0,
    tblPassengerNames[[#This Row],[InParenthesesCleaned]],
    LEFT(tblPassengerNames[[#This Row],[InParenthesesCleaned]], tblPassengerNames[[#This Row],[P_FinalSpacePos]] - 1)
)</f>
        <v>#VALUE!</v>
      </c>
      <c r="P612" t="str">
        <f>IFERROR(tblPassengerNames[[#This Row],[P_Forenames]], tblPassengerNames[[#This Row],[ConvForenames]])</f>
        <v>John</v>
      </c>
      <c r="Q612" t="str">
        <f>MID(tblPassengerNames[[#This Row],[Name]], tblPassengerNames[[#This Row],[CommaPos]] + 2, tblPassengerNames[[#This Row],[DotPos]] - tblPassengerNames[[#This Row],[CommaPos]] - 1)</f>
        <v>Mr.</v>
      </c>
      <c r="R612" t="str">
        <f>LEFT(tblPassengerNames[[#This Row],[Name]], tblPassengerNames[[#This Row],[CommaPos]] - 1)</f>
        <v>Adams</v>
      </c>
    </row>
    <row r="613" spans="2:18" x14ac:dyDescent="0.25">
      <c r="B613" s="21">
        <v>611</v>
      </c>
      <c r="C613" s="21" t="s">
        <v>747</v>
      </c>
      <c r="D613" s="21" t="s">
        <v>136</v>
      </c>
      <c r="E613">
        <f>FIND(",", tblPassengerNames[[#This Row],[Name]])</f>
        <v>6</v>
      </c>
      <c r="F613">
        <f>FIND(".", tblPassengerNames[[#This Row],[Name]])</f>
        <v>11</v>
      </c>
      <c r="G613">
        <f>FIND("(", tblPassengerNames[[#This Row],[Name]])</f>
        <v>19</v>
      </c>
      <c r="H613">
        <f>FIND(")", tblPassengerNames[[#This Row],[Name]])</f>
        <v>46</v>
      </c>
      <c r="I613">
        <f>IFERROR(tblPassengerNames[[#This Row],[OpenParPos]] - 2, LEN(tblPassengerNames[[#This Row],[Name]]))</f>
        <v>17</v>
      </c>
      <c r="J613" t="str">
        <f>MID(tblPassengerNames[[#This Row],[Name]], tblPassengerNames[[#This Row],[DotPos]] + 2, tblPassengerNames[[#This Row],[EndOfConvFNPos]] - tblPassengerNames[[#This Row],[DotPos]] - 1)</f>
        <v>Johan</v>
      </c>
      <c r="K613" t="str">
        <f>MID(tblPassengerNames[[#This Row],[Name]], tblPassengerNames[[#This Row],[OpenParPos]] + 1, tblPassengerNames[[#This Row],[CloseParPos]] - tblPassengerNames[[#This Row],[OpenParPos]] - 1)</f>
        <v>Johanna Persdotter Larsson</v>
      </c>
      <c r="L613" t="str">
        <f>IF(AND(LEFT(tblPassengerNames[[#This Row],[InParentheses]], 1) = "'", RIGHT(tblPassengerNames[[#This Row],[InParentheses]], 1) = "'"),
    #VALUE!,
    tblPassengerNames[[#This Row],[InParentheses]]
)</f>
        <v>Johanna Persdotter Larsson</v>
      </c>
      <c r="M613">
        <f>LEN(tblPassengerNames[[#This Row],[InParenthesesCleaned]]) - LEN(SUBSTITUTE(tblPassengerNames[[#This Row],[InParenthesesCleaned]], " ", ""))</f>
        <v>2</v>
      </c>
      <c r="N613">
        <f>FIND("@", SUBSTITUTE(tblPassengerNames[[#This Row],[InParenthesesCleaned]], " ", "@", tblPassengerNames[[#This Row],[P_NSpaces]]))</f>
        <v>19</v>
      </c>
      <c r="O613" t="str">
        <f>IF(tblPassengerNames[[#This Row],[P_NSpaces]] = 0,
    tblPassengerNames[[#This Row],[InParenthesesCleaned]],
    LEFT(tblPassengerNames[[#This Row],[InParenthesesCleaned]], tblPassengerNames[[#This Row],[P_FinalSpacePos]] - 1)
)</f>
        <v>Johanna Persdotter</v>
      </c>
      <c r="P613" t="str">
        <f>IFERROR(tblPassengerNames[[#This Row],[P_Forenames]], tblPassengerNames[[#This Row],[ConvForenames]])</f>
        <v>Johanna Persdotter</v>
      </c>
      <c r="Q613" t="str">
        <f>MID(tblPassengerNames[[#This Row],[Name]], tblPassengerNames[[#This Row],[CommaPos]] + 2, tblPassengerNames[[#This Row],[DotPos]] - tblPassengerNames[[#This Row],[CommaPos]] - 1)</f>
        <v>Mrs.</v>
      </c>
      <c r="R613" t="str">
        <f>LEFT(tblPassengerNames[[#This Row],[Name]], tblPassengerNames[[#This Row],[CommaPos]] - 1)</f>
        <v>Ahlin</v>
      </c>
    </row>
    <row r="614" spans="2:18" x14ac:dyDescent="0.25">
      <c r="B614" s="21">
        <v>612</v>
      </c>
      <c r="C614" s="21" t="s">
        <v>748</v>
      </c>
      <c r="D614" s="21" t="s">
        <v>138</v>
      </c>
      <c r="E614">
        <f>FIND(",", tblPassengerNames[[#This Row],[Name]])</f>
        <v>4</v>
      </c>
      <c r="F614">
        <f>FIND(".", tblPassengerNames[[#This Row],[Name]])</f>
        <v>12</v>
      </c>
      <c r="G614" t="e">
        <f>FIND("(", tblPassengerNames[[#This Row],[Name]])</f>
        <v>#VALUE!</v>
      </c>
      <c r="H614" t="e">
        <f>FIND(")", tblPassengerNames[[#This Row],[Name]])</f>
        <v>#VALUE!</v>
      </c>
      <c r="I614">
        <f>IFERROR(tblPassengerNames[[#This Row],[OpenParPos]] - 2, LEN(tblPassengerNames[[#This Row],[Name]]))</f>
        <v>25</v>
      </c>
      <c r="J614" t="str">
        <f>MID(tblPassengerNames[[#This Row],[Name]], tblPassengerNames[[#This Row],[DotPos]] + 2, tblPassengerNames[[#This Row],[EndOfConvFNPos]] - tblPassengerNames[[#This Row],[DotPos]] - 1)</f>
        <v>Philip Frank</v>
      </c>
      <c r="K614" t="e">
        <f>MID(tblPassengerNames[[#This Row],[Name]], tblPassengerNames[[#This Row],[OpenParPos]] + 1, tblPassengerNames[[#This Row],[CloseParPos]] - tblPassengerNames[[#This Row],[OpenParPos]] - 1)</f>
        <v>#VALUE!</v>
      </c>
      <c r="L614" t="e">
        <f>IF(AND(LEFT(tblPassengerNames[[#This Row],[InParentheses]], 1) = "'", RIGHT(tblPassengerNames[[#This Row],[InParentheses]], 1) = "'"),
    #VALUE!,
    tblPassengerNames[[#This Row],[InParentheses]]
)</f>
        <v>#VALUE!</v>
      </c>
      <c r="M614" t="e">
        <f>LEN(tblPassengerNames[[#This Row],[InParenthesesCleaned]]) - LEN(SUBSTITUTE(tblPassengerNames[[#This Row],[InParenthesesCleaned]], " ", ""))</f>
        <v>#VALUE!</v>
      </c>
      <c r="N614" t="e">
        <f>FIND("@", SUBSTITUTE(tblPassengerNames[[#This Row],[InParenthesesCleaned]], " ", "@", tblPassengerNames[[#This Row],[P_NSpaces]]))</f>
        <v>#VALUE!</v>
      </c>
      <c r="O614" t="e">
        <f>IF(tblPassengerNames[[#This Row],[P_NSpaces]] = 0,
    tblPassengerNames[[#This Row],[InParenthesesCleaned]],
    LEFT(tblPassengerNames[[#This Row],[InParenthesesCleaned]], tblPassengerNames[[#This Row],[P_FinalSpacePos]] - 1)
)</f>
        <v>#VALUE!</v>
      </c>
      <c r="P614" t="str">
        <f>IFERROR(tblPassengerNames[[#This Row],[P_Forenames]], tblPassengerNames[[#This Row],[ConvForenames]])</f>
        <v>Philip Frank</v>
      </c>
      <c r="Q614" t="str">
        <f>MID(tblPassengerNames[[#This Row],[Name]], tblPassengerNames[[#This Row],[CommaPos]] + 2, tblPassengerNames[[#This Row],[DotPos]] - tblPassengerNames[[#This Row],[CommaPos]] - 1)</f>
        <v>Master.</v>
      </c>
      <c r="R614" t="str">
        <f>LEFT(tblPassengerNames[[#This Row],[Name]], tblPassengerNames[[#This Row],[CommaPos]] - 1)</f>
        <v>Aks</v>
      </c>
    </row>
    <row r="615" spans="2:18" x14ac:dyDescent="0.25">
      <c r="B615" s="21">
        <v>613</v>
      </c>
      <c r="C615" s="21" t="s">
        <v>749</v>
      </c>
      <c r="D615" s="21" t="s">
        <v>136</v>
      </c>
      <c r="E615">
        <f>FIND(",", tblPassengerNames[[#This Row],[Name]])</f>
        <v>4</v>
      </c>
      <c r="F615">
        <f>FIND(".", tblPassengerNames[[#This Row],[Name]])</f>
        <v>9</v>
      </c>
      <c r="G615">
        <f>FIND("(", tblPassengerNames[[#This Row],[Name]])</f>
        <v>15</v>
      </c>
      <c r="H615">
        <f>FIND(")", tblPassengerNames[[#This Row],[Name]])</f>
        <v>26</v>
      </c>
      <c r="I615">
        <f>IFERROR(tblPassengerNames[[#This Row],[OpenParPos]] - 2, LEN(tblPassengerNames[[#This Row],[Name]]))</f>
        <v>13</v>
      </c>
      <c r="J615" t="str">
        <f>MID(tblPassengerNames[[#This Row],[Name]], tblPassengerNames[[#This Row],[DotPos]] + 2, tblPassengerNames[[#This Row],[EndOfConvFNPos]] - tblPassengerNames[[#This Row],[DotPos]] - 1)</f>
        <v>Sam</v>
      </c>
      <c r="K615" t="str">
        <f>MID(tblPassengerNames[[#This Row],[Name]], tblPassengerNames[[#This Row],[OpenParPos]] + 1, tblPassengerNames[[#This Row],[CloseParPos]] - tblPassengerNames[[#This Row],[OpenParPos]] - 1)</f>
        <v>Leah Rosen</v>
      </c>
      <c r="L615" t="str">
        <f>IF(AND(LEFT(tblPassengerNames[[#This Row],[InParentheses]], 1) = "'", RIGHT(tblPassengerNames[[#This Row],[InParentheses]], 1) = "'"),
    #VALUE!,
    tblPassengerNames[[#This Row],[InParentheses]]
)</f>
        <v>Leah Rosen</v>
      </c>
      <c r="M615">
        <f>LEN(tblPassengerNames[[#This Row],[InParenthesesCleaned]]) - LEN(SUBSTITUTE(tblPassengerNames[[#This Row],[InParenthesesCleaned]], " ", ""))</f>
        <v>1</v>
      </c>
      <c r="N615">
        <f>FIND("@", SUBSTITUTE(tblPassengerNames[[#This Row],[InParenthesesCleaned]], " ", "@", tblPassengerNames[[#This Row],[P_NSpaces]]))</f>
        <v>5</v>
      </c>
      <c r="O615" t="str">
        <f>IF(tblPassengerNames[[#This Row],[P_NSpaces]] = 0,
    tblPassengerNames[[#This Row],[InParenthesesCleaned]],
    LEFT(tblPassengerNames[[#This Row],[InParenthesesCleaned]], tblPassengerNames[[#This Row],[P_FinalSpacePos]] - 1)
)</f>
        <v>Leah</v>
      </c>
      <c r="P615" t="str">
        <f>IFERROR(tblPassengerNames[[#This Row],[P_Forenames]], tblPassengerNames[[#This Row],[ConvForenames]])</f>
        <v>Leah</v>
      </c>
      <c r="Q615" t="str">
        <f>MID(tblPassengerNames[[#This Row],[Name]], tblPassengerNames[[#This Row],[CommaPos]] + 2, tblPassengerNames[[#This Row],[DotPos]] - tblPassengerNames[[#This Row],[CommaPos]] - 1)</f>
        <v>Mrs.</v>
      </c>
      <c r="R615" t="str">
        <f>LEFT(tblPassengerNames[[#This Row],[Name]], tblPassengerNames[[#This Row],[CommaPos]] - 1)</f>
        <v>Aks</v>
      </c>
    </row>
    <row r="616" spans="2:18" x14ac:dyDescent="0.25">
      <c r="B616" s="21">
        <v>614</v>
      </c>
      <c r="C616" s="21" t="s">
        <v>750</v>
      </c>
      <c r="D616" s="21" t="s">
        <v>138</v>
      </c>
      <c r="E616">
        <f>FIND(",", tblPassengerNames[[#This Row],[Name]])</f>
        <v>9</v>
      </c>
      <c r="F616">
        <f>FIND(".", tblPassengerNames[[#This Row],[Name]])</f>
        <v>13</v>
      </c>
      <c r="G616" t="e">
        <f>FIND("(", tblPassengerNames[[#This Row],[Name]])</f>
        <v>#VALUE!</v>
      </c>
      <c r="H616" t="e">
        <f>FIND(")", tblPassengerNames[[#This Row],[Name]])</f>
        <v>#VALUE!</v>
      </c>
      <c r="I616">
        <f>IFERROR(tblPassengerNames[[#This Row],[OpenParPos]] - 2, LEN(tblPassengerNames[[#This Row],[Name]]))</f>
        <v>27</v>
      </c>
      <c r="J616" t="str">
        <f>MID(tblPassengerNames[[#This Row],[Name]], tblPassengerNames[[#This Row],[DotPos]] + 2, tblPassengerNames[[#This Row],[EndOfConvFNPos]] - tblPassengerNames[[#This Row],[DotPos]] - 1)</f>
        <v>Nassef Cassem</v>
      </c>
      <c r="K616" t="e">
        <f>MID(tblPassengerNames[[#This Row],[Name]], tblPassengerNames[[#This Row],[OpenParPos]] + 1, tblPassengerNames[[#This Row],[CloseParPos]] - tblPassengerNames[[#This Row],[OpenParPos]] - 1)</f>
        <v>#VALUE!</v>
      </c>
      <c r="L616" t="e">
        <f>IF(AND(LEFT(tblPassengerNames[[#This Row],[InParentheses]], 1) = "'", RIGHT(tblPassengerNames[[#This Row],[InParentheses]], 1) = "'"),
    #VALUE!,
    tblPassengerNames[[#This Row],[InParentheses]]
)</f>
        <v>#VALUE!</v>
      </c>
      <c r="M616" t="e">
        <f>LEN(tblPassengerNames[[#This Row],[InParenthesesCleaned]]) - LEN(SUBSTITUTE(tblPassengerNames[[#This Row],[InParenthesesCleaned]], " ", ""))</f>
        <v>#VALUE!</v>
      </c>
      <c r="N616" t="e">
        <f>FIND("@", SUBSTITUTE(tblPassengerNames[[#This Row],[InParenthesesCleaned]], " ", "@", tblPassengerNames[[#This Row],[P_NSpaces]]))</f>
        <v>#VALUE!</v>
      </c>
      <c r="O616" t="e">
        <f>IF(tblPassengerNames[[#This Row],[P_NSpaces]] = 0,
    tblPassengerNames[[#This Row],[InParenthesesCleaned]],
    LEFT(tblPassengerNames[[#This Row],[InParenthesesCleaned]], tblPassengerNames[[#This Row],[P_FinalSpacePos]] - 1)
)</f>
        <v>#VALUE!</v>
      </c>
      <c r="P616" t="str">
        <f>IFERROR(tblPassengerNames[[#This Row],[P_Forenames]], tblPassengerNames[[#This Row],[ConvForenames]])</f>
        <v>Nassef Cassem</v>
      </c>
      <c r="Q616" t="str">
        <f>MID(tblPassengerNames[[#This Row],[Name]], tblPassengerNames[[#This Row],[CommaPos]] + 2, tblPassengerNames[[#This Row],[DotPos]] - tblPassengerNames[[#This Row],[CommaPos]] - 1)</f>
        <v>Mr.</v>
      </c>
      <c r="R616" t="str">
        <f>LEFT(tblPassengerNames[[#This Row],[Name]], tblPassengerNames[[#This Row],[CommaPos]] - 1)</f>
        <v>Albimona</v>
      </c>
    </row>
    <row r="617" spans="2:18" x14ac:dyDescent="0.25">
      <c r="B617" s="21">
        <v>615</v>
      </c>
      <c r="C617" s="21" t="s">
        <v>751</v>
      </c>
      <c r="D617" s="21" t="s">
        <v>138</v>
      </c>
      <c r="E617">
        <f>FIND(",", tblPassengerNames[[#This Row],[Name]])</f>
        <v>10</v>
      </c>
      <c r="F617">
        <f>FIND(".", tblPassengerNames[[#This Row],[Name]])</f>
        <v>14</v>
      </c>
      <c r="G617" t="e">
        <f>FIND("(", tblPassengerNames[[#This Row],[Name]])</f>
        <v>#VALUE!</v>
      </c>
      <c r="H617" t="e">
        <f>FIND(")", tblPassengerNames[[#This Row],[Name]])</f>
        <v>#VALUE!</v>
      </c>
      <c r="I617">
        <f>IFERROR(tblPassengerNames[[#This Row],[OpenParPos]] - 2, LEN(tblPassengerNames[[#This Row],[Name]]))</f>
        <v>22</v>
      </c>
      <c r="J617" t="str">
        <f>MID(tblPassengerNames[[#This Row],[Name]], tblPassengerNames[[#This Row],[DotPos]] + 2, tblPassengerNames[[#This Row],[EndOfConvFNPos]] - tblPassengerNames[[#This Row],[DotPos]] - 1)</f>
        <v>William</v>
      </c>
      <c r="K617" t="e">
        <f>MID(tblPassengerNames[[#This Row],[Name]], tblPassengerNames[[#This Row],[OpenParPos]] + 1, tblPassengerNames[[#This Row],[CloseParPos]] - tblPassengerNames[[#This Row],[OpenParPos]] - 1)</f>
        <v>#VALUE!</v>
      </c>
      <c r="L617" t="e">
        <f>IF(AND(LEFT(tblPassengerNames[[#This Row],[InParentheses]], 1) = "'", RIGHT(tblPassengerNames[[#This Row],[InParentheses]], 1) = "'"),
    #VALUE!,
    tblPassengerNames[[#This Row],[InParentheses]]
)</f>
        <v>#VALUE!</v>
      </c>
      <c r="M617" t="e">
        <f>LEN(tblPassengerNames[[#This Row],[InParenthesesCleaned]]) - LEN(SUBSTITUTE(tblPassengerNames[[#This Row],[InParenthesesCleaned]], " ", ""))</f>
        <v>#VALUE!</v>
      </c>
      <c r="N617" t="e">
        <f>FIND("@", SUBSTITUTE(tblPassengerNames[[#This Row],[InParenthesesCleaned]], " ", "@", tblPassengerNames[[#This Row],[P_NSpaces]]))</f>
        <v>#VALUE!</v>
      </c>
      <c r="O617" t="e">
        <f>IF(tblPassengerNames[[#This Row],[P_NSpaces]] = 0,
    tblPassengerNames[[#This Row],[InParenthesesCleaned]],
    LEFT(tblPassengerNames[[#This Row],[InParenthesesCleaned]], tblPassengerNames[[#This Row],[P_FinalSpacePos]] - 1)
)</f>
        <v>#VALUE!</v>
      </c>
      <c r="P617" t="str">
        <f>IFERROR(tblPassengerNames[[#This Row],[P_Forenames]], tblPassengerNames[[#This Row],[ConvForenames]])</f>
        <v>William</v>
      </c>
      <c r="Q617" t="str">
        <f>MID(tblPassengerNames[[#This Row],[Name]], tblPassengerNames[[#This Row],[CommaPos]] + 2, tblPassengerNames[[#This Row],[DotPos]] - tblPassengerNames[[#This Row],[CommaPos]] - 1)</f>
        <v>Mr.</v>
      </c>
      <c r="R617" t="str">
        <f>LEFT(tblPassengerNames[[#This Row],[Name]], tblPassengerNames[[#This Row],[CommaPos]] - 1)</f>
        <v>Alexander</v>
      </c>
    </row>
    <row r="618" spans="2:18" x14ac:dyDescent="0.25">
      <c r="B618" s="21">
        <v>616</v>
      </c>
      <c r="C618" s="21" t="s">
        <v>752</v>
      </c>
      <c r="D618" s="21" t="s">
        <v>138</v>
      </c>
      <c r="E618">
        <f>FIND(",", tblPassengerNames[[#This Row],[Name]])</f>
        <v>9</v>
      </c>
      <c r="F618">
        <f>FIND(".", tblPassengerNames[[#This Row],[Name]])</f>
        <v>13</v>
      </c>
      <c r="G618" t="e">
        <f>FIND("(", tblPassengerNames[[#This Row],[Name]])</f>
        <v>#VALUE!</v>
      </c>
      <c r="H618" t="e">
        <f>FIND(")", tblPassengerNames[[#This Row],[Name]])</f>
        <v>#VALUE!</v>
      </c>
      <c r="I618">
        <f>IFERROR(tblPassengerNames[[#This Row],[OpenParPos]] - 2, LEN(tblPassengerNames[[#This Row],[Name]]))</f>
        <v>27</v>
      </c>
      <c r="J618" t="str">
        <f>MID(tblPassengerNames[[#This Row],[Name]], tblPassengerNames[[#This Row],[DotPos]] + 2, tblPassengerNames[[#This Row],[EndOfConvFNPos]] - tblPassengerNames[[#This Row],[DotPos]] - 1)</f>
        <v>Ilmari Rudolf</v>
      </c>
      <c r="K618" t="e">
        <f>MID(tblPassengerNames[[#This Row],[Name]], tblPassengerNames[[#This Row],[OpenParPos]] + 1, tblPassengerNames[[#This Row],[CloseParPos]] - tblPassengerNames[[#This Row],[OpenParPos]] - 1)</f>
        <v>#VALUE!</v>
      </c>
      <c r="L618" t="e">
        <f>IF(AND(LEFT(tblPassengerNames[[#This Row],[InParentheses]], 1) = "'", RIGHT(tblPassengerNames[[#This Row],[InParentheses]], 1) = "'"),
    #VALUE!,
    tblPassengerNames[[#This Row],[InParentheses]]
)</f>
        <v>#VALUE!</v>
      </c>
      <c r="M618" t="e">
        <f>LEN(tblPassengerNames[[#This Row],[InParenthesesCleaned]]) - LEN(SUBSTITUTE(tblPassengerNames[[#This Row],[InParenthesesCleaned]], " ", ""))</f>
        <v>#VALUE!</v>
      </c>
      <c r="N618" t="e">
        <f>FIND("@", SUBSTITUTE(tblPassengerNames[[#This Row],[InParenthesesCleaned]], " ", "@", tblPassengerNames[[#This Row],[P_NSpaces]]))</f>
        <v>#VALUE!</v>
      </c>
      <c r="O618" t="e">
        <f>IF(tblPassengerNames[[#This Row],[P_NSpaces]] = 0,
    tblPassengerNames[[#This Row],[InParenthesesCleaned]],
    LEFT(tblPassengerNames[[#This Row],[InParenthesesCleaned]], tblPassengerNames[[#This Row],[P_FinalSpacePos]] - 1)
)</f>
        <v>#VALUE!</v>
      </c>
      <c r="P618" t="str">
        <f>IFERROR(tblPassengerNames[[#This Row],[P_Forenames]], tblPassengerNames[[#This Row],[ConvForenames]])</f>
        <v>Ilmari Rudolf</v>
      </c>
      <c r="Q618" t="str">
        <f>MID(tblPassengerNames[[#This Row],[Name]], tblPassengerNames[[#This Row],[CommaPos]] + 2, tblPassengerNames[[#This Row],[DotPos]] - tblPassengerNames[[#This Row],[CommaPos]] - 1)</f>
        <v>Mr.</v>
      </c>
      <c r="R618" t="str">
        <f>LEFT(tblPassengerNames[[#This Row],[Name]], tblPassengerNames[[#This Row],[CommaPos]] - 1)</f>
        <v>Alhomaki</v>
      </c>
    </row>
    <row r="619" spans="2:18" x14ac:dyDescent="0.25">
      <c r="B619" s="21">
        <v>617</v>
      </c>
      <c r="C619" s="21" t="s">
        <v>753</v>
      </c>
      <c r="D619" s="21" t="s">
        <v>138</v>
      </c>
      <c r="E619">
        <f>FIND(",", tblPassengerNames[[#This Row],[Name]])</f>
        <v>4</v>
      </c>
      <c r="F619">
        <f>FIND(".", tblPassengerNames[[#This Row],[Name]])</f>
        <v>8</v>
      </c>
      <c r="G619" t="e">
        <f>FIND("(", tblPassengerNames[[#This Row],[Name]])</f>
        <v>#VALUE!</v>
      </c>
      <c r="H619" t="e">
        <f>FIND(")", tblPassengerNames[[#This Row],[Name]])</f>
        <v>#VALUE!</v>
      </c>
      <c r="I619">
        <f>IFERROR(tblPassengerNames[[#This Row],[OpenParPos]] - 2, LEN(tblPassengerNames[[#This Row],[Name]]))</f>
        <v>14</v>
      </c>
      <c r="J619" t="str">
        <f>MID(tblPassengerNames[[#This Row],[Name]], tblPassengerNames[[#This Row],[DotPos]] + 2, tblPassengerNames[[#This Row],[EndOfConvFNPos]] - tblPassengerNames[[#This Row],[DotPos]] - 1)</f>
        <v>Ahmed</v>
      </c>
      <c r="K619" t="e">
        <f>MID(tblPassengerNames[[#This Row],[Name]], tblPassengerNames[[#This Row],[OpenParPos]] + 1, tblPassengerNames[[#This Row],[CloseParPos]] - tblPassengerNames[[#This Row],[OpenParPos]] - 1)</f>
        <v>#VALUE!</v>
      </c>
      <c r="L619" t="e">
        <f>IF(AND(LEFT(tblPassengerNames[[#This Row],[InParentheses]], 1) = "'", RIGHT(tblPassengerNames[[#This Row],[InParentheses]], 1) = "'"),
    #VALUE!,
    tblPassengerNames[[#This Row],[InParentheses]]
)</f>
        <v>#VALUE!</v>
      </c>
      <c r="M619" t="e">
        <f>LEN(tblPassengerNames[[#This Row],[InParenthesesCleaned]]) - LEN(SUBSTITUTE(tblPassengerNames[[#This Row],[InParenthesesCleaned]], " ", ""))</f>
        <v>#VALUE!</v>
      </c>
      <c r="N619" t="e">
        <f>FIND("@", SUBSTITUTE(tblPassengerNames[[#This Row],[InParenthesesCleaned]], " ", "@", tblPassengerNames[[#This Row],[P_NSpaces]]))</f>
        <v>#VALUE!</v>
      </c>
      <c r="O619" t="e">
        <f>IF(tblPassengerNames[[#This Row],[P_NSpaces]] = 0,
    tblPassengerNames[[#This Row],[InParenthesesCleaned]],
    LEFT(tblPassengerNames[[#This Row],[InParenthesesCleaned]], tblPassengerNames[[#This Row],[P_FinalSpacePos]] - 1)
)</f>
        <v>#VALUE!</v>
      </c>
      <c r="P619" t="str">
        <f>IFERROR(tblPassengerNames[[#This Row],[P_Forenames]], tblPassengerNames[[#This Row],[ConvForenames]])</f>
        <v>Ahmed</v>
      </c>
      <c r="Q619" t="str">
        <f>MID(tblPassengerNames[[#This Row],[Name]], tblPassengerNames[[#This Row],[CommaPos]] + 2, tblPassengerNames[[#This Row],[DotPos]] - tblPassengerNames[[#This Row],[CommaPos]] - 1)</f>
        <v>Mr.</v>
      </c>
      <c r="R619" t="str">
        <f>LEFT(tblPassengerNames[[#This Row],[Name]], tblPassengerNames[[#This Row],[CommaPos]] - 1)</f>
        <v>Ali</v>
      </c>
    </row>
    <row r="620" spans="2:18" x14ac:dyDescent="0.25">
      <c r="B620" s="21">
        <v>618</v>
      </c>
      <c r="C620" s="21" t="s">
        <v>754</v>
      </c>
      <c r="D620" s="21" t="s">
        <v>138</v>
      </c>
      <c r="E620">
        <f>FIND(",", tblPassengerNames[[#This Row],[Name]])</f>
        <v>4</v>
      </c>
      <c r="F620">
        <f>FIND(".", tblPassengerNames[[#This Row],[Name]])</f>
        <v>8</v>
      </c>
      <c r="G620" t="e">
        <f>FIND("(", tblPassengerNames[[#This Row],[Name]])</f>
        <v>#VALUE!</v>
      </c>
      <c r="H620" t="e">
        <f>FIND(")", tblPassengerNames[[#This Row],[Name]])</f>
        <v>#VALUE!</v>
      </c>
      <c r="I620">
        <f>IFERROR(tblPassengerNames[[#This Row],[OpenParPos]] - 2, LEN(tblPassengerNames[[#This Row],[Name]]))</f>
        <v>16</v>
      </c>
      <c r="J620" t="str">
        <f>MID(tblPassengerNames[[#This Row],[Name]], tblPassengerNames[[#This Row],[DotPos]] + 2, tblPassengerNames[[#This Row],[EndOfConvFNPos]] - tblPassengerNames[[#This Row],[DotPos]] - 1)</f>
        <v>William</v>
      </c>
      <c r="K620" t="e">
        <f>MID(tblPassengerNames[[#This Row],[Name]], tblPassengerNames[[#This Row],[OpenParPos]] + 1, tblPassengerNames[[#This Row],[CloseParPos]] - tblPassengerNames[[#This Row],[OpenParPos]] - 1)</f>
        <v>#VALUE!</v>
      </c>
      <c r="L620" t="e">
        <f>IF(AND(LEFT(tblPassengerNames[[#This Row],[InParentheses]], 1) = "'", RIGHT(tblPassengerNames[[#This Row],[InParentheses]], 1) = "'"),
    #VALUE!,
    tblPassengerNames[[#This Row],[InParentheses]]
)</f>
        <v>#VALUE!</v>
      </c>
      <c r="M620" t="e">
        <f>LEN(tblPassengerNames[[#This Row],[InParenthesesCleaned]]) - LEN(SUBSTITUTE(tblPassengerNames[[#This Row],[InParenthesesCleaned]], " ", ""))</f>
        <v>#VALUE!</v>
      </c>
      <c r="N620" t="e">
        <f>FIND("@", SUBSTITUTE(tblPassengerNames[[#This Row],[InParenthesesCleaned]], " ", "@", tblPassengerNames[[#This Row],[P_NSpaces]]))</f>
        <v>#VALUE!</v>
      </c>
      <c r="O620" t="e">
        <f>IF(tblPassengerNames[[#This Row],[P_NSpaces]] = 0,
    tblPassengerNames[[#This Row],[InParenthesesCleaned]],
    LEFT(tblPassengerNames[[#This Row],[InParenthesesCleaned]], tblPassengerNames[[#This Row],[P_FinalSpacePos]] - 1)
)</f>
        <v>#VALUE!</v>
      </c>
      <c r="P620" t="str">
        <f>IFERROR(tblPassengerNames[[#This Row],[P_Forenames]], tblPassengerNames[[#This Row],[ConvForenames]])</f>
        <v>William</v>
      </c>
      <c r="Q620" t="str">
        <f>MID(tblPassengerNames[[#This Row],[Name]], tblPassengerNames[[#This Row],[CommaPos]] + 2, tblPassengerNames[[#This Row],[DotPos]] - tblPassengerNames[[#This Row],[CommaPos]] - 1)</f>
        <v>Mr.</v>
      </c>
      <c r="R620" t="str">
        <f>LEFT(tblPassengerNames[[#This Row],[Name]], tblPassengerNames[[#This Row],[CommaPos]] - 1)</f>
        <v>Ali</v>
      </c>
    </row>
    <row r="621" spans="2:18" x14ac:dyDescent="0.25">
      <c r="B621" s="21">
        <v>619</v>
      </c>
      <c r="C621" s="21" t="s">
        <v>755</v>
      </c>
      <c r="D621" s="21" t="s">
        <v>138</v>
      </c>
      <c r="E621">
        <f>FIND(",", tblPassengerNames[[#This Row],[Name]])</f>
        <v>6</v>
      </c>
      <c r="F621">
        <f>FIND(".", tblPassengerNames[[#This Row],[Name]])</f>
        <v>10</v>
      </c>
      <c r="G621" t="e">
        <f>FIND("(", tblPassengerNames[[#This Row],[Name]])</f>
        <v>#VALUE!</v>
      </c>
      <c r="H621" t="e">
        <f>FIND(")", tblPassengerNames[[#This Row],[Name]])</f>
        <v>#VALUE!</v>
      </c>
      <c r="I621">
        <f>IFERROR(tblPassengerNames[[#This Row],[OpenParPos]] - 2, LEN(tblPassengerNames[[#This Row],[Name]]))</f>
        <v>24</v>
      </c>
      <c r="J621" t="str">
        <f>MID(tblPassengerNames[[#This Row],[Name]], tblPassengerNames[[#This Row],[DotPos]] + 2, tblPassengerNames[[#This Row],[EndOfConvFNPos]] - tblPassengerNames[[#This Row],[DotPos]] - 1)</f>
        <v>William Henry</v>
      </c>
      <c r="K621" t="e">
        <f>MID(tblPassengerNames[[#This Row],[Name]], tblPassengerNames[[#This Row],[OpenParPos]] + 1, tblPassengerNames[[#This Row],[CloseParPos]] - tblPassengerNames[[#This Row],[OpenParPos]] - 1)</f>
        <v>#VALUE!</v>
      </c>
      <c r="L621" t="e">
        <f>IF(AND(LEFT(tblPassengerNames[[#This Row],[InParentheses]], 1) = "'", RIGHT(tblPassengerNames[[#This Row],[InParentheses]], 1) = "'"),
    #VALUE!,
    tblPassengerNames[[#This Row],[InParentheses]]
)</f>
        <v>#VALUE!</v>
      </c>
      <c r="M621" t="e">
        <f>LEN(tblPassengerNames[[#This Row],[InParenthesesCleaned]]) - LEN(SUBSTITUTE(tblPassengerNames[[#This Row],[InParenthesesCleaned]], " ", ""))</f>
        <v>#VALUE!</v>
      </c>
      <c r="N621" t="e">
        <f>FIND("@", SUBSTITUTE(tblPassengerNames[[#This Row],[InParenthesesCleaned]], " ", "@", tblPassengerNames[[#This Row],[P_NSpaces]]))</f>
        <v>#VALUE!</v>
      </c>
      <c r="O621" t="e">
        <f>IF(tblPassengerNames[[#This Row],[P_NSpaces]] = 0,
    tblPassengerNames[[#This Row],[InParenthesesCleaned]],
    LEFT(tblPassengerNames[[#This Row],[InParenthesesCleaned]], tblPassengerNames[[#This Row],[P_FinalSpacePos]] - 1)
)</f>
        <v>#VALUE!</v>
      </c>
      <c r="P621" t="str">
        <f>IFERROR(tblPassengerNames[[#This Row],[P_Forenames]], tblPassengerNames[[#This Row],[ConvForenames]])</f>
        <v>William Henry</v>
      </c>
      <c r="Q621" t="str">
        <f>MID(tblPassengerNames[[#This Row],[Name]], tblPassengerNames[[#This Row],[CommaPos]] + 2, tblPassengerNames[[#This Row],[DotPos]] - tblPassengerNames[[#This Row],[CommaPos]] - 1)</f>
        <v>Mr.</v>
      </c>
      <c r="R621" t="str">
        <f>LEFT(tblPassengerNames[[#This Row],[Name]], tblPassengerNames[[#This Row],[CommaPos]] - 1)</f>
        <v>Allen</v>
      </c>
    </row>
    <row r="622" spans="2:18" x14ac:dyDescent="0.25">
      <c r="B622" s="21">
        <v>620</v>
      </c>
      <c r="C622" s="21" t="s">
        <v>756</v>
      </c>
      <c r="D622" s="21" t="s">
        <v>138</v>
      </c>
      <c r="E622">
        <f>FIND(",", tblPassengerNames[[#This Row],[Name]])</f>
        <v>6</v>
      </c>
      <c r="F622">
        <f>FIND(".", tblPassengerNames[[#This Row],[Name]])</f>
        <v>10</v>
      </c>
      <c r="G622" t="e">
        <f>FIND("(", tblPassengerNames[[#This Row],[Name]])</f>
        <v>#VALUE!</v>
      </c>
      <c r="H622" t="e">
        <f>FIND(")", tblPassengerNames[[#This Row],[Name]])</f>
        <v>#VALUE!</v>
      </c>
      <c r="I622">
        <f>IFERROR(tblPassengerNames[[#This Row],[OpenParPos]] - 2, LEN(tblPassengerNames[[#This Row],[Name]]))</f>
        <v>22</v>
      </c>
      <c r="J622" t="str">
        <f>MID(tblPassengerNames[[#This Row],[Name]], tblPassengerNames[[#This Row],[DotPos]] + 2, tblPassengerNames[[#This Row],[EndOfConvFNPos]] - tblPassengerNames[[#This Row],[DotPos]] - 1)</f>
        <v>Owen George</v>
      </c>
      <c r="K622" t="e">
        <f>MID(tblPassengerNames[[#This Row],[Name]], tblPassengerNames[[#This Row],[OpenParPos]] + 1, tblPassengerNames[[#This Row],[CloseParPos]] - tblPassengerNames[[#This Row],[OpenParPos]] - 1)</f>
        <v>#VALUE!</v>
      </c>
      <c r="L622" t="e">
        <f>IF(AND(LEFT(tblPassengerNames[[#This Row],[InParentheses]], 1) = "'", RIGHT(tblPassengerNames[[#This Row],[InParentheses]], 1) = "'"),
    #VALUE!,
    tblPassengerNames[[#This Row],[InParentheses]]
)</f>
        <v>#VALUE!</v>
      </c>
      <c r="M622" t="e">
        <f>LEN(tblPassengerNames[[#This Row],[InParenthesesCleaned]]) - LEN(SUBSTITUTE(tblPassengerNames[[#This Row],[InParenthesesCleaned]], " ", ""))</f>
        <v>#VALUE!</v>
      </c>
      <c r="N622" t="e">
        <f>FIND("@", SUBSTITUTE(tblPassengerNames[[#This Row],[InParenthesesCleaned]], " ", "@", tblPassengerNames[[#This Row],[P_NSpaces]]))</f>
        <v>#VALUE!</v>
      </c>
      <c r="O622" t="e">
        <f>IF(tblPassengerNames[[#This Row],[P_NSpaces]] = 0,
    tblPassengerNames[[#This Row],[InParenthesesCleaned]],
    LEFT(tblPassengerNames[[#This Row],[InParenthesesCleaned]], tblPassengerNames[[#This Row],[P_FinalSpacePos]] - 1)
)</f>
        <v>#VALUE!</v>
      </c>
      <c r="P622" t="str">
        <f>IFERROR(tblPassengerNames[[#This Row],[P_Forenames]], tblPassengerNames[[#This Row],[ConvForenames]])</f>
        <v>Owen George</v>
      </c>
      <c r="Q622" t="str">
        <f>MID(tblPassengerNames[[#This Row],[Name]], tblPassengerNames[[#This Row],[CommaPos]] + 2, tblPassengerNames[[#This Row],[DotPos]] - tblPassengerNames[[#This Row],[CommaPos]] - 1)</f>
        <v>Mr.</v>
      </c>
      <c r="R622" t="str">
        <f>LEFT(tblPassengerNames[[#This Row],[Name]], tblPassengerNames[[#This Row],[CommaPos]] - 1)</f>
        <v>Allum</v>
      </c>
    </row>
    <row r="623" spans="2:18" x14ac:dyDescent="0.25">
      <c r="B623" s="21">
        <v>621</v>
      </c>
      <c r="C623" s="21" t="s">
        <v>757</v>
      </c>
      <c r="D623" s="21" t="s">
        <v>138</v>
      </c>
      <c r="E623">
        <f>FIND(",", tblPassengerNames[[#This Row],[Name]])</f>
        <v>9</v>
      </c>
      <c r="F623">
        <f>FIND(".", tblPassengerNames[[#This Row],[Name]])</f>
        <v>13</v>
      </c>
      <c r="G623" t="e">
        <f>FIND("(", tblPassengerNames[[#This Row],[Name]])</f>
        <v>#VALUE!</v>
      </c>
      <c r="H623" t="e">
        <f>FIND(")", tblPassengerNames[[#This Row],[Name]])</f>
        <v>#VALUE!</v>
      </c>
      <c r="I623">
        <f>IFERROR(tblPassengerNames[[#This Row],[OpenParPos]] - 2, LEN(tblPassengerNames[[#This Row],[Name]]))</f>
        <v>27</v>
      </c>
      <c r="J623" t="str">
        <f>MID(tblPassengerNames[[#This Row],[Name]], tblPassengerNames[[#This Row],[DotPos]] + 2, tblPassengerNames[[#This Row],[EndOfConvFNPos]] - tblPassengerNames[[#This Row],[DotPos]] - 1)</f>
        <v>Albert Karvin</v>
      </c>
      <c r="K623" t="e">
        <f>MID(tblPassengerNames[[#This Row],[Name]], tblPassengerNames[[#This Row],[OpenParPos]] + 1, tblPassengerNames[[#This Row],[CloseParPos]] - tblPassengerNames[[#This Row],[OpenParPos]] - 1)</f>
        <v>#VALUE!</v>
      </c>
      <c r="L623" t="e">
        <f>IF(AND(LEFT(tblPassengerNames[[#This Row],[InParentheses]], 1) = "'", RIGHT(tblPassengerNames[[#This Row],[InParentheses]], 1) = "'"),
    #VALUE!,
    tblPassengerNames[[#This Row],[InParentheses]]
)</f>
        <v>#VALUE!</v>
      </c>
      <c r="M623" t="e">
        <f>LEN(tblPassengerNames[[#This Row],[InParenthesesCleaned]]) - LEN(SUBSTITUTE(tblPassengerNames[[#This Row],[InParenthesesCleaned]], " ", ""))</f>
        <v>#VALUE!</v>
      </c>
      <c r="N623" t="e">
        <f>FIND("@", SUBSTITUTE(tblPassengerNames[[#This Row],[InParenthesesCleaned]], " ", "@", tblPassengerNames[[#This Row],[P_NSpaces]]))</f>
        <v>#VALUE!</v>
      </c>
      <c r="O623" t="e">
        <f>IF(tblPassengerNames[[#This Row],[P_NSpaces]] = 0,
    tblPassengerNames[[#This Row],[InParenthesesCleaned]],
    LEFT(tblPassengerNames[[#This Row],[InParenthesesCleaned]], tblPassengerNames[[#This Row],[P_FinalSpacePos]] - 1)
)</f>
        <v>#VALUE!</v>
      </c>
      <c r="P623" t="str">
        <f>IFERROR(tblPassengerNames[[#This Row],[P_Forenames]], tblPassengerNames[[#This Row],[ConvForenames]])</f>
        <v>Albert Karvin</v>
      </c>
      <c r="Q623" t="str">
        <f>MID(tblPassengerNames[[#This Row],[Name]], tblPassengerNames[[#This Row],[CommaPos]] + 2, tblPassengerNames[[#This Row],[DotPos]] - tblPassengerNames[[#This Row],[CommaPos]] - 1)</f>
        <v>Mr.</v>
      </c>
      <c r="R623" t="str">
        <f>LEFT(tblPassengerNames[[#This Row],[Name]], tblPassengerNames[[#This Row],[CommaPos]] - 1)</f>
        <v>Andersen</v>
      </c>
    </row>
    <row r="624" spans="2:18" x14ac:dyDescent="0.25">
      <c r="B624" s="21">
        <v>622</v>
      </c>
      <c r="C624" s="21" t="s">
        <v>758</v>
      </c>
      <c r="D624" s="21" t="s">
        <v>136</v>
      </c>
      <c r="E624">
        <f>FIND(",", tblPassengerNames[[#This Row],[Name]])</f>
        <v>16</v>
      </c>
      <c r="F624">
        <f>FIND(".", tblPassengerNames[[#This Row],[Name]])</f>
        <v>22</v>
      </c>
      <c r="G624" t="e">
        <f>FIND("(", tblPassengerNames[[#This Row],[Name]])</f>
        <v>#VALUE!</v>
      </c>
      <c r="H624" t="e">
        <f>FIND(")", tblPassengerNames[[#This Row],[Name]])</f>
        <v>#VALUE!</v>
      </c>
      <c r="I624">
        <f>IFERROR(tblPassengerNames[[#This Row],[OpenParPos]] - 2, LEN(tblPassengerNames[[#This Row],[Name]]))</f>
        <v>47</v>
      </c>
      <c r="J624" t="str">
        <f>MID(tblPassengerNames[[#This Row],[Name]], tblPassengerNames[[#This Row],[DotPos]] + 2, tblPassengerNames[[#This Row],[EndOfConvFNPos]] - tblPassengerNames[[#This Row],[DotPos]] - 1)</f>
        <v>Carla Christine Nielsine</v>
      </c>
      <c r="K624" t="e">
        <f>MID(tblPassengerNames[[#This Row],[Name]], tblPassengerNames[[#This Row],[OpenParPos]] + 1, tblPassengerNames[[#This Row],[CloseParPos]] - tblPassengerNames[[#This Row],[OpenParPos]] - 1)</f>
        <v>#VALUE!</v>
      </c>
      <c r="L624" t="e">
        <f>IF(AND(LEFT(tblPassengerNames[[#This Row],[InParentheses]], 1) = "'", RIGHT(tblPassengerNames[[#This Row],[InParentheses]], 1) = "'"),
    #VALUE!,
    tblPassengerNames[[#This Row],[InParentheses]]
)</f>
        <v>#VALUE!</v>
      </c>
      <c r="M624" t="e">
        <f>LEN(tblPassengerNames[[#This Row],[InParenthesesCleaned]]) - LEN(SUBSTITUTE(tblPassengerNames[[#This Row],[InParenthesesCleaned]], " ", ""))</f>
        <v>#VALUE!</v>
      </c>
      <c r="N624" t="e">
        <f>FIND("@", SUBSTITUTE(tblPassengerNames[[#This Row],[InParenthesesCleaned]], " ", "@", tblPassengerNames[[#This Row],[P_NSpaces]]))</f>
        <v>#VALUE!</v>
      </c>
      <c r="O624" t="e">
        <f>IF(tblPassengerNames[[#This Row],[P_NSpaces]] = 0,
    tblPassengerNames[[#This Row],[InParenthesesCleaned]],
    LEFT(tblPassengerNames[[#This Row],[InParenthesesCleaned]], tblPassengerNames[[#This Row],[P_FinalSpacePos]] - 1)
)</f>
        <v>#VALUE!</v>
      </c>
      <c r="P624" t="str">
        <f>IFERROR(tblPassengerNames[[#This Row],[P_Forenames]], tblPassengerNames[[#This Row],[ConvForenames]])</f>
        <v>Carla Christine Nielsine</v>
      </c>
      <c r="Q624" t="str">
        <f>MID(tblPassengerNames[[#This Row],[Name]], tblPassengerNames[[#This Row],[CommaPos]] + 2, tblPassengerNames[[#This Row],[DotPos]] - tblPassengerNames[[#This Row],[CommaPos]] - 1)</f>
        <v>Miss.</v>
      </c>
      <c r="R624" t="str">
        <f>LEFT(tblPassengerNames[[#This Row],[Name]], tblPassengerNames[[#This Row],[CommaPos]] - 1)</f>
        <v>Andersen-Jensen</v>
      </c>
    </row>
    <row r="625" spans="2:18" x14ac:dyDescent="0.25">
      <c r="B625" s="21">
        <v>623</v>
      </c>
      <c r="C625" s="21" t="s">
        <v>759</v>
      </c>
      <c r="D625" s="21" t="s">
        <v>138</v>
      </c>
      <c r="E625">
        <f>FIND(",", tblPassengerNames[[#This Row],[Name]])</f>
        <v>10</v>
      </c>
      <c r="F625">
        <f>FIND(".", tblPassengerNames[[#This Row],[Name]])</f>
        <v>18</v>
      </c>
      <c r="G625" t="e">
        <f>FIND("(", tblPassengerNames[[#This Row],[Name]])</f>
        <v>#VALUE!</v>
      </c>
      <c r="H625" t="e">
        <f>FIND(")", tblPassengerNames[[#This Row],[Name]])</f>
        <v>#VALUE!</v>
      </c>
      <c r="I625">
        <f>IFERROR(tblPassengerNames[[#This Row],[OpenParPos]] - 2, LEN(tblPassengerNames[[#This Row],[Name]]))</f>
        <v>39</v>
      </c>
      <c r="J625" t="str">
        <f>MID(tblPassengerNames[[#This Row],[Name]], tblPassengerNames[[#This Row],[DotPos]] + 2, tblPassengerNames[[#This Row],[EndOfConvFNPos]] - tblPassengerNames[[#This Row],[DotPos]] - 1)</f>
        <v>Sigvard Harald Elias</v>
      </c>
      <c r="K625" t="e">
        <f>MID(tblPassengerNames[[#This Row],[Name]], tblPassengerNames[[#This Row],[OpenParPos]] + 1, tblPassengerNames[[#This Row],[CloseParPos]] - tblPassengerNames[[#This Row],[OpenParPos]] - 1)</f>
        <v>#VALUE!</v>
      </c>
      <c r="L625" t="e">
        <f>IF(AND(LEFT(tblPassengerNames[[#This Row],[InParentheses]], 1) = "'", RIGHT(tblPassengerNames[[#This Row],[InParentheses]], 1) = "'"),
    #VALUE!,
    tblPassengerNames[[#This Row],[InParentheses]]
)</f>
        <v>#VALUE!</v>
      </c>
      <c r="M625" t="e">
        <f>LEN(tblPassengerNames[[#This Row],[InParenthesesCleaned]]) - LEN(SUBSTITUTE(tblPassengerNames[[#This Row],[InParenthesesCleaned]], " ", ""))</f>
        <v>#VALUE!</v>
      </c>
      <c r="N625" t="e">
        <f>FIND("@", SUBSTITUTE(tblPassengerNames[[#This Row],[InParenthesesCleaned]], " ", "@", tblPassengerNames[[#This Row],[P_NSpaces]]))</f>
        <v>#VALUE!</v>
      </c>
      <c r="O625" t="e">
        <f>IF(tblPassengerNames[[#This Row],[P_NSpaces]] = 0,
    tblPassengerNames[[#This Row],[InParenthesesCleaned]],
    LEFT(tblPassengerNames[[#This Row],[InParenthesesCleaned]], tblPassengerNames[[#This Row],[P_FinalSpacePos]] - 1)
)</f>
        <v>#VALUE!</v>
      </c>
      <c r="P625" t="str">
        <f>IFERROR(tblPassengerNames[[#This Row],[P_Forenames]], tblPassengerNames[[#This Row],[ConvForenames]])</f>
        <v>Sigvard Harald Elias</v>
      </c>
      <c r="Q625" t="str">
        <f>MID(tblPassengerNames[[#This Row],[Name]], tblPassengerNames[[#This Row],[CommaPos]] + 2, tblPassengerNames[[#This Row],[DotPos]] - tblPassengerNames[[#This Row],[CommaPos]] - 1)</f>
        <v>Master.</v>
      </c>
      <c r="R625" t="str">
        <f>LEFT(tblPassengerNames[[#This Row],[Name]], tblPassengerNames[[#This Row],[CommaPos]] - 1)</f>
        <v>Andersson</v>
      </c>
    </row>
    <row r="626" spans="2:18" x14ac:dyDescent="0.25">
      <c r="B626" s="21">
        <v>624</v>
      </c>
      <c r="C626" s="21" t="s">
        <v>760</v>
      </c>
      <c r="D626" s="21" t="s">
        <v>136</v>
      </c>
      <c r="E626">
        <f>FIND(",", tblPassengerNames[[#This Row],[Name]])</f>
        <v>10</v>
      </c>
      <c r="F626">
        <f>FIND(".", tblPassengerNames[[#This Row],[Name]])</f>
        <v>16</v>
      </c>
      <c r="G626" t="e">
        <f>FIND("(", tblPassengerNames[[#This Row],[Name]])</f>
        <v>#VALUE!</v>
      </c>
      <c r="H626" t="e">
        <f>FIND(")", tblPassengerNames[[#This Row],[Name]])</f>
        <v>#VALUE!</v>
      </c>
      <c r="I626">
        <f>IFERROR(tblPassengerNames[[#This Row],[OpenParPos]] - 2, LEN(tblPassengerNames[[#This Row],[Name]]))</f>
        <v>34</v>
      </c>
      <c r="J626" t="str">
        <f>MID(tblPassengerNames[[#This Row],[Name]], tblPassengerNames[[#This Row],[DotPos]] + 2, tblPassengerNames[[#This Row],[EndOfConvFNPos]] - tblPassengerNames[[#This Row],[DotPos]] - 1)</f>
        <v>Ebba Iris Alfrida</v>
      </c>
      <c r="K626" t="e">
        <f>MID(tblPassengerNames[[#This Row],[Name]], tblPassengerNames[[#This Row],[OpenParPos]] + 1, tblPassengerNames[[#This Row],[CloseParPos]] - tblPassengerNames[[#This Row],[OpenParPos]] - 1)</f>
        <v>#VALUE!</v>
      </c>
      <c r="L626" t="e">
        <f>IF(AND(LEFT(tblPassengerNames[[#This Row],[InParentheses]], 1) = "'", RIGHT(tblPassengerNames[[#This Row],[InParentheses]], 1) = "'"),
    #VALUE!,
    tblPassengerNames[[#This Row],[InParentheses]]
)</f>
        <v>#VALUE!</v>
      </c>
      <c r="M626" t="e">
        <f>LEN(tblPassengerNames[[#This Row],[InParenthesesCleaned]]) - LEN(SUBSTITUTE(tblPassengerNames[[#This Row],[InParenthesesCleaned]], " ", ""))</f>
        <v>#VALUE!</v>
      </c>
      <c r="N626" t="e">
        <f>FIND("@", SUBSTITUTE(tblPassengerNames[[#This Row],[InParenthesesCleaned]], " ", "@", tblPassengerNames[[#This Row],[P_NSpaces]]))</f>
        <v>#VALUE!</v>
      </c>
      <c r="O626" t="e">
        <f>IF(tblPassengerNames[[#This Row],[P_NSpaces]] = 0,
    tblPassengerNames[[#This Row],[InParenthesesCleaned]],
    LEFT(tblPassengerNames[[#This Row],[InParenthesesCleaned]], tblPassengerNames[[#This Row],[P_FinalSpacePos]] - 1)
)</f>
        <v>#VALUE!</v>
      </c>
      <c r="P626" t="str">
        <f>IFERROR(tblPassengerNames[[#This Row],[P_Forenames]], tblPassengerNames[[#This Row],[ConvForenames]])</f>
        <v>Ebba Iris Alfrida</v>
      </c>
      <c r="Q626" t="str">
        <f>MID(tblPassengerNames[[#This Row],[Name]], tblPassengerNames[[#This Row],[CommaPos]] + 2, tblPassengerNames[[#This Row],[DotPos]] - tblPassengerNames[[#This Row],[CommaPos]] - 1)</f>
        <v>Miss.</v>
      </c>
      <c r="R626" t="str">
        <f>LEFT(tblPassengerNames[[#This Row],[Name]], tblPassengerNames[[#This Row],[CommaPos]] - 1)</f>
        <v>Andersson</v>
      </c>
    </row>
    <row r="627" spans="2:18" x14ac:dyDescent="0.25">
      <c r="B627" s="21">
        <v>625</v>
      </c>
      <c r="C627" s="21" t="s">
        <v>761</v>
      </c>
      <c r="D627" s="21" t="s">
        <v>136</v>
      </c>
      <c r="E627">
        <f>FIND(",", tblPassengerNames[[#This Row],[Name]])</f>
        <v>10</v>
      </c>
      <c r="F627">
        <f>FIND(".", tblPassengerNames[[#This Row],[Name]])</f>
        <v>16</v>
      </c>
      <c r="G627" t="e">
        <f>FIND("(", tblPassengerNames[[#This Row],[Name]])</f>
        <v>#VALUE!</v>
      </c>
      <c r="H627" t="e">
        <f>FIND(")", tblPassengerNames[[#This Row],[Name]])</f>
        <v>#VALUE!</v>
      </c>
      <c r="I627">
        <f>IFERROR(tblPassengerNames[[#This Row],[OpenParPos]] - 2, LEN(tblPassengerNames[[#This Row],[Name]]))</f>
        <v>33</v>
      </c>
      <c r="J627" t="str">
        <f>MID(tblPassengerNames[[#This Row],[Name]], tblPassengerNames[[#This Row],[DotPos]] + 2, tblPassengerNames[[#This Row],[EndOfConvFNPos]] - tblPassengerNames[[#This Row],[DotPos]] - 1)</f>
        <v>Ellis Anna Maria</v>
      </c>
      <c r="K627" t="e">
        <f>MID(tblPassengerNames[[#This Row],[Name]], tblPassengerNames[[#This Row],[OpenParPos]] + 1, tblPassengerNames[[#This Row],[CloseParPos]] - tblPassengerNames[[#This Row],[OpenParPos]] - 1)</f>
        <v>#VALUE!</v>
      </c>
      <c r="L627" t="e">
        <f>IF(AND(LEFT(tblPassengerNames[[#This Row],[InParentheses]], 1) = "'", RIGHT(tblPassengerNames[[#This Row],[InParentheses]], 1) = "'"),
    #VALUE!,
    tblPassengerNames[[#This Row],[InParentheses]]
)</f>
        <v>#VALUE!</v>
      </c>
      <c r="M627" t="e">
        <f>LEN(tblPassengerNames[[#This Row],[InParenthesesCleaned]]) - LEN(SUBSTITUTE(tblPassengerNames[[#This Row],[InParenthesesCleaned]], " ", ""))</f>
        <v>#VALUE!</v>
      </c>
      <c r="N627" t="e">
        <f>FIND("@", SUBSTITUTE(tblPassengerNames[[#This Row],[InParenthesesCleaned]], " ", "@", tblPassengerNames[[#This Row],[P_NSpaces]]))</f>
        <v>#VALUE!</v>
      </c>
      <c r="O627" t="e">
        <f>IF(tblPassengerNames[[#This Row],[P_NSpaces]] = 0,
    tblPassengerNames[[#This Row],[InParenthesesCleaned]],
    LEFT(tblPassengerNames[[#This Row],[InParenthesesCleaned]], tblPassengerNames[[#This Row],[P_FinalSpacePos]] - 1)
)</f>
        <v>#VALUE!</v>
      </c>
      <c r="P627" t="str">
        <f>IFERROR(tblPassengerNames[[#This Row],[P_Forenames]], tblPassengerNames[[#This Row],[ConvForenames]])</f>
        <v>Ellis Anna Maria</v>
      </c>
      <c r="Q627" t="str">
        <f>MID(tblPassengerNames[[#This Row],[Name]], tblPassengerNames[[#This Row],[CommaPos]] + 2, tblPassengerNames[[#This Row],[DotPos]] - tblPassengerNames[[#This Row],[CommaPos]] - 1)</f>
        <v>Miss.</v>
      </c>
      <c r="R627" t="str">
        <f>LEFT(tblPassengerNames[[#This Row],[Name]], tblPassengerNames[[#This Row],[CommaPos]] - 1)</f>
        <v>Andersson</v>
      </c>
    </row>
    <row r="628" spans="2:18" x14ac:dyDescent="0.25">
      <c r="B628" s="21">
        <v>626</v>
      </c>
      <c r="C628" s="21" t="s">
        <v>762</v>
      </c>
      <c r="D628" s="21" t="s">
        <v>136</v>
      </c>
      <c r="E628">
        <f>FIND(",", tblPassengerNames[[#This Row],[Name]])</f>
        <v>10</v>
      </c>
      <c r="F628">
        <f>FIND(".", tblPassengerNames[[#This Row],[Name]])</f>
        <v>16</v>
      </c>
      <c r="G628" t="e">
        <f>FIND("(", tblPassengerNames[[#This Row],[Name]])</f>
        <v>#VALUE!</v>
      </c>
      <c r="H628" t="e">
        <f>FIND(")", tblPassengerNames[[#This Row],[Name]])</f>
        <v>#VALUE!</v>
      </c>
      <c r="I628">
        <f>IFERROR(tblPassengerNames[[#This Row],[OpenParPos]] - 2, LEN(tblPassengerNames[[#This Row],[Name]]))</f>
        <v>31</v>
      </c>
      <c r="J628" t="str">
        <f>MID(tblPassengerNames[[#This Row],[Name]], tblPassengerNames[[#This Row],[DotPos]] + 2, tblPassengerNames[[#This Row],[EndOfConvFNPos]] - tblPassengerNames[[#This Row],[DotPos]] - 1)</f>
        <v>Erna Alexandra</v>
      </c>
      <c r="K628" t="e">
        <f>MID(tblPassengerNames[[#This Row],[Name]], tblPassengerNames[[#This Row],[OpenParPos]] + 1, tblPassengerNames[[#This Row],[CloseParPos]] - tblPassengerNames[[#This Row],[OpenParPos]] - 1)</f>
        <v>#VALUE!</v>
      </c>
      <c r="L628" t="e">
        <f>IF(AND(LEFT(tblPassengerNames[[#This Row],[InParentheses]], 1) = "'", RIGHT(tblPassengerNames[[#This Row],[InParentheses]], 1) = "'"),
    #VALUE!,
    tblPassengerNames[[#This Row],[InParentheses]]
)</f>
        <v>#VALUE!</v>
      </c>
      <c r="M628" t="e">
        <f>LEN(tblPassengerNames[[#This Row],[InParenthesesCleaned]]) - LEN(SUBSTITUTE(tblPassengerNames[[#This Row],[InParenthesesCleaned]], " ", ""))</f>
        <v>#VALUE!</v>
      </c>
      <c r="N628" t="e">
        <f>FIND("@", SUBSTITUTE(tblPassengerNames[[#This Row],[InParenthesesCleaned]], " ", "@", tblPassengerNames[[#This Row],[P_NSpaces]]))</f>
        <v>#VALUE!</v>
      </c>
      <c r="O628" t="e">
        <f>IF(tblPassengerNames[[#This Row],[P_NSpaces]] = 0,
    tblPassengerNames[[#This Row],[InParenthesesCleaned]],
    LEFT(tblPassengerNames[[#This Row],[InParenthesesCleaned]], tblPassengerNames[[#This Row],[P_FinalSpacePos]] - 1)
)</f>
        <v>#VALUE!</v>
      </c>
      <c r="P628" t="str">
        <f>IFERROR(tblPassengerNames[[#This Row],[P_Forenames]], tblPassengerNames[[#This Row],[ConvForenames]])</f>
        <v>Erna Alexandra</v>
      </c>
      <c r="Q628" t="str">
        <f>MID(tblPassengerNames[[#This Row],[Name]], tblPassengerNames[[#This Row],[CommaPos]] + 2, tblPassengerNames[[#This Row],[DotPos]] - tblPassengerNames[[#This Row],[CommaPos]] - 1)</f>
        <v>Miss.</v>
      </c>
      <c r="R628" t="str">
        <f>LEFT(tblPassengerNames[[#This Row],[Name]], tblPassengerNames[[#This Row],[CommaPos]] - 1)</f>
        <v>Andersson</v>
      </c>
    </row>
    <row r="629" spans="2:18" x14ac:dyDescent="0.25">
      <c r="B629" s="21">
        <v>627</v>
      </c>
      <c r="C629" s="21" t="s">
        <v>763</v>
      </c>
      <c r="D629" s="21" t="s">
        <v>136</v>
      </c>
      <c r="E629">
        <f>FIND(",", tblPassengerNames[[#This Row],[Name]])</f>
        <v>10</v>
      </c>
      <c r="F629">
        <f>FIND(".", tblPassengerNames[[#This Row],[Name]])</f>
        <v>16</v>
      </c>
      <c r="G629" t="e">
        <f>FIND("(", tblPassengerNames[[#This Row],[Name]])</f>
        <v>#VALUE!</v>
      </c>
      <c r="H629" t="e">
        <f>FIND(")", tblPassengerNames[[#This Row],[Name]])</f>
        <v>#VALUE!</v>
      </c>
      <c r="I629">
        <f>IFERROR(tblPassengerNames[[#This Row],[OpenParPos]] - 2, LEN(tblPassengerNames[[#This Row],[Name]]))</f>
        <v>38</v>
      </c>
      <c r="J629" t="str">
        <f>MID(tblPassengerNames[[#This Row],[Name]], tblPassengerNames[[#This Row],[DotPos]] + 2, tblPassengerNames[[#This Row],[EndOfConvFNPos]] - tblPassengerNames[[#This Row],[DotPos]] - 1)</f>
        <v>Ida Augusta Margareta</v>
      </c>
      <c r="K629" t="e">
        <f>MID(tblPassengerNames[[#This Row],[Name]], tblPassengerNames[[#This Row],[OpenParPos]] + 1, tblPassengerNames[[#This Row],[CloseParPos]] - tblPassengerNames[[#This Row],[OpenParPos]] - 1)</f>
        <v>#VALUE!</v>
      </c>
      <c r="L629" t="e">
        <f>IF(AND(LEFT(tblPassengerNames[[#This Row],[InParentheses]], 1) = "'", RIGHT(tblPassengerNames[[#This Row],[InParentheses]], 1) = "'"),
    #VALUE!,
    tblPassengerNames[[#This Row],[InParentheses]]
)</f>
        <v>#VALUE!</v>
      </c>
      <c r="M629" t="e">
        <f>LEN(tblPassengerNames[[#This Row],[InParenthesesCleaned]]) - LEN(SUBSTITUTE(tblPassengerNames[[#This Row],[InParenthesesCleaned]], " ", ""))</f>
        <v>#VALUE!</v>
      </c>
      <c r="N629" t="e">
        <f>FIND("@", SUBSTITUTE(tblPassengerNames[[#This Row],[InParenthesesCleaned]], " ", "@", tblPassengerNames[[#This Row],[P_NSpaces]]))</f>
        <v>#VALUE!</v>
      </c>
      <c r="O629" t="e">
        <f>IF(tblPassengerNames[[#This Row],[P_NSpaces]] = 0,
    tblPassengerNames[[#This Row],[InParenthesesCleaned]],
    LEFT(tblPassengerNames[[#This Row],[InParenthesesCleaned]], tblPassengerNames[[#This Row],[P_FinalSpacePos]] - 1)
)</f>
        <v>#VALUE!</v>
      </c>
      <c r="P629" t="str">
        <f>IFERROR(tblPassengerNames[[#This Row],[P_Forenames]], tblPassengerNames[[#This Row],[ConvForenames]])</f>
        <v>Ida Augusta Margareta</v>
      </c>
      <c r="Q629" t="str">
        <f>MID(tblPassengerNames[[#This Row],[Name]], tblPassengerNames[[#This Row],[CommaPos]] + 2, tblPassengerNames[[#This Row],[DotPos]] - tblPassengerNames[[#This Row],[CommaPos]] - 1)</f>
        <v>Miss.</v>
      </c>
      <c r="R629" t="str">
        <f>LEFT(tblPassengerNames[[#This Row],[Name]], tblPassengerNames[[#This Row],[CommaPos]] - 1)</f>
        <v>Andersson</v>
      </c>
    </row>
    <row r="630" spans="2:18" x14ac:dyDescent="0.25">
      <c r="B630" s="21">
        <v>628</v>
      </c>
      <c r="C630" s="21" t="s">
        <v>764</v>
      </c>
      <c r="D630" s="21" t="s">
        <v>136</v>
      </c>
      <c r="E630">
        <f>FIND(",", tblPassengerNames[[#This Row],[Name]])</f>
        <v>10</v>
      </c>
      <c r="F630">
        <f>FIND(".", tblPassengerNames[[#This Row],[Name]])</f>
        <v>16</v>
      </c>
      <c r="G630" t="e">
        <f>FIND("(", tblPassengerNames[[#This Row],[Name]])</f>
        <v>#VALUE!</v>
      </c>
      <c r="H630" t="e">
        <f>FIND(")", tblPassengerNames[[#This Row],[Name]])</f>
        <v>#VALUE!</v>
      </c>
      <c r="I630">
        <f>IFERROR(tblPassengerNames[[#This Row],[OpenParPos]] - 2, LEN(tblPassengerNames[[#This Row],[Name]]))</f>
        <v>36</v>
      </c>
      <c r="J630" t="str">
        <f>MID(tblPassengerNames[[#This Row],[Name]], tblPassengerNames[[#This Row],[DotPos]] + 2, tblPassengerNames[[#This Row],[EndOfConvFNPos]] - tblPassengerNames[[#This Row],[DotPos]] - 1)</f>
        <v>Ingeborg Constanzia</v>
      </c>
      <c r="K630" t="e">
        <f>MID(tblPassengerNames[[#This Row],[Name]], tblPassengerNames[[#This Row],[OpenParPos]] + 1, tblPassengerNames[[#This Row],[CloseParPos]] - tblPassengerNames[[#This Row],[OpenParPos]] - 1)</f>
        <v>#VALUE!</v>
      </c>
      <c r="L630" t="e">
        <f>IF(AND(LEFT(tblPassengerNames[[#This Row],[InParentheses]], 1) = "'", RIGHT(tblPassengerNames[[#This Row],[InParentheses]], 1) = "'"),
    #VALUE!,
    tblPassengerNames[[#This Row],[InParentheses]]
)</f>
        <v>#VALUE!</v>
      </c>
      <c r="M630" t="e">
        <f>LEN(tblPassengerNames[[#This Row],[InParenthesesCleaned]]) - LEN(SUBSTITUTE(tblPassengerNames[[#This Row],[InParenthesesCleaned]], " ", ""))</f>
        <v>#VALUE!</v>
      </c>
      <c r="N630" t="e">
        <f>FIND("@", SUBSTITUTE(tblPassengerNames[[#This Row],[InParenthesesCleaned]], " ", "@", tblPassengerNames[[#This Row],[P_NSpaces]]))</f>
        <v>#VALUE!</v>
      </c>
      <c r="O630" t="e">
        <f>IF(tblPassengerNames[[#This Row],[P_NSpaces]] = 0,
    tblPassengerNames[[#This Row],[InParenthesesCleaned]],
    LEFT(tblPassengerNames[[#This Row],[InParenthesesCleaned]], tblPassengerNames[[#This Row],[P_FinalSpacePos]] - 1)
)</f>
        <v>#VALUE!</v>
      </c>
      <c r="P630" t="str">
        <f>IFERROR(tblPassengerNames[[#This Row],[P_Forenames]], tblPassengerNames[[#This Row],[ConvForenames]])</f>
        <v>Ingeborg Constanzia</v>
      </c>
      <c r="Q630" t="str">
        <f>MID(tblPassengerNames[[#This Row],[Name]], tblPassengerNames[[#This Row],[CommaPos]] + 2, tblPassengerNames[[#This Row],[DotPos]] - tblPassengerNames[[#This Row],[CommaPos]] - 1)</f>
        <v>Miss.</v>
      </c>
      <c r="R630" t="str">
        <f>LEFT(tblPassengerNames[[#This Row],[Name]], tblPassengerNames[[#This Row],[CommaPos]] - 1)</f>
        <v>Andersson</v>
      </c>
    </row>
    <row r="631" spans="2:18" x14ac:dyDescent="0.25">
      <c r="B631" s="21">
        <v>629</v>
      </c>
      <c r="C631" s="21" t="s">
        <v>765</v>
      </c>
      <c r="D631" s="21" t="s">
        <v>136</v>
      </c>
      <c r="E631">
        <f>FIND(",", tblPassengerNames[[#This Row],[Name]])</f>
        <v>10</v>
      </c>
      <c r="F631">
        <f>FIND(".", tblPassengerNames[[#This Row],[Name]])</f>
        <v>16</v>
      </c>
      <c r="G631" t="e">
        <f>FIND("(", tblPassengerNames[[#This Row],[Name]])</f>
        <v>#VALUE!</v>
      </c>
      <c r="H631" t="e">
        <f>FIND(")", tblPassengerNames[[#This Row],[Name]])</f>
        <v>#VALUE!</v>
      </c>
      <c r="I631">
        <f>IFERROR(tblPassengerNames[[#This Row],[OpenParPos]] - 2, LEN(tblPassengerNames[[#This Row],[Name]]))</f>
        <v>33</v>
      </c>
      <c r="J631" t="str">
        <f>MID(tblPassengerNames[[#This Row],[Name]], tblPassengerNames[[#This Row],[DotPos]] + 2, tblPassengerNames[[#This Row],[EndOfConvFNPos]] - tblPassengerNames[[#This Row],[DotPos]] - 1)</f>
        <v>Sigrid Elisabeth</v>
      </c>
      <c r="K631" t="e">
        <f>MID(tblPassengerNames[[#This Row],[Name]], tblPassengerNames[[#This Row],[OpenParPos]] + 1, tblPassengerNames[[#This Row],[CloseParPos]] - tblPassengerNames[[#This Row],[OpenParPos]] - 1)</f>
        <v>#VALUE!</v>
      </c>
      <c r="L631" t="e">
        <f>IF(AND(LEFT(tblPassengerNames[[#This Row],[InParentheses]], 1) = "'", RIGHT(tblPassengerNames[[#This Row],[InParentheses]], 1) = "'"),
    #VALUE!,
    tblPassengerNames[[#This Row],[InParentheses]]
)</f>
        <v>#VALUE!</v>
      </c>
      <c r="M631" t="e">
        <f>LEN(tblPassengerNames[[#This Row],[InParenthesesCleaned]]) - LEN(SUBSTITUTE(tblPassengerNames[[#This Row],[InParenthesesCleaned]], " ", ""))</f>
        <v>#VALUE!</v>
      </c>
      <c r="N631" t="e">
        <f>FIND("@", SUBSTITUTE(tblPassengerNames[[#This Row],[InParenthesesCleaned]], " ", "@", tblPassengerNames[[#This Row],[P_NSpaces]]))</f>
        <v>#VALUE!</v>
      </c>
      <c r="O631" t="e">
        <f>IF(tblPassengerNames[[#This Row],[P_NSpaces]] = 0,
    tblPassengerNames[[#This Row],[InParenthesesCleaned]],
    LEFT(tblPassengerNames[[#This Row],[InParenthesesCleaned]], tblPassengerNames[[#This Row],[P_FinalSpacePos]] - 1)
)</f>
        <v>#VALUE!</v>
      </c>
      <c r="P631" t="str">
        <f>IFERROR(tblPassengerNames[[#This Row],[P_Forenames]], tblPassengerNames[[#This Row],[ConvForenames]])</f>
        <v>Sigrid Elisabeth</v>
      </c>
      <c r="Q631" t="str">
        <f>MID(tblPassengerNames[[#This Row],[Name]], tblPassengerNames[[#This Row],[CommaPos]] + 2, tblPassengerNames[[#This Row],[DotPos]] - tblPassengerNames[[#This Row],[CommaPos]] - 1)</f>
        <v>Miss.</v>
      </c>
      <c r="R631" t="str">
        <f>LEFT(tblPassengerNames[[#This Row],[Name]], tblPassengerNames[[#This Row],[CommaPos]] - 1)</f>
        <v>Andersson</v>
      </c>
    </row>
    <row r="632" spans="2:18" x14ac:dyDescent="0.25">
      <c r="B632" s="21">
        <v>630</v>
      </c>
      <c r="C632" s="21" t="s">
        <v>766</v>
      </c>
      <c r="D632" s="21" t="s">
        <v>138</v>
      </c>
      <c r="E632">
        <f>FIND(",", tblPassengerNames[[#This Row],[Name]])</f>
        <v>10</v>
      </c>
      <c r="F632">
        <f>FIND(".", tblPassengerNames[[#This Row],[Name]])</f>
        <v>14</v>
      </c>
      <c r="G632" t="e">
        <f>FIND("(", tblPassengerNames[[#This Row],[Name]])</f>
        <v>#VALUE!</v>
      </c>
      <c r="H632" t="e">
        <f>FIND(")", tblPassengerNames[[#This Row],[Name]])</f>
        <v>#VALUE!</v>
      </c>
      <c r="I632">
        <f>IFERROR(tblPassengerNames[[#This Row],[OpenParPos]] - 2, LEN(tblPassengerNames[[#This Row],[Name]]))</f>
        <v>27</v>
      </c>
      <c r="J632" t="str">
        <f>MID(tblPassengerNames[[#This Row],[Name]], tblPassengerNames[[#This Row],[DotPos]] + 2, tblPassengerNames[[#This Row],[EndOfConvFNPos]] - tblPassengerNames[[#This Row],[DotPos]] - 1)</f>
        <v>Anders Johan</v>
      </c>
      <c r="K632" t="e">
        <f>MID(tblPassengerNames[[#This Row],[Name]], tblPassengerNames[[#This Row],[OpenParPos]] + 1, tblPassengerNames[[#This Row],[CloseParPos]] - tblPassengerNames[[#This Row],[OpenParPos]] - 1)</f>
        <v>#VALUE!</v>
      </c>
      <c r="L632" t="e">
        <f>IF(AND(LEFT(tblPassengerNames[[#This Row],[InParentheses]], 1) = "'", RIGHT(tblPassengerNames[[#This Row],[InParentheses]], 1) = "'"),
    #VALUE!,
    tblPassengerNames[[#This Row],[InParentheses]]
)</f>
        <v>#VALUE!</v>
      </c>
      <c r="M632" t="e">
        <f>LEN(tblPassengerNames[[#This Row],[InParenthesesCleaned]]) - LEN(SUBSTITUTE(tblPassengerNames[[#This Row],[InParenthesesCleaned]], " ", ""))</f>
        <v>#VALUE!</v>
      </c>
      <c r="N632" t="e">
        <f>FIND("@", SUBSTITUTE(tblPassengerNames[[#This Row],[InParenthesesCleaned]], " ", "@", tblPassengerNames[[#This Row],[P_NSpaces]]))</f>
        <v>#VALUE!</v>
      </c>
      <c r="O632" t="e">
        <f>IF(tblPassengerNames[[#This Row],[P_NSpaces]] = 0,
    tblPassengerNames[[#This Row],[InParenthesesCleaned]],
    LEFT(tblPassengerNames[[#This Row],[InParenthesesCleaned]], tblPassengerNames[[#This Row],[P_FinalSpacePos]] - 1)
)</f>
        <v>#VALUE!</v>
      </c>
      <c r="P632" t="str">
        <f>IFERROR(tblPassengerNames[[#This Row],[P_Forenames]], tblPassengerNames[[#This Row],[ConvForenames]])</f>
        <v>Anders Johan</v>
      </c>
      <c r="Q632" t="str">
        <f>MID(tblPassengerNames[[#This Row],[Name]], tblPassengerNames[[#This Row],[CommaPos]] + 2, tblPassengerNames[[#This Row],[DotPos]] - tblPassengerNames[[#This Row],[CommaPos]] - 1)</f>
        <v>Mr.</v>
      </c>
      <c r="R632" t="str">
        <f>LEFT(tblPassengerNames[[#This Row],[Name]], tblPassengerNames[[#This Row],[CommaPos]] - 1)</f>
        <v>Andersson</v>
      </c>
    </row>
    <row r="633" spans="2:18" x14ac:dyDescent="0.25">
      <c r="B633" s="21">
        <v>631</v>
      </c>
      <c r="C633" s="21" t="s">
        <v>767</v>
      </c>
      <c r="D633" s="21" t="s">
        <v>138</v>
      </c>
      <c r="E633">
        <f>FIND(",", tblPassengerNames[[#This Row],[Name]])</f>
        <v>10</v>
      </c>
      <c r="F633">
        <f>FIND(".", tblPassengerNames[[#This Row],[Name]])</f>
        <v>14</v>
      </c>
      <c r="G633">
        <f>FIND("(", tblPassengerNames[[#This Row],[Name]])</f>
        <v>30</v>
      </c>
      <c r="H633">
        <f>FIND(")", tblPassengerNames[[#This Row],[Name]])</f>
        <v>44</v>
      </c>
      <c r="I633">
        <f>IFERROR(tblPassengerNames[[#This Row],[OpenParPos]] - 2, LEN(tblPassengerNames[[#This Row],[Name]]))</f>
        <v>28</v>
      </c>
      <c r="J633" t="str">
        <f>MID(tblPassengerNames[[#This Row],[Name]], tblPassengerNames[[#This Row],[DotPos]] + 2, tblPassengerNames[[#This Row],[EndOfConvFNPos]] - tblPassengerNames[[#This Row],[DotPos]] - 1)</f>
        <v>August Edvard</v>
      </c>
      <c r="K633" t="str">
        <f>MID(tblPassengerNames[[#This Row],[Name]], tblPassengerNames[[#This Row],[OpenParPos]] + 1, tblPassengerNames[[#This Row],[CloseParPos]] - tblPassengerNames[[#This Row],[OpenParPos]] - 1)</f>
        <v>'Wennerstrom'</v>
      </c>
      <c r="L633" t="e">
        <f>IF(AND(LEFT(tblPassengerNames[[#This Row],[InParentheses]], 1) = "'", RIGHT(tblPassengerNames[[#This Row],[InParentheses]], 1) = "'"),
    #VALUE!,
    tblPassengerNames[[#This Row],[InParentheses]]
)</f>
        <v>#VALUE!</v>
      </c>
      <c r="M633" t="e">
        <f>LEN(tblPassengerNames[[#This Row],[InParenthesesCleaned]]) - LEN(SUBSTITUTE(tblPassengerNames[[#This Row],[InParenthesesCleaned]], " ", ""))</f>
        <v>#VALUE!</v>
      </c>
      <c r="N633" t="e">
        <f>FIND("@", SUBSTITUTE(tblPassengerNames[[#This Row],[InParenthesesCleaned]], " ", "@", tblPassengerNames[[#This Row],[P_NSpaces]]))</f>
        <v>#VALUE!</v>
      </c>
      <c r="O633" t="e">
        <f>IF(tblPassengerNames[[#This Row],[P_NSpaces]] = 0,
    tblPassengerNames[[#This Row],[InParenthesesCleaned]],
    LEFT(tblPassengerNames[[#This Row],[InParenthesesCleaned]], tblPassengerNames[[#This Row],[P_FinalSpacePos]] - 1)
)</f>
        <v>#VALUE!</v>
      </c>
      <c r="P633" t="str">
        <f>IFERROR(tblPassengerNames[[#This Row],[P_Forenames]], tblPassengerNames[[#This Row],[ConvForenames]])</f>
        <v>August Edvard</v>
      </c>
      <c r="Q633" t="str">
        <f>MID(tblPassengerNames[[#This Row],[Name]], tblPassengerNames[[#This Row],[CommaPos]] + 2, tblPassengerNames[[#This Row],[DotPos]] - tblPassengerNames[[#This Row],[CommaPos]] - 1)</f>
        <v>Mr.</v>
      </c>
      <c r="R633" t="str">
        <f>LEFT(tblPassengerNames[[#This Row],[Name]], tblPassengerNames[[#This Row],[CommaPos]] - 1)</f>
        <v>Andersson</v>
      </c>
    </row>
    <row r="634" spans="2:18" x14ac:dyDescent="0.25">
      <c r="B634" s="21">
        <v>632</v>
      </c>
      <c r="C634" s="21" t="s">
        <v>768</v>
      </c>
      <c r="D634" s="21" t="s">
        <v>138</v>
      </c>
      <c r="E634">
        <f>FIND(",", tblPassengerNames[[#This Row],[Name]])</f>
        <v>10</v>
      </c>
      <c r="F634">
        <f>FIND(".", tblPassengerNames[[#This Row],[Name]])</f>
        <v>14</v>
      </c>
      <c r="G634" t="e">
        <f>FIND("(", tblPassengerNames[[#This Row],[Name]])</f>
        <v>#VALUE!</v>
      </c>
      <c r="H634" t="e">
        <f>FIND(")", tblPassengerNames[[#This Row],[Name]])</f>
        <v>#VALUE!</v>
      </c>
      <c r="I634">
        <f>IFERROR(tblPassengerNames[[#This Row],[OpenParPos]] - 2, LEN(tblPassengerNames[[#This Row],[Name]]))</f>
        <v>27</v>
      </c>
      <c r="J634" t="str">
        <f>MID(tblPassengerNames[[#This Row],[Name]], tblPassengerNames[[#This Row],[DotPos]] + 2, tblPassengerNames[[#This Row],[EndOfConvFNPos]] - tblPassengerNames[[#This Row],[DotPos]] - 1)</f>
        <v>Johan Samuel</v>
      </c>
      <c r="K634" t="e">
        <f>MID(tblPassengerNames[[#This Row],[Name]], tblPassengerNames[[#This Row],[OpenParPos]] + 1, tblPassengerNames[[#This Row],[CloseParPos]] - tblPassengerNames[[#This Row],[OpenParPos]] - 1)</f>
        <v>#VALUE!</v>
      </c>
      <c r="L634" t="e">
        <f>IF(AND(LEFT(tblPassengerNames[[#This Row],[InParentheses]], 1) = "'", RIGHT(tblPassengerNames[[#This Row],[InParentheses]], 1) = "'"),
    #VALUE!,
    tblPassengerNames[[#This Row],[InParentheses]]
)</f>
        <v>#VALUE!</v>
      </c>
      <c r="M634" t="e">
        <f>LEN(tblPassengerNames[[#This Row],[InParenthesesCleaned]]) - LEN(SUBSTITUTE(tblPassengerNames[[#This Row],[InParenthesesCleaned]], " ", ""))</f>
        <v>#VALUE!</v>
      </c>
      <c r="N634" t="e">
        <f>FIND("@", SUBSTITUTE(tblPassengerNames[[#This Row],[InParenthesesCleaned]], " ", "@", tblPassengerNames[[#This Row],[P_NSpaces]]))</f>
        <v>#VALUE!</v>
      </c>
      <c r="O634" t="e">
        <f>IF(tblPassengerNames[[#This Row],[P_NSpaces]] = 0,
    tblPassengerNames[[#This Row],[InParenthesesCleaned]],
    LEFT(tblPassengerNames[[#This Row],[InParenthesesCleaned]], tblPassengerNames[[#This Row],[P_FinalSpacePos]] - 1)
)</f>
        <v>#VALUE!</v>
      </c>
      <c r="P634" t="str">
        <f>IFERROR(tblPassengerNames[[#This Row],[P_Forenames]], tblPassengerNames[[#This Row],[ConvForenames]])</f>
        <v>Johan Samuel</v>
      </c>
      <c r="Q634" t="str">
        <f>MID(tblPassengerNames[[#This Row],[Name]], tblPassengerNames[[#This Row],[CommaPos]] + 2, tblPassengerNames[[#This Row],[DotPos]] - tblPassengerNames[[#This Row],[CommaPos]] - 1)</f>
        <v>Mr.</v>
      </c>
      <c r="R634" t="str">
        <f>LEFT(tblPassengerNames[[#This Row],[Name]], tblPassengerNames[[#This Row],[CommaPos]] - 1)</f>
        <v>Andersson</v>
      </c>
    </row>
    <row r="635" spans="2:18" x14ac:dyDescent="0.25">
      <c r="B635" s="21">
        <v>633</v>
      </c>
      <c r="C635" s="21" t="s">
        <v>769</v>
      </c>
      <c r="D635" s="21" t="s">
        <v>136</v>
      </c>
      <c r="E635">
        <f>FIND(",", tblPassengerNames[[#This Row],[Name]])</f>
        <v>10</v>
      </c>
      <c r="F635">
        <f>FIND(".", tblPassengerNames[[#This Row],[Name]])</f>
        <v>15</v>
      </c>
      <c r="G635">
        <f>FIND("(", tblPassengerNames[[#This Row],[Name]])</f>
        <v>30</v>
      </c>
      <c r="H635">
        <f>FIND(")", tblPassengerNames[[#This Row],[Name]])</f>
        <v>57</v>
      </c>
      <c r="I635">
        <f>IFERROR(tblPassengerNames[[#This Row],[OpenParPos]] - 2, LEN(tblPassengerNames[[#This Row],[Name]]))</f>
        <v>28</v>
      </c>
      <c r="J635" t="str">
        <f>MID(tblPassengerNames[[#This Row],[Name]], tblPassengerNames[[#This Row],[DotPos]] + 2, tblPassengerNames[[#This Row],[EndOfConvFNPos]] - tblPassengerNames[[#This Row],[DotPos]] - 1)</f>
        <v>Anders Johan</v>
      </c>
      <c r="K635" t="str">
        <f>MID(tblPassengerNames[[#This Row],[Name]], tblPassengerNames[[#This Row],[OpenParPos]] + 1, tblPassengerNames[[#This Row],[CloseParPos]] - tblPassengerNames[[#This Row],[OpenParPos]] - 1)</f>
        <v>Alfrida Konstantia Brogren</v>
      </c>
      <c r="L635" t="str">
        <f>IF(AND(LEFT(tblPassengerNames[[#This Row],[InParentheses]], 1) = "'", RIGHT(tblPassengerNames[[#This Row],[InParentheses]], 1) = "'"),
    #VALUE!,
    tblPassengerNames[[#This Row],[InParentheses]]
)</f>
        <v>Alfrida Konstantia Brogren</v>
      </c>
      <c r="M635">
        <f>LEN(tblPassengerNames[[#This Row],[InParenthesesCleaned]]) - LEN(SUBSTITUTE(tblPassengerNames[[#This Row],[InParenthesesCleaned]], " ", ""))</f>
        <v>2</v>
      </c>
      <c r="N635">
        <f>FIND("@", SUBSTITUTE(tblPassengerNames[[#This Row],[InParenthesesCleaned]], " ", "@", tblPassengerNames[[#This Row],[P_NSpaces]]))</f>
        <v>19</v>
      </c>
      <c r="O635" t="str">
        <f>IF(tblPassengerNames[[#This Row],[P_NSpaces]] = 0,
    tblPassengerNames[[#This Row],[InParenthesesCleaned]],
    LEFT(tblPassengerNames[[#This Row],[InParenthesesCleaned]], tblPassengerNames[[#This Row],[P_FinalSpacePos]] - 1)
)</f>
        <v>Alfrida Konstantia</v>
      </c>
      <c r="P635" t="str">
        <f>IFERROR(tblPassengerNames[[#This Row],[P_Forenames]], tblPassengerNames[[#This Row],[ConvForenames]])</f>
        <v>Alfrida Konstantia</v>
      </c>
      <c r="Q635" t="str">
        <f>MID(tblPassengerNames[[#This Row],[Name]], tblPassengerNames[[#This Row],[CommaPos]] + 2, tblPassengerNames[[#This Row],[DotPos]] - tblPassengerNames[[#This Row],[CommaPos]] - 1)</f>
        <v>Mrs.</v>
      </c>
      <c r="R635" t="str">
        <f>LEFT(tblPassengerNames[[#This Row],[Name]], tblPassengerNames[[#This Row],[CommaPos]] - 1)</f>
        <v>Andersson</v>
      </c>
    </row>
    <row r="636" spans="2:18" x14ac:dyDescent="0.25">
      <c r="B636" s="21">
        <v>634</v>
      </c>
      <c r="C636" s="21" t="s">
        <v>770</v>
      </c>
      <c r="D636" s="21" t="s">
        <v>138</v>
      </c>
      <c r="E636">
        <f>FIND(",", tblPassengerNames[[#This Row],[Name]])</f>
        <v>11</v>
      </c>
      <c r="F636">
        <f>FIND(".", tblPassengerNames[[#This Row],[Name]])</f>
        <v>15</v>
      </c>
      <c r="G636" t="e">
        <f>FIND("(", tblPassengerNames[[#This Row],[Name]])</f>
        <v>#VALUE!</v>
      </c>
      <c r="H636" t="e">
        <f>FIND(")", tblPassengerNames[[#This Row],[Name]])</f>
        <v>#VALUE!</v>
      </c>
      <c r="I636">
        <f>IFERROR(tblPassengerNames[[#This Row],[OpenParPos]] - 2, LEN(tblPassengerNames[[#This Row],[Name]]))</f>
        <v>26</v>
      </c>
      <c r="J636" t="str">
        <f>MID(tblPassengerNames[[#This Row],[Name]], tblPassengerNames[[#This Row],[DotPos]] + 2, tblPassengerNames[[#This Row],[EndOfConvFNPos]] - tblPassengerNames[[#This Row],[DotPos]] - 1)</f>
        <v>Paul Edvin</v>
      </c>
      <c r="K636" t="e">
        <f>MID(tblPassengerNames[[#This Row],[Name]], tblPassengerNames[[#This Row],[OpenParPos]] + 1, tblPassengerNames[[#This Row],[CloseParPos]] - tblPassengerNames[[#This Row],[OpenParPos]] - 1)</f>
        <v>#VALUE!</v>
      </c>
      <c r="L636" t="e">
        <f>IF(AND(LEFT(tblPassengerNames[[#This Row],[InParentheses]], 1) = "'", RIGHT(tblPassengerNames[[#This Row],[InParentheses]], 1) = "'"),
    #VALUE!,
    tblPassengerNames[[#This Row],[InParentheses]]
)</f>
        <v>#VALUE!</v>
      </c>
      <c r="M636" t="e">
        <f>LEN(tblPassengerNames[[#This Row],[InParenthesesCleaned]]) - LEN(SUBSTITUTE(tblPassengerNames[[#This Row],[InParenthesesCleaned]], " ", ""))</f>
        <v>#VALUE!</v>
      </c>
      <c r="N636" t="e">
        <f>FIND("@", SUBSTITUTE(tblPassengerNames[[#This Row],[InParenthesesCleaned]], " ", "@", tblPassengerNames[[#This Row],[P_NSpaces]]))</f>
        <v>#VALUE!</v>
      </c>
      <c r="O636" t="e">
        <f>IF(tblPassengerNames[[#This Row],[P_NSpaces]] = 0,
    tblPassengerNames[[#This Row],[InParenthesesCleaned]],
    LEFT(tblPassengerNames[[#This Row],[InParenthesesCleaned]], tblPassengerNames[[#This Row],[P_FinalSpacePos]] - 1)
)</f>
        <v>#VALUE!</v>
      </c>
      <c r="P636" t="str">
        <f>IFERROR(tblPassengerNames[[#This Row],[P_Forenames]], tblPassengerNames[[#This Row],[ConvForenames]])</f>
        <v>Paul Edvin</v>
      </c>
      <c r="Q636" t="str">
        <f>MID(tblPassengerNames[[#This Row],[Name]], tblPassengerNames[[#This Row],[CommaPos]] + 2, tblPassengerNames[[#This Row],[DotPos]] - tblPassengerNames[[#This Row],[CommaPos]] - 1)</f>
        <v>Mr.</v>
      </c>
      <c r="R636" t="str">
        <f>LEFT(tblPassengerNames[[#This Row],[Name]], tblPassengerNames[[#This Row],[CommaPos]] - 1)</f>
        <v>Andreasson</v>
      </c>
    </row>
    <row r="637" spans="2:18" x14ac:dyDescent="0.25">
      <c r="B637" s="21">
        <v>635</v>
      </c>
      <c r="C637" s="21" t="s">
        <v>771</v>
      </c>
      <c r="D637" s="21" t="s">
        <v>138</v>
      </c>
      <c r="E637">
        <f>FIND(",", tblPassengerNames[[#This Row],[Name]])</f>
        <v>10</v>
      </c>
      <c r="F637">
        <f>FIND(".", tblPassengerNames[[#This Row],[Name]])</f>
        <v>14</v>
      </c>
      <c r="G637" t="e">
        <f>FIND("(", tblPassengerNames[[#This Row],[Name]])</f>
        <v>#VALUE!</v>
      </c>
      <c r="H637" t="e">
        <f>FIND(")", tblPassengerNames[[#This Row],[Name]])</f>
        <v>#VALUE!</v>
      </c>
      <c r="I637">
        <f>IFERROR(tblPassengerNames[[#This Row],[OpenParPos]] - 2, LEN(tblPassengerNames[[#This Row],[Name]]))</f>
        <v>20</v>
      </c>
      <c r="J637" t="str">
        <f>MID(tblPassengerNames[[#This Row],[Name]], tblPassengerNames[[#This Row],[DotPos]] + 2, tblPassengerNames[[#This Row],[EndOfConvFNPos]] - tblPassengerNames[[#This Row],[DotPos]] - 1)</f>
        <v>Minko</v>
      </c>
      <c r="K637" t="e">
        <f>MID(tblPassengerNames[[#This Row],[Name]], tblPassengerNames[[#This Row],[OpenParPos]] + 1, tblPassengerNames[[#This Row],[CloseParPos]] - tblPassengerNames[[#This Row],[OpenParPos]] - 1)</f>
        <v>#VALUE!</v>
      </c>
      <c r="L637" t="e">
        <f>IF(AND(LEFT(tblPassengerNames[[#This Row],[InParentheses]], 1) = "'", RIGHT(tblPassengerNames[[#This Row],[InParentheses]], 1) = "'"),
    #VALUE!,
    tblPassengerNames[[#This Row],[InParentheses]]
)</f>
        <v>#VALUE!</v>
      </c>
      <c r="M637" t="e">
        <f>LEN(tblPassengerNames[[#This Row],[InParenthesesCleaned]]) - LEN(SUBSTITUTE(tblPassengerNames[[#This Row],[InParenthesesCleaned]], " ", ""))</f>
        <v>#VALUE!</v>
      </c>
      <c r="N637" t="e">
        <f>FIND("@", SUBSTITUTE(tblPassengerNames[[#This Row],[InParenthesesCleaned]], " ", "@", tblPassengerNames[[#This Row],[P_NSpaces]]))</f>
        <v>#VALUE!</v>
      </c>
      <c r="O637" t="e">
        <f>IF(tblPassengerNames[[#This Row],[P_NSpaces]] = 0,
    tblPassengerNames[[#This Row],[InParenthesesCleaned]],
    LEFT(tblPassengerNames[[#This Row],[InParenthesesCleaned]], tblPassengerNames[[#This Row],[P_FinalSpacePos]] - 1)
)</f>
        <v>#VALUE!</v>
      </c>
      <c r="P637" t="str">
        <f>IFERROR(tblPassengerNames[[#This Row],[P_Forenames]], tblPassengerNames[[#This Row],[ConvForenames]])</f>
        <v>Minko</v>
      </c>
      <c r="Q637" t="str">
        <f>MID(tblPassengerNames[[#This Row],[Name]], tblPassengerNames[[#This Row],[CommaPos]] + 2, tblPassengerNames[[#This Row],[DotPos]] - tblPassengerNames[[#This Row],[CommaPos]] - 1)</f>
        <v>Mr.</v>
      </c>
      <c r="R637" t="str">
        <f>LEFT(tblPassengerNames[[#This Row],[Name]], tblPassengerNames[[#This Row],[CommaPos]] - 1)</f>
        <v>Angheloff</v>
      </c>
    </row>
    <row r="638" spans="2:18" x14ac:dyDescent="0.25">
      <c r="B638" s="21">
        <v>636</v>
      </c>
      <c r="C638" s="21" t="s">
        <v>772</v>
      </c>
      <c r="D638" s="21" t="s">
        <v>138</v>
      </c>
      <c r="E638">
        <f>FIND(",", tblPassengerNames[[#This Row],[Name]])</f>
        <v>15</v>
      </c>
      <c r="F638">
        <f>FIND(".", tblPassengerNames[[#This Row],[Name]])</f>
        <v>19</v>
      </c>
      <c r="G638" t="e">
        <f>FIND("(", tblPassengerNames[[#This Row],[Name]])</f>
        <v>#VALUE!</v>
      </c>
      <c r="H638" t="e">
        <f>FIND(")", tblPassengerNames[[#This Row],[Name]])</f>
        <v>#VALUE!</v>
      </c>
      <c r="I638">
        <f>IFERROR(tblPassengerNames[[#This Row],[OpenParPos]] - 2, LEN(tblPassengerNames[[#This Row],[Name]]))</f>
        <v>25</v>
      </c>
      <c r="J638" t="str">
        <f>MID(tblPassengerNames[[#This Row],[Name]], tblPassengerNames[[#This Row],[DotPos]] + 2, tblPassengerNames[[#This Row],[EndOfConvFNPos]] - tblPassengerNames[[#This Row],[DotPos]] - 1)</f>
        <v>Josef</v>
      </c>
      <c r="K638" t="e">
        <f>MID(tblPassengerNames[[#This Row],[Name]], tblPassengerNames[[#This Row],[OpenParPos]] + 1, tblPassengerNames[[#This Row],[CloseParPos]] - tblPassengerNames[[#This Row],[OpenParPos]] - 1)</f>
        <v>#VALUE!</v>
      </c>
      <c r="L638" t="e">
        <f>IF(AND(LEFT(tblPassengerNames[[#This Row],[InParentheses]], 1) = "'", RIGHT(tblPassengerNames[[#This Row],[InParentheses]], 1) = "'"),
    #VALUE!,
    tblPassengerNames[[#This Row],[InParentheses]]
)</f>
        <v>#VALUE!</v>
      </c>
      <c r="M638" t="e">
        <f>LEN(tblPassengerNames[[#This Row],[InParenthesesCleaned]]) - LEN(SUBSTITUTE(tblPassengerNames[[#This Row],[InParenthesesCleaned]], " ", ""))</f>
        <v>#VALUE!</v>
      </c>
      <c r="N638" t="e">
        <f>FIND("@", SUBSTITUTE(tblPassengerNames[[#This Row],[InParenthesesCleaned]], " ", "@", tblPassengerNames[[#This Row],[P_NSpaces]]))</f>
        <v>#VALUE!</v>
      </c>
      <c r="O638" t="e">
        <f>IF(tblPassengerNames[[#This Row],[P_NSpaces]] = 0,
    tblPassengerNames[[#This Row],[InParenthesesCleaned]],
    LEFT(tblPassengerNames[[#This Row],[InParenthesesCleaned]], tblPassengerNames[[#This Row],[P_FinalSpacePos]] - 1)
)</f>
        <v>#VALUE!</v>
      </c>
      <c r="P638" t="str">
        <f>IFERROR(tblPassengerNames[[#This Row],[P_Forenames]], tblPassengerNames[[#This Row],[ConvForenames]])</f>
        <v>Josef</v>
      </c>
      <c r="Q638" t="str">
        <f>MID(tblPassengerNames[[#This Row],[Name]], tblPassengerNames[[#This Row],[CommaPos]] + 2, tblPassengerNames[[#This Row],[DotPos]] - tblPassengerNames[[#This Row],[CommaPos]] - 1)</f>
        <v>Mr.</v>
      </c>
      <c r="R638" t="str">
        <f>LEFT(tblPassengerNames[[#This Row],[Name]], tblPassengerNames[[#This Row],[CommaPos]] - 1)</f>
        <v>Arnold-Franchi</v>
      </c>
    </row>
    <row r="639" spans="2:18" x14ac:dyDescent="0.25">
      <c r="B639" s="21">
        <v>637</v>
      </c>
      <c r="C639" s="21" t="s">
        <v>773</v>
      </c>
      <c r="D639" s="21" t="s">
        <v>136</v>
      </c>
      <c r="E639">
        <f>FIND(",", tblPassengerNames[[#This Row],[Name]])</f>
        <v>15</v>
      </c>
      <c r="F639">
        <f>FIND(".", tblPassengerNames[[#This Row],[Name]])</f>
        <v>20</v>
      </c>
      <c r="G639">
        <f>FIND("(", tblPassengerNames[[#This Row],[Name]])</f>
        <v>28</v>
      </c>
      <c r="H639">
        <f>FIND(")", tblPassengerNames[[#This Row],[Name]])</f>
        <v>45</v>
      </c>
      <c r="I639">
        <f>IFERROR(tblPassengerNames[[#This Row],[OpenParPos]] - 2, LEN(tblPassengerNames[[#This Row],[Name]]))</f>
        <v>26</v>
      </c>
      <c r="J639" t="str">
        <f>MID(tblPassengerNames[[#This Row],[Name]], tblPassengerNames[[#This Row],[DotPos]] + 2, tblPassengerNames[[#This Row],[EndOfConvFNPos]] - tblPassengerNames[[#This Row],[DotPos]] - 1)</f>
        <v>Josef</v>
      </c>
      <c r="K639" t="str">
        <f>MID(tblPassengerNames[[#This Row],[Name]], tblPassengerNames[[#This Row],[OpenParPos]] + 1, tblPassengerNames[[#This Row],[CloseParPos]] - tblPassengerNames[[#This Row],[OpenParPos]] - 1)</f>
        <v>Josefine Franchi</v>
      </c>
      <c r="L639" t="str">
        <f>IF(AND(LEFT(tblPassengerNames[[#This Row],[InParentheses]], 1) = "'", RIGHT(tblPassengerNames[[#This Row],[InParentheses]], 1) = "'"),
    #VALUE!,
    tblPassengerNames[[#This Row],[InParentheses]]
)</f>
        <v>Josefine Franchi</v>
      </c>
      <c r="M639">
        <f>LEN(tblPassengerNames[[#This Row],[InParenthesesCleaned]]) - LEN(SUBSTITUTE(tblPassengerNames[[#This Row],[InParenthesesCleaned]], " ", ""))</f>
        <v>1</v>
      </c>
      <c r="N639">
        <f>FIND("@", SUBSTITUTE(tblPassengerNames[[#This Row],[InParenthesesCleaned]], " ", "@", tblPassengerNames[[#This Row],[P_NSpaces]]))</f>
        <v>9</v>
      </c>
      <c r="O639" t="str">
        <f>IF(tblPassengerNames[[#This Row],[P_NSpaces]] = 0,
    tblPassengerNames[[#This Row],[InParenthesesCleaned]],
    LEFT(tblPassengerNames[[#This Row],[InParenthesesCleaned]], tblPassengerNames[[#This Row],[P_FinalSpacePos]] - 1)
)</f>
        <v>Josefine</v>
      </c>
      <c r="P639" t="str">
        <f>IFERROR(tblPassengerNames[[#This Row],[P_Forenames]], tblPassengerNames[[#This Row],[ConvForenames]])</f>
        <v>Josefine</v>
      </c>
      <c r="Q639" t="str">
        <f>MID(tblPassengerNames[[#This Row],[Name]], tblPassengerNames[[#This Row],[CommaPos]] + 2, tblPassengerNames[[#This Row],[DotPos]] - tblPassengerNames[[#This Row],[CommaPos]] - 1)</f>
        <v>Mrs.</v>
      </c>
      <c r="R639" t="str">
        <f>LEFT(tblPassengerNames[[#This Row],[Name]], tblPassengerNames[[#This Row],[CommaPos]] - 1)</f>
        <v>Arnold-Franchi</v>
      </c>
    </row>
    <row r="640" spans="2:18" x14ac:dyDescent="0.25">
      <c r="B640" s="21">
        <v>638</v>
      </c>
      <c r="C640" s="21" t="s">
        <v>774</v>
      </c>
      <c r="D640" s="21" t="s">
        <v>138</v>
      </c>
      <c r="E640">
        <f>FIND(",", tblPassengerNames[[#This Row],[Name]])</f>
        <v>9</v>
      </c>
      <c r="F640">
        <f>FIND(".", tblPassengerNames[[#This Row],[Name]])</f>
        <v>13</v>
      </c>
      <c r="G640" t="e">
        <f>FIND("(", tblPassengerNames[[#This Row],[Name]])</f>
        <v>#VALUE!</v>
      </c>
      <c r="H640" t="e">
        <f>FIND(")", tblPassengerNames[[#This Row],[Name]])</f>
        <v>#VALUE!</v>
      </c>
      <c r="I640">
        <f>IFERROR(tblPassengerNames[[#This Row],[OpenParPos]] - 2, LEN(tblPassengerNames[[#This Row],[Name]]))</f>
        <v>30</v>
      </c>
      <c r="J640" t="str">
        <f>MID(tblPassengerNames[[#This Row],[Name]], tblPassengerNames[[#This Row],[DotPos]] + 2, tblPassengerNames[[#This Row],[EndOfConvFNPos]] - tblPassengerNames[[#This Row],[DotPos]] - 1)</f>
        <v>Ernst Axel Algot</v>
      </c>
      <c r="K640" t="e">
        <f>MID(tblPassengerNames[[#This Row],[Name]], tblPassengerNames[[#This Row],[OpenParPos]] + 1, tblPassengerNames[[#This Row],[CloseParPos]] - tblPassengerNames[[#This Row],[OpenParPos]] - 1)</f>
        <v>#VALUE!</v>
      </c>
      <c r="L640" t="e">
        <f>IF(AND(LEFT(tblPassengerNames[[#This Row],[InParentheses]], 1) = "'", RIGHT(tblPassengerNames[[#This Row],[InParentheses]], 1) = "'"),
    #VALUE!,
    tblPassengerNames[[#This Row],[InParentheses]]
)</f>
        <v>#VALUE!</v>
      </c>
      <c r="M640" t="e">
        <f>LEN(tblPassengerNames[[#This Row],[InParenthesesCleaned]]) - LEN(SUBSTITUTE(tblPassengerNames[[#This Row],[InParenthesesCleaned]], " ", ""))</f>
        <v>#VALUE!</v>
      </c>
      <c r="N640" t="e">
        <f>FIND("@", SUBSTITUTE(tblPassengerNames[[#This Row],[InParenthesesCleaned]], " ", "@", tblPassengerNames[[#This Row],[P_NSpaces]]))</f>
        <v>#VALUE!</v>
      </c>
      <c r="O640" t="e">
        <f>IF(tblPassengerNames[[#This Row],[P_NSpaces]] = 0,
    tblPassengerNames[[#This Row],[InParenthesesCleaned]],
    LEFT(tblPassengerNames[[#This Row],[InParenthesesCleaned]], tblPassengerNames[[#This Row],[P_FinalSpacePos]] - 1)
)</f>
        <v>#VALUE!</v>
      </c>
      <c r="P640" t="str">
        <f>IFERROR(tblPassengerNames[[#This Row],[P_Forenames]], tblPassengerNames[[#This Row],[ConvForenames]])</f>
        <v>Ernst Axel Algot</v>
      </c>
      <c r="Q640" t="str">
        <f>MID(tblPassengerNames[[#This Row],[Name]], tblPassengerNames[[#This Row],[CommaPos]] + 2, tblPassengerNames[[#This Row],[DotPos]] - tblPassengerNames[[#This Row],[CommaPos]] - 1)</f>
        <v>Mr.</v>
      </c>
      <c r="R640" t="str">
        <f>LEFT(tblPassengerNames[[#This Row],[Name]], tblPassengerNames[[#This Row],[CommaPos]] - 1)</f>
        <v>Aronsson</v>
      </c>
    </row>
    <row r="641" spans="2:18" x14ac:dyDescent="0.25">
      <c r="B641" s="21">
        <v>639</v>
      </c>
      <c r="C641" s="21" t="s">
        <v>775</v>
      </c>
      <c r="D641" s="21" t="s">
        <v>138</v>
      </c>
      <c r="E641">
        <f>FIND(",", tblPassengerNames[[#This Row],[Name]])</f>
        <v>5</v>
      </c>
      <c r="F641">
        <f>FIND(".", tblPassengerNames[[#This Row],[Name]])</f>
        <v>9</v>
      </c>
      <c r="G641" t="e">
        <f>FIND("(", tblPassengerNames[[#This Row],[Name]])</f>
        <v>#VALUE!</v>
      </c>
      <c r="H641" t="e">
        <f>FIND(")", tblPassengerNames[[#This Row],[Name]])</f>
        <v>#VALUE!</v>
      </c>
      <c r="I641">
        <f>IFERROR(tblPassengerNames[[#This Row],[OpenParPos]] - 2, LEN(tblPassengerNames[[#This Row],[Name]]))</f>
        <v>15</v>
      </c>
      <c r="J641" t="str">
        <f>MID(tblPassengerNames[[#This Row],[Name]], tblPassengerNames[[#This Row],[DotPos]] + 2, tblPassengerNames[[#This Row],[EndOfConvFNPos]] - tblPassengerNames[[#This Row],[DotPos]] - 1)</f>
        <v>Adola</v>
      </c>
      <c r="K641" t="e">
        <f>MID(tblPassengerNames[[#This Row],[Name]], tblPassengerNames[[#This Row],[OpenParPos]] + 1, tblPassengerNames[[#This Row],[CloseParPos]] - tblPassengerNames[[#This Row],[OpenParPos]] - 1)</f>
        <v>#VALUE!</v>
      </c>
      <c r="L641" t="e">
        <f>IF(AND(LEFT(tblPassengerNames[[#This Row],[InParentheses]], 1) = "'", RIGHT(tblPassengerNames[[#This Row],[InParentheses]], 1) = "'"),
    #VALUE!,
    tblPassengerNames[[#This Row],[InParentheses]]
)</f>
        <v>#VALUE!</v>
      </c>
      <c r="M641" t="e">
        <f>LEN(tblPassengerNames[[#This Row],[InParenthesesCleaned]]) - LEN(SUBSTITUTE(tblPassengerNames[[#This Row],[InParenthesesCleaned]], " ", ""))</f>
        <v>#VALUE!</v>
      </c>
      <c r="N641" t="e">
        <f>FIND("@", SUBSTITUTE(tblPassengerNames[[#This Row],[InParenthesesCleaned]], " ", "@", tblPassengerNames[[#This Row],[P_NSpaces]]))</f>
        <v>#VALUE!</v>
      </c>
      <c r="O641" t="e">
        <f>IF(tblPassengerNames[[#This Row],[P_NSpaces]] = 0,
    tblPassengerNames[[#This Row],[InParenthesesCleaned]],
    LEFT(tblPassengerNames[[#This Row],[InParenthesesCleaned]], tblPassengerNames[[#This Row],[P_FinalSpacePos]] - 1)
)</f>
        <v>#VALUE!</v>
      </c>
      <c r="P641" t="str">
        <f>IFERROR(tblPassengerNames[[#This Row],[P_Forenames]], tblPassengerNames[[#This Row],[ConvForenames]])</f>
        <v>Adola</v>
      </c>
      <c r="Q641" t="str">
        <f>MID(tblPassengerNames[[#This Row],[Name]], tblPassengerNames[[#This Row],[CommaPos]] + 2, tblPassengerNames[[#This Row],[DotPos]] - tblPassengerNames[[#This Row],[CommaPos]] - 1)</f>
        <v>Mr.</v>
      </c>
      <c r="R641" t="str">
        <f>LEFT(tblPassengerNames[[#This Row],[Name]], tblPassengerNames[[#This Row],[CommaPos]] - 1)</f>
        <v>Asim</v>
      </c>
    </row>
    <row r="642" spans="2:18" x14ac:dyDescent="0.25">
      <c r="B642" s="21">
        <v>640</v>
      </c>
      <c r="C642" s="21" t="s">
        <v>776</v>
      </c>
      <c r="D642" s="21" t="s">
        <v>138</v>
      </c>
      <c r="E642">
        <f>FIND(",", tblPassengerNames[[#This Row],[Name]])</f>
        <v>8</v>
      </c>
      <c r="F642">
        <f>FIND(".", tblPassengerNames[[#This Row],[Name]])</f>
        <v>16</v>
      </c>
      <c r="G642" t="e">
        <f>FIND("(", tblPassengerNames[[#This Row],[Name]])</f>
        <v>#VALUE!</v>
      </c>
      <c r="H642" t="e">
        <f>FIND(")", tblPassengerNames[[#This Row],[Name]])</f>
        <v>#VALUE!</v>
      </c>
      <c r="I642">
        <f>IFERROR(tblPassengerNames[[#This Row],[OpenParPos]] - 2, LEN(tblPassengerNames[[#This Row],[Name]]))</f>
        <v>27</v>
      </c>
      <c r="J642" t="str">
        <f>MID(tblPassengerNames[[#This Row],[Name]], tblPassengerNames[[#This Row],[DotPos]] + 2, tblPassengerNames[[#This Row],[EndOfConvFNPos]] - tblPassengerNames[[#This Row],[DotPos]] - 1)</f>
        <v>Carl Edgar</v>
      </c>
      <c r="K642" t="e">
        <f>MID(tblPassengerNames[[#This Row],[Name]], tblPassengerNames[[#This Row],[OpenParPos]] + 1, tblPassengerNames[[#This Row],[CloseParPos]] - tblPassengerNames[[#This Row],[OpenParPos]] - 1)</f>
        <v>#VALUE!</v>
      </c>
      <c r="L642" t="e">
        <f>IF(AND(LEFT(tblPassengerNames[[#This Row],[InParentheses]], 1) = "'", RIGHT(tblPassengerNames[[#This Row],[InParentheses]], 1) = "'"),
    #VALUE!,
    tblPassengerNames[[#This Row],[InParentheses]]
)</f>
        <v>#VALUE!</v>
      </c>
      <c r="M642" t="e">
        <f>LEN(tblPassengerNames[[#This Row],[InParenthesesCleaned]]) - LEN(SUBSTITUTE(tblPassengerNames[[#This Row],[InParenthesesCleaned]], " ", ""))</f>
        <v>#VALUE!</v>
      </c>
      <c r="N642" t="e">
        <f>FIND("@", SUBSTITUTE(tblPassengerNames[[#This Row],[InParenthesesCleaned]], " ", "@", tblPassengerNames[[#This Row],[P_NSpaces]]))</f>
        <v>#VALUE!</v>
      </c>
      <c r="O642" t="e">
        <f>IF(tblPassengerNames[[#This Row],[P_NSpaces]] = 0,
    tblPassengerNames[[#This Row],[InParenthesesCleaned]],
    LEFT(tblPassengerNames[[#This Row],[InParenthesesCleaned]], tblPassengerNames[[#This Row],[P_FinalSpacePos]] - 1)
)</f>
        <v>#VALUE!</v>
      </c>
      <c r="P642" t="str">
        <f>IFERROR(tblPassengerNames[[#This Row],[P_Forenames]], tblPassengerNames[[#This Row],[ConvForenames]])</f>
        <v>Carl Edgar</v>
      </c>
      <c r="Q642" t="str">
        <f>MID(tblPassengerNames[[#This Row],[Name]], tblPassengerNames[[#This Row],[CommaPos]] + 2, tblPassengerNames[[#This Row],[DotPos]] - tblPassengerNames[[#This Row],[CommaPos]] - 1)</f>
        <v>Master.</v>
      </c>
      <c r="R642" t="str">
        <f>LEFT(tblPassengerNames[[#This Row],[Name]], tblPassengerNames[[#This Row],[CommaPos]] - 1)</f>
        <v>Asplund</v>
      </c>
    </row>
    <row r="643" spans="2:18" x14ac:dyDescent="0.25">
      <c r="B643" s="21">
        <v>641</v>
      </c>
      <c r="C643" s="21" t="s">
        <v>777</v>
      </c>
      <c r="D643" s="21" t="s">
        <v>138</v>
      </c>
      <c r="E643">
        <f>FIND(",", tblPassengerNames[[#This Row],[Name]])</f>
        <v>8</v>
      </c>
      <c r="F643">
        <f>FIND(".", tblPassengerNames[[#This Row],[Name]])</f>
        <v>16</v>
      </c>
      <c r="G643" t="e">
        <f>FIND("(", tblPassengerNames[[#This Row],[Name]])</f>
        <v>#VALUE!</v>
      </c>
      <c r="H643" t="e">
        <f>FIND(")", tblPassengerNames[[#This Row],[Name]])</f>
        <v>#VALUE!</v>
      </c>
      <c r="I643">
        <f>IFERROR(tblPassengerNames[[#This Row],[OpenParPos]] - 2, LEN(tblPassengerNames[[#This Row],[Name]]))</f>
        <v>37</v>
      </c>
      <c r="J643" t="str">
        <f>MID(tblPassengerNames[[#This Row],[Name]], tblPassengerNames[[#This Row],[DotPos]] + 2, tblPassengerNames[[#This Row],[EndOfConvFNPos]] - tblPassengerNames[[#This Row],[DotPos]] - 1)</f>
        <v>Clarence Gustaf Hugo</v>
      </c>
      <c r="K643" t="e">
        <f>MID(tblPassengerNames[[#This Row],[Name]], tblPassengerNames[[#This Row],[OpenParPos]] + 1, tblPassengerNames[[#This Row],[CloseParPos]] - tblPassengerNames[[#This Row],[OpenParPos]] - 1)</f>
        <v>#VALUE!</v>
      </c>
      <c r="L643" t="e">
        <f>IF(AND(LEFT(tblPassengerNames[[#This Row],[InParentheses]], 1) = "'", RIGHT(tblPassengerNames[[#This Row],[InParentheses]], 1) = "'"),
    #VALUE!,
    tblPassengerNames[[#This Row],[InParentheses]]
)</f>
        <v>#VALUE!</v>
      </c>
      <c r="M643" t="e">
        <f>LEN(tblPassengerNames[[#This Row],[InParenthesesCleaned]]) - LEN(SUBSTITUTE(tblPassengerNames[[#This Row],[InParenthesesCleaned]], " ", ""))</f>
        <v>#VALUE!</v>
      </c>
      <c r="N643" t="e">
        <f>FIND("@", SUBSTITUTE(tblPassengerNames[[#This Row],[InParenthesesCleaned]], " ", "@", tblPassengerNames[[#This Row],[P_NSpaces]]))</f>
        <v>#VALUE!</v>
      </c>
      <c r="O643" t="e">
        <f>IF(tblPassengerNames[[#This Row],[P_NSpaces]] = 0,
    tblPassengerNames[[#This Row],[InParenthesesCleaned]],
    LEFT(tblPassengerNames[[#This Row],[InParenthesesCleaned]], tblPassengerNames[[#This Row],[P_FinalSpacePos]] - 1)
)</f>
        <v>#VALUE!</v>
      </c>
      <c r="P643" t="str">
        <f>IFERROR(tblPassengerNames[[#This Row],[P_Forenames]], tblPassengerNames[[#This Row],[ConvForenames]])</f>
        <v>Clarence Gustaf Hugo</v>
      </c>
      <c r="Q643" t="str">
        <f>MID(tblPassengerNames[[#This Row],[Name]], tblPassengerNames[[#This Row],[CommaPos]] + 2, tblPassengerNames[[#This Row],[DotPos]] - tblPassengerNames[[#This Row],[CommaPos]] - 1)</f>
        <v>Master.</v>
      </c>
      <c r="R643" t="str">
        <f>LEFT(tblPassengerNames[[#This Row],[Name]], tblPassengerNames[[#This Row],[CommaPos]] - 1)</f>
        <v>Asplund</v>
      </c>
    </row>
    <row r="644" spans="2:18" x14ac:dyDescent="0.25">
      <c r="B644" s="21">
        <v>642</v>
      </c>
      <c r="C644" s="21" t="s">
        <v>778</v>
      </c>
      <c r="D644" s="21" t="s">
        <v>138</v>
      </c>
      <c r="E644">
        <f>FIND(",", tblPassengerNames[[#This Row],[Name]])</f>
        <v>8</v>
      </c>
      <c r="F644">
        <f>FIND(".", tblPassengerNames[[#This Row],[Name]])</f>
        <v>16</v>
      </c>
      <c r="G644" t="e">
        <f>FIND("(", tblPassengerNames[[#This Row],[Name]])</f>
        <v>#VALUE!</v>
      </c>
      <c r="H644" t="e">
        <f>FIND(")", tblPassengerNames[[#This Row],[Name]])</f>
        <v>#VALUE!</v>
      </c>
      <c r="I644">
        <f>IFERROR(tblPassengerNames[[#This Row],[OpenParPos]] - 2, LEN(tblPassengerNames[[#This Row],[Name]]))</f>
        <v>33</v>
      </c>
      <c r="J644" t="str">
        <f>MID(tblPassengerNames[[#This Row],[Name]], tblPassengerNames[[#This Row],[DotPos]] + 2, tblPassengerNames[[#This Row],[EndOfConvFNPos]] - tblPassengerNames[[#This Row],[DotPos]] - 1)</f>
        <v>Edvin Rojj Felix</v>
      </c>
      <c r="K644" t="e">
        <f>MID(tblPassengerNames[[#This Row],[Name]], tblPassengerNames[[#This Row],[OpenParPos]] + 1, tblPassengerNames[[#This Row],[CloseParPos]] - tblPassengerNames[[#This Row],[OpenParPos]] - 1)</f>
        <v>#VALUE!</v>
      </c>
      <c r="L644" t="e">
        <f>IF(AND(LEFT(tblPassengerNames[[#This Row],[InParentheses]], 1) = "'", RIGHT(tblPassengerNames[[#This Row],[InParentheses]], 1) = "'"),
    #VALUE!,
    tblPassengerNames[[#This Row],[InParentheses]]
)</f>
        <v>#VALUE!</v>
      </c>
      <c r="M644" t="e">
        <f>LEN(tblPassengerNames[[#This Row],[InParenthesesCleaned]]) - LEN(SUBSTITUTE(tblPassengerNames[[#This Row],[InParenthesesCleaned]], " ", ""))</f>
        <v>#VALUE!</v>
      </c>
      <c r="N644" t="e">
        <f>FIND("@", SUBSTITUTE(tblPassengerNames[[#This Row],[InParenthesesCleaned]], " ", "@", tblPassengerNames[[#This Row],[P_NSpaces]]))</f>
        <v>#VALUE!</v>
      </c>
      <c r="O644" t="e">
        <f>IF(tblPassengerNames[[#This Row],[P_NSpaces]] = 0,
    tblPassengerNames[[#This Row],[InParenthesesCleaned]],
    LEFT(tblPassengerNames[[#This Row],[InParenthesesCleaned]], tblPassengerNames[[#This Row],[P_FinalSpacePos]] - 1)
)</f>
        <v>#VALUE!</v>
      </c>
      <c r="P644" t="str">
        <f>IFERROR(tblPassengerNames[[#This Row],[P_Forenames]], tblPassengerNames[[#This Row],[ConvForenames]])</f>
        <v>Edvin Rojj Felix</v>
      </c>
      <c r="Q644" t="str">
        <f>MID(tblPassengerNames[[#This Row],[Name]], tblPassengerNames[[#This Row],[CommaPos]] + 2, tblPassengerNames[[#This Row],[DotPos]] - tblPassengerNames[[#This Row],[CommaPos]] - 1)</f>
        <v>Master.</v>
      </c>
      <c r="R644" t="str">
        <f>LEFT(tblPassengerNames[[#This Row],[Name]], tblPassengerNames[[#This Row],[CommaPos]] - 1)</f>
        <v>Asplund</v>
      </c>
    </row>
    <row r="645" spans="2:18" x14ac:dyDescent="0.25">
      <c r="B645" s="21">
        <v>643</v>
      </c>
      <c r="C645" s="21" t="s">
        <v>779</v>
      </c>
      <c r="D645" s="21" t="s">
        <v>138</v>
      </c>
      <c r="E645">
        <f>FIND(",", tblPassengerNames[[#This Row],[Name]])</f>
        <v>8</v>
      </c>
      <c r="F645">
        <f>FIND(".", tblPassengerNames[[#This Row],[Name]])</f>
        <v>16</v>
      </c>
      <c r="G645" t="e">
        <f>FIND("(", tblPassengerNames[[#This Row],[Name]])</f>
        <v>#VALUE!</v>
      </c>
      <c r="H645" t="e">
        <f>FIND(")", tblPassengerNames[[#This Row],[Name]])</f>
        <v>#VALUE!</v>
      </c>
      <c r="I645">
        <f>IFERROR(tblPassengerNames[[#This Row],[OpenParPos]] - 2, LEN(tblPassengerNames[[#This Row],[Name]]))</f>
        <v>28</v>
      </c>
      <c r="J645" t="str">
        <f>MID(tblPassengerNames[[#This Row],[Name]], tblPassengerNames[[#This Row],[DotPos]] + 2, tblPassengerNames[[#This Row],[EndOfConvFNPos]] - tblPassengerNames[[#This Row],[DotPos]] - 1)</f>
        <v>Filip Oscar</v>
      </c>
      <c r="K645" t="e">
        <f>MID(tblPassengerNames[[#This Row],[Name]], tblPassengerNames[[#This Row],[OpenParPos]] + 1, tblPassengerNames[[#This Row],[CloseParPos]] - tblPassengerNames[[#This Row],[OpenParPos]] - 1)</f>
        <v>#VALUE!</v>
      </c>
      <c r="L645" t="e">
        <f>IF(AND(LEFT(tblPassengerNames[[#This Row],[InParentheses]], 1) = "'", RIGHT(tblPassengerNames[[#This Row],[InParentheses]], 1) = "'"),
    #VALUE!,
    tblPassengerNames[[#This Row],[InParentheses]]
)</f>
        <v>#VALUE!</v>
      </c>
      <c r="M645" t="e">
        <f>LEN(tblPassengerNames[[#This Row],[InParenthesesCleaned]]) - LEN(SUBSTITUTE(tblPassengerNames[[#This Row],[InParenthesesCleaned]], " ", ""))</f>
        <v>#VALUE!</v>
      </c>
      <c r="N645" t="e">
        <f>FIND("@", SUBSTITUTE(tblPassengerNames[[#This Row],[InParenthesesCleaned]], " ", "@", tblPassengerNames[[#This Row],[P_NSpaces]]))</f>
        <v>#VALUE!</v>
      </c>
      <c r="O645" t="e">
        <f>IF(tblPassengerNames[[#This Row],[P_NSpaces]] = 0,
    tblPassengerNames[[#This Row],[InParenthesesCleaned]],
    LEFT(tblPassengerNames[[#This Row],[InParenthesesCleaned]], tblPassengerNames[[#This Row],[P_FinalSpacePos]] - 1)
)</f>
        <v>#VALUE!</v>
      </c>
      <c r="P645" t="str">
        <f>IFERROR(tblPassengerNames[[#This Row],[P_Forenames]], tblPassengerNames[[#This Row],[ConvForenames]])</f>
        <v>Filip Oscar</v>
      </c>
      <c r="Q645" t="str">
        <f>MID(tblPassengerNames[[#This Row],[Name]], tblPassengerNames[[#This Row],[CommaPos]] + 2, tblPassengerNames[[#This Row],[DotPos]] - tblPassengerNames[[#This Row],[CommaPos]] - 1)</f>
        <v>Master.</v>
      </c>
      <c r="R645" t="str">
        <f>LEFT(tblPassengerNames[[#This Row],[Name]], tblPassengerNames[[#This Row],[CommaPos]] - 1)</f>
        <v>Asplund</v>
      </c>
    </row>
    <row r="646" spans="2:18" x14ac:dyDescent="0.25">
      <c r="B646" s="21">
        <v>644</v>
      </c>
      <c r="C646" s="21" t="s">
        <v>780</v>
      </c>
      <c r="D646" s="21" t="s">
        <v>136</v>
      </c>
      <c r="E646">
        <f>FIND(",", tblPassengerNames[[#This Row],[Name]])</f>
        <v>8</v>
      </c>
      <c r="F646">
        <f>FIND(".", tblPassengerNames[[#This Row],[Name]])</f>
        <v>14</v>
      </c>
      <c r="G646" t="e">
        <f>FIND("(", tblPassengerNames[[#This Row],[Name]])</f>
        <v>#VALUE!</v>
      </c>
      <c r="H646" t="e">
        <f>FIND(")", tblPassengerNames[[#This Row],[Name]])</f>
        <v>#VALUE!</v>
      </c>
      <c r="I646">
        <f>IFERROR(tblPassengerNames[[#This Row],[OpenParPos]] - 2, LEN(tblPassengerNames[[#This Row],[Name]]))</f>
        <v>30</v>
      </c>
      <c r="J646" t="str">
        <f>MID(tblPassengerNames[[#This Row],[Name]], tblPassengerNames[[#This Row],[DotPos]] + 2, tblPassengerNames[[#This Row],[EndOfConvFNPos]] - tblPassengerNames[[#This Row],[DotPos]] - 1)</f>
        <v>Lillian Gertrud</v>
      </c>
      <c r="K646" t="e">
        <f>MID(tblPassengerNames[[#This Row],[Name]], tblPassengerNames[[#This Row],[OpenParPos]] + 1, tblPassengerNames[[#This Row],[CloseParPos]] - tblPassengerNames[[#This Row],[OpenParPos]] - 1)</f>
        <v>#VALUE!</v>
      </c>
      <c r="L646" t="e">
        <f>IF(AND(LEFT(tblPassengerNames[[#This Row],[InParentheses]], 1) = "'", RIGHT(tblPassengerNames[[#This Row],[InParentheses]], 1) = "'"),
    #VALUE!,
    tblPassengerNames[[#This Row],[InParentheses]]
)</f>
        <v>#VALUE!</v>
      </c>
      <c r="M646" t="e">
        <f>LEN(tblPassengerNames[[#This Row],[InParenthesesCleaned]]) - LEN(SUBSTITUTE(tblPassengerNames[[#This Row],[InParenthesesCleaned]], " ", ""))</f>
        <v>#VALUE!</v>
      </c>
      <c r="N646" t="e">
        <f>FIND("@", SUBSTITUTE(tblPassengerNames[[#This Row],[InParenthesesCleaned]], " ", "@", tblPassengerNames[[#This Row],[P_NSpaces]]))</f>
        <v>#VALUE!</v>
      </c>
      <c r="O646" t="e">
        <f>IF(tblPassengerNames[[#This Row],[P_NSpaces]] = 0,
    tblPassengerNames[[#This Row],[InParenthesesCleaned]],
    LEFT(tblPassengerNames[[#This Row],[InParenthesesCleaned]], tblPassengerNames[[#This Row],[P_FinalSpacePos]] - 1)
)</f>
        <v>#VALUE!</v>
      </c>
      <c r="P646" t="str">
        <f>IFERROR(tblPassengerNames[[#This Row],[P_Forenames]], tblPassengerNames[[#This Row],[ConvForenames]])</f>
        <v>Lillian Gertrud</v>
      </c>
      <c r="Q646" t="str">
        <f>MID(tblPassengerNames[[#This Row],[Name]], tblPassengerNames[[#This Row],[CommaPos]] + 2, tblPassengerNames[[#This Row],[DotPos]] - tblPassengerNames[[#This Row],[CommaPos]] - 1)</f>
        <v>Miss.</v>
      </c>
      <c r="R646" t="str">
        <f>LEFT(tblPassengerNames[[#This Row],[Name]], tblPassengerNames[[#This Row],[CommaPos]] - 1)</f>
        <v>Asplund</v>
      </c>
    </row>
    <row r="647" spans="2:18" x14ac:dyDescent="0.25">
      <c r="B647" s="21">
        <v>645</v>
      </c>
      <c r="C647" s="21" t="s">
        <v>781</v>
      </c>
      <c r="D647" s="21" t="s">
        <v>138</v>
      </c>
      <c r="E647">
        <f>FIND(",", tblPassengerNames[[#This Row],[Name]])</f>
        <v>8</v>
      </c>
      <c r="F647">
        <f>FIND(".", tblPassengerNames[[#This Row],[Name]])</f>
        <v>12</v>
      </c>
      <c r="G647" t="e">
        <f>FIND("(", tblPassengerNames[[#This Row],[Name]])</f>
        <v>#VALUE!</v>
      </c>
      <c r="H647" t="e">
        <f>FIND(")", tblPassengerNames[[#This Row],[Name]])</f>
        <v>#VALUE!</v>
      </c>
      <c r="I647">
        <f>IFERROR(tblPassengerNames[[#This Row],[OpenParPos]] - 2, LEN(tblPassengerNames[[#This Row],[Name]]))</f>
        <v>42</v>
      </c>
      <c r="J647" t="str">
        <f>MID(tblPassengerNames[[#This Row],[Name]], tblPassengerNames[[#This Row],[DotPos]] + 2, tblPassengerNames[[#This Row],[EndOfConvFNPos]] - tblPassengerNames[[#This Row],[DotPos]] - 1)</f>
        <v>Carl Oscar Vilhelm Gustafsson</v>
      </c>
      <c r="K647" t="e">
        <f>MID(tblPassengerNames[[#This Row],[Name]], tblPassengerNames[[#This Row],[OpenParPos]] + 1, tblPassengerNames[[#This Row],[CloseParPos]] - tblPassengerNames[[#This Row],[OpenParPos]] - 1)</f>
        <v>#VALUE!</v>
      </c>
      <c r="L647" t="e">
        <f>IF(AND(LEFT(tblPassengerNames[[#This Row],[InParentheses]], 1) = "'", RIGHT(tblPassengerNames[[#This Row],[InParentheses]], 1) = "'"),
    #VALUE!,
    tblPassengerNames[[#This Row],[InParentheses]]
)</f>
        <v>#VALUE!</v>
      </c>
      <c r="M647" t="e">
        <f>LEN(tblPassengerNames[[#This Row],[InParenthesesCleaned]]) - LEN(SUBSTITUTE(tblPassengerNames[[#This Row],[InParenthesesCleaned]], " ", ""))</f>
        <v>#VALUE!</v>
      </c>
      <c r="N647" t="e">
        <f>FIND("@", SUBSTITUTE(tblPassengerNames[[#This Row],[InParenthesesCleaned]], " ", "@", tblPassengerNames[[#This Row],[P_NSpaces]]))</f>
        <v>#VALUE!</v>
      </c>
      <c r="O647" t="e">
        <f>IF(tblPassengerNames[[#This Row],[P_NSpaces]] = 0,
    tblPassengerNames[[#This Row],[InParenthesesCleaned]],
    LEFT(tblPassengerNames[[#This Row],[InParenthesesCleaned]], tblPassengerNames[[#This Row],[P_FinalSpacePos]] - 1)
)</f>
        <v>#VALUE!</v>
      </c>
      <c r="P647" t="str">
        <f>IFERROR(tblPassengerNames[[#This Row],[P_Forenames]], tblPassengerNames[[#This Row],[ConvForenames]])</f>
        <v>Carl Oscar Vilhelm Gustafsson</v>
      </c>
      <c r="Q647" t="str">
        <f>MID(tblPassengerNames[[#This Row],[Name]], tblPassengerNames[[#This Row],[CommaPos]] + 2, tblPassengerNames[[#This Row],[DotPos]] - tblPassengerNames[[#This Row],[CommaPos]] - 1)</f>
        <v>Mr.</v>
      </c>
      <c r="R647" t="str">
        <f>LEFT(tblPassengerNames[[#This Row],[Name]], tblPassengerNames[[#This Row],[CommaPos]] - 1)</f>
        <v>Asplund</v>
      </c>
    </row>
    <row r="648" spans="2:18" x14ac:dyDescent="0.25">
      <c r="B648" s="21">
        <v>646</v>
      </c>
      <c r="C648" s="21" t="s">
        <v>782</v>
      </c>
      <c r="D648" s="21" t="s">
        <v>138</v>
      </c>
      <c r="E648">
        <f>FIND(",", tblPassengerNames[[#This Row],[Name]])</f>
        <v>8</v>
      </c>
      <c r="F648">
        <f>FIND(".", tblPassengerNames[[#This Row],[Name]])</f>
        <v>12</v>
      </c>
      <c r="G648" t="e">
        <f>FIND("(", tblPassengerNames[[#This Row],[Name]])</f>
        <v>#VALUE!</v>
      </c>
      <c r="H648" t="e">
        <f>FIND(")", tblPassengerNames[[#This Row],[Name]])</f>
        <v>#VALUE!</v>
      </c>
      <c r="I648">
        <f>IFERROR(tblPassengerNames[[#This Row],[OpenParPos]] - 2, LEN(tblPassengerNames[[#This Row],[Name]]))</f>
        <v>26</v>
      </c>
      <c r="J648" t="str">
        <f>MID(tblPassengerNames[[#This Row],[Name]], tblPassengerNames[[#This Row],[DotPos]] + 2, tblPassengerNames[[#This Row],[EndOfConvFNPos]] - tblPassengerNames[[#This Row],[DotPos]] - 1)</f>
        <v>Johan Charles</v>
      </c>
      <c r="K648" t="e">
        <f>MID(tblPassengerNames[[#This Row],[Name]], tblPassengerNames[[#This Row],[OpenParPos]] + 1, tblPassengerNames[[#This Row],[CloseParPos]] - tblPassengerNames[[#This Row],[OpenParPos]] - 1)</f>
        <v>#VALUE!</v>
      </c>
      <c r="L648" t="e">
        <f>IF(AND(LEFT(tblPassengerNames[[#This Row],[InParentheses]], 1) = "'", RIGHT(tblPassengerNames[[#This Row],[InParentheses]], 1) = "'"),
    #VALUE!,
    tblPassengerNames[[#This Row],[InParentheses]]
)</f>
        <v>#VALUE!</v>
      </c>
      <c r="M648" t="e">
        <f>LEN(tblPassengerNames[[#This Row],[InParenthesesCleaned]]) - LEN(SUBSTITUTE(tblPassengerNames[[#This Row],[InParenthesesCleaned]], " ", ""))</f>
        <v>#VALUE!</v>
      </c>
      <c r="N648" t="e">
        <f>FIND("@", SUBSTITUTE(tblPassengerNames[[#This Row],[InParenthesesCleaned]], " ", "@", tblPassengerNames[[#This Row],[P_NSpaces]]))</f>
        <v>#VALUE!</v>
      </c>
      <c r="O648" t="e">
        <f>IF(tblPassengerNames[[#This Row],[P_NSpaces]] = 0,
    tblPassengerNames[[#This Row],[InParenthesesCleaned]],
    LEFT(tblPassengerNames[[#This Row],[InParenthesesCleaned]], tblPassengerNames[[#This Row],[P_FinalSpacePos]] - 1)
)</f>
        <v>#VALUE!</v>
      </c>
      <c r="P648" t="str">
        <f>IFERROR(tblPassengerNames[[#This Row],[P_Forenames]], tblPassengerNames[[#This Row],[ConvForenames]])</f>
        <v>Johan Charles</v>
      </c>
      <c r="Q648" t="str">
        <f>MID(tblPassengerNames[[#This Row],[Name]], tblPassengerNames[[#This Row],[CommaPos]] + 2, tblPassengerNames[[#This Row],[DotPos]] - tblPassengerNames[[#This Row],[CommaPos]] - 1)</f>
        <v>Mr.</v>
      </c>
      <c r="R648" t="str">
        <f>LEFT(tblPassengerNames[[#This Row],[Name]], tblPassengerNames[[#This Row],[CommaPos]] - 1)</f>
        <v>Asplund</v>
      </c>
    </row>
    <row r="649" spans="2:18" x14ac:dyDescent="0.25">
      <c r="B649" s="21">
        <v>647</v>
      </c>
      <c r="C649" s="21" t="s">
        <v>783</v>
      </c>
      <c r="D649" s="21" t="s">
        <v>136</v>
      </c>
      <c r="E649">
        <f>FIND(",", tblPassengerNames[[#This Row],[Name]])</f>
        <v>8</v>
      </c>
      <c r="F649">
        <f>FIND(".", tblPassengerNames[[#This Row],[Name]])</f>
        <v>13</v>
      </c>
      <c r="G649">
        <f>FIND("(", tblPassengerNames[[#This Row],[Name]])</f>
        <v>26</v>
      </c>
      <c r="H649">
        <f>FIND(")", tblPassengerNames[[#This Row],[Name]])</f>
        <v>57</v>
      </c>
      <c r="I649">
        <f>IFERROR(tblPassengerNames[[#This Row],[OpenParPos]] - 2, LEN(tblPassengerNames[[#This Row],[Name]]))</f>
        <v>24</v>
      </c>
      <c r="J649" t="str">
        <f>MID(tblPassengerNames[[#This Row],[Name]], tblPassengerNames[[#This Row],[DotPos]] + 2, tblPassengerNames[[#This Row],[EndOfConvFNPos]] - tblPassengerNames[[#This Row],[DotPos]] - 1)</f>
        <v>Carl Oscar</v>
      </c>
      <c r="K649" t="str">
        <f>MID(tblPassengerNames[[#This Row],[Name]], tblPassengerNames[[#This Row],[OpenParPos]] + 1, tblPassengerNames[[#This Row],[CloseParPos]] - tblPassengerNames[[#This Row],[OpenParPos]] - 1)</f>
        <v>Selma Augusta Emilia Johansson</v>
      </c>
      <c r="L649" t="str">
        <f>IF(AND(LEFT(tblPassengerNames[[#This Row],[InParentheses]], 1) = "'", RIGHT(tblPassengerNames[[#This Row],[InParentheses]], 1) = "'"),
    #VALUE!,
    tblPassengerNames[[#This Row],[InParentheses]]
)</f>
        <v>Selma Augusta Emilia Johansson</v>
      </c>
      <c r="M649">
        <f>LEN(tblPassengerNames[[#This Row],[InParenthesesCleaned]]) - LEN(SUBSTITUTE(tblPassengerNames[[#This Row],[InParenthesesCleaned]], " ", ""))</f>
        <v>3</v>
      </c>
      <c r="N649">
        <f>FIND("@", SUBSTITUTE(tblPassengerNames[[#This Row],[InParenthesesCleaned]], " ", "@", tblPassengerNames[[#This Row],[P_NSpaces]]))</f>
        <v>21</v>
      </c>
      <c r="O649" t="str">
        <f>IF(tblPassengerNames[[#This Row],[P_NSpaces]] = 0,
    tblPassengerNames[[#This Row],[InParenthesesCleaned]],
    LEFT(tblPassengerNames[[#This Row],[InParenthesesCleaned]], tblPassengerNames[[#This Row],[P_FinalSpacePos]] - 1)
)</f>
        <v>Selma Augusta Emilia</v>
      </c>
      <c r="P649" t="str">
        <f>IFERROR(tblPassengerNames[[#This Row],[P_Forenames]], tblPassengerNames[[#This Row],[ConvForenames]])</f>
        <v>Selma Augusta Emilia</v>
      </c>
      <c r="Q649" t="str">
        <f>MID(tblPassengerNames[[#This Row],[Name]], tblPassengerNames[[#This Row],[CommaPos]] + 2, tblPassengerNames[[#This Row],[DotPos]] - tblPassengerNames[[#This Row],[CommaPos]] - 1)</f>
        <v>Mrs.</v>
      </c>
      <c r="R649" t="str">
        <f>LEFT(tblPassengerNames[[#This Row],[Name]], tblPassengerNames[[#This Row],[CommaPos]] - 1)</f>
        <v>Asplund</v>
      </c>
    </row>
    <row r="650" spans="2:18" x14ac:dyDescent="0.25">
      <c r="B650" s="21">
        <v>648</v>
      </c>
      <c r="C650" s="21" t="s">
        <v>784</v>
      </c>
      <c r="D650" s="21" t="s">
        <v>136</v>
      </c>
      <c r="E650">
        <f>FIND(",", tblPassengerNames[[#This Row],[Name]])</f>
        <v>13</v>
      </c>
      <c r="F650">
        <f>FIND(".", tblPassengerNames[[#This Row],[Name]])</f>
        <v>18</v>
      </c>
      <c r="G650">
        <f>FIND("(", tblPassengerNames[[#This Row],[Name]])</f>
        <v>28</v>
      </c>
      <c r="H650">
        <f>FIND(")", tblPassengerNames[[#This Row],[Name]])</f>
        <v>37</v>
      </c>
      <c r="I650">
        <f>IFERROR(tblPassengerNames[[#This Row],[OpenParPos]] - 2, LEN(tblPassengerNames[[#This Row],[Name]]))</f>
        <v>26</v>
      </c>
      <c r="J650" t="str">
        <f>MID(tblPassengerNames[[#This Row],[Name]], tblPassengerNames[[#This Row],[DotPos]] + 2, tblPassengerNames[[#This Row],[EndOfConvFNPos]] - tblPassengerNames[[#This Row],[DotPos]] - 1)</f>
        <v>Mariana</v>
      </c>
      <c r="K650" t="str">
        <f>MID(tblPassengerNames[[#This Row],[Name]], tblPassengerNames[[#This Row],[OpenParPos]] + 1, tblPassengerNames[[#This Row],[CloseParPos]] - tblPassengerNames[[#This Row],[OpenParPos]] - 1)</f>
        <v>'Miriam'</v>
      </c>
      <c r="L650" t="e">
        <f>IF(AND(LEFT(tblPassengerNames[[#This Row],[InParentheses]], 1) = "'", RIGHT(tblPassengerNames[[#This Row],[InParentheses]], 1) = "'"),
    #VALUE!,
    tblPassengerNames[[#This Row],[InParentheses]]
)</f>
        <v>#VALUE!</v>
      </c>
      <c r="M650" t="e">
        <f>LEN(tblPassengerNames[[#This Row],[InParenthesesCleaned]]) - LEN(SUBSTITUTE(tblPassengerNames[[#This Row],[InParenthesesCleaned]], " ", ""))</f>
        <v>#VALUE!</v>
      </c>
      <c r="N650" t="e">
        <f>FIND("@", SUBSTITUTE(tblPassengerNames[[#This Row],[InParenthesesCleaned]], " ", "@", tblPassengerNames[[#This Row],[P_NSpaces]]))</f>
        <v>#VALUE!</v>
      </c>
      <c r="O650" t="e">
        <f>IF(tblPassengerNames[[#This Row],[P_NSpaces]] = 0,
    tblPassengerNames[[#This Row],[InParenthesesCleaned]],
    LEFT(tblPassengerNames[[#This Row],[InParenthesesCleaned]], tblPassengerNames[[#This Row],[P_FinalSpacePos]] - 1)
)</f>
        <v>#VALUE!</v>
      </c>
      <c r="P650" t="str">
        <f>IFERROR(tblPassengerNames[[#This Row],[P_Forenames]], tblPassengerNames[[#This Row],[ConvForenames]])</f>
        <v>Mariana</v>
      </c>
      <c r="Q650" t="str">
        <f>MID(tblPassengerNames[[#This Row],[Name]], tblPassengerNames[[#This Row],[CommaPos]] + 2, tblPassengerNames[[#This Row],[DotPos]] - tblPassengerNames[[#This Row],[CommaPos]] - 1)</f>
        <v>Mrs.</v>
      </c>
      <c r="R650" t="str">
        <f>LEFT(tblPassengerNames[[#This Row],[Name]], tblPassengerNames[[#This Row],[CommaPos]] - 1)</f>
        <v>Assaf Khalil</v>
      </c>
    </row>
    <row r="651" spans="2:18" x14ac:dyDescent="0.25">
      <c r="B651" s="21">
        <v>649</v>
      </c>
      <c r="C651" s="21" t="s">
        <v>785</v>
      </c>
      <c r="D651" s="21" t="s">
        <v>138</v>
      </c>
      <c r="E651">
        <f>FIND(",", tblPassengerNames[[#This Row],[Name]])</f>
        <v>6</v>
      </c>
      <c r="F651">
        <f>FIND(".", tblPassengerNames[[#This Row],[Name]])</f>
        <v>10</v>
      </c>
      <c r="G651" t="e">
        <f>FIND("(", tblPassengerNames[[#This Row],[Name]])</f>
        <v>#VALUE!</v>
      </c>
      <c r="H651" t="e">
        <f>FIND(")", tblPassengerNames[[#This Row],[Name]])</f>
        <v>#VALUE!</v>
      </c>
      <c r="I651">
        <f>IFERROR(tblPassengerNames[[#This Row],[OpenParPos]] - 2, LEN(tblPassengerNames[[#This Row],[Name]]))</f>
        <v>17</v>
      </c>
      <c r="J651" t="str">
        <f>MID(tblPassengerNames[[#This Row],[Name]], tblPassengerNames[[#This Row],[DotPos]] + 2, tblPassengerNames[[#This Row],[EndOfConvFNPos]] - tblPassengerNames[[#This Row],[DotPos]] - 1)</f>
        <v>Gerios</v>
      </c>
      <c r="K651" t="e">
        <f>MID(tblPassengerNames[[#This Row],[Name]], tblPassengerNames[[#This Row],[OpenParPos]] + 1, tblPassengerNames[[#This Row],[CloseParPos]] - tblPassengerNames[[#This Row],[OpenParPos]] - 1)</f>
        <v>#VALUE!</v>
      </c>
      <c r="L651" t="e">
        <f>IF(AND(LEFT(tblPassengerNames[[#This Row],[InParentheses]], 1) = "'", RIGHT(tblPassengerNames[[#This Row],[InParentheses]], 1) = "'"),
    #VALUE!,
    tblPassengerNames[[#This Row],[InParentheses]]
)</f>
        <v>#VALUE!</v>
      </c>
      <c r="M651" t="e">
        <f>LEN(tblPassengerNames[[#This Row],[InParenthesesCleaned]]) - LEN(SUBSTITUTE(tblPassengerNames[[#This Row],[InParenthesesCleaned]], " ", ""))</f>
        <v>#VALUE!</v>
      </c>
      <c r="N651" t="e">
        <f>FIND("@", SUBSTITUTE(tblPassengerNames[[#This Row],[InParenthesesCleaned]], " ", "@", tblPassengerNames[[#This Row],[P_NSpaces]]))</f>
        <v>#VALUE!</v>
      </c>
      <c r="O651" t="e">
        <f>IF(tblPassengerNames[[#This Row],[P_NSpaces]] = 0,
    tblPassengerNames[[#This Row],[InParenthesesCleaned]],
    LEFT(tblPassengerNames[[#This Row],[InParenthesesCleaned]], tblPassengerNames[[#This Row],[P_FinalSpacePos]] - 1)
)</f>
        <v>#VALUE!</v>
      </c>
      <c r="P651" t="str">
        <f>IFERROR(tblPassengerNames[[#This Row],[P_Forenames]], tblPassengerNames[[#This Row],[ConvForenames]])</f>
        <v>Gerios</v>
      </c>
      <c r="Q651" t="str">
        <f>MID(tblPassengerNames[[#This Row],[Name]], tblPassengerNames[[#This Row],[CommaPos]] + 2, tblPassengerNames[[#This Row],[DotPos]] - tblPassengerNames[[#This Row],[CommaPos]] - 1)</f>
        <v>Mr.</v>
      </c>
      <c r="R651" t="str">
        <f>LEFT(tblPassengerNames[[#This Row],[Name]], tblPassengerNames[[#This Row],[CommaPos]] - 1)</f>
        <v>Assaf</v>
      </c>
    </row>
    <row r="652" spans="2:18" x14ac:dyDescent="0.25">
      <c r="B652" s="21">
        <v>650</v>
      </c>
      <c r="C652" s="21" t="s">
        <v>786</v>
      </c>
      <c r="D652" s="21" t="s">
        <v>138</v>
      </c>
      <c r="E652">
        <f>FIND(",", tblPassengerNames[[#This Row],[Name]])</f>
        <v>6</v>
      </c>
      <c r="F652">
        <f>FIND(".", tblPassengerNames[[#This Row],[Name]])</f>
        <v>10</v>
      </c>
      <c r="G652" t="e">
        <f>FIND("(", tblPassengerNames[[#This Row],[Name]])</f>
        <v>#VALUE!</v>
      </c>
      <c r="H652" t="e">
        <f>FIND(")", tblPassengerNames[[#This Row],[Name]])</f>
        <v>#VALUE!</v>
      </c>
      <c r="I652">
        <f>IFERROR(tblPassengerNames[[#This Row],[OpenParPos]] - 2, LEN(tblPassengerNames[[#This Row],[Name]]))</f>
        <v>14</v>
      </c>
      <c r="J652" t="str">
        <f>MID(tblPassengerNames[[#This Row],[Name]], tblPassengerNames[[#This Row],[DotPos]] + 2, tblPassengerNames[[#This Row],[EndOfConvFNPos]] - tblPassengerNames[[#This Row],[DotPos]] - 1)</f>
        <v>Ali</v>
      </c>
      <c r="K652" t="e">
        <f>MID(tblPassengerNames[[#This Row],[Name]], tblPassengerNames[[#This Row],[OpenParPos]] + 1, tblPassengerNames[[#This Row],[CloseParPos]] - tblPassengerNames[[#This Row],[OpenParPos]] - 1)</f>
        <v>#VALUE!</v>
      </c>
      <c r="L652" t="e">
        <f>IF(AND(LEFT(tblPassengerNames[[#This Row],[InParentheses]], 1) = "'", RIGHT(tblPassengerNames[[#This Row],[InParentheses]], 1) = "'"),
    #VALUE!,
    tblPassengerNames[[#This Row],[InParentheses]]
)</f>
        <v>#VALUE!</v>
      </c>
      <c r="M652" t="e">
        <f>LEN(tblPassengerNames[[#This Row],[InParenthesesCleaned]]) - LEN(SUBSTITUTE(tblPassengerNames[[#This Row],[InParenthesesCleaned]], " ", ""))</f>
        <v>#VALUE!</v>
      </c>
      <c r="N652" t="e">
        <f>FIND("@", SUBSTITUTE(tblPassengerNames[[#This Row],[InParenthesesCleaned]], " ", "@", tblPassengerNames[[#This Row],[P_NSpaces]]))</f>
        <v>#VALUE!</v>
      </c>
      <c r="O652" t="e">
        <f>IF(tblPassengerNames[[#This Row],[P_NSpaces]] = 0,
    tblPassengerNames[[#This Row],[InParenthesesCleaned]],
    LEFT(tblPassengerNames[[#This Row],[InParenthesesCleaned]], tblPassengerNames[[#This Row],[P_FinalSpacePos]] - 1)
)</f>
        <v>#VALUE!</v>
      </c>
      <c r="P652" t="str">
        <f>IFERROR(tblPassengerNames[[#This Row],[P_Forenames]], tblPassengerNames[[#This Row],[ConvForenames]])</f>
        <v>Ali</v>
      </c>
      <c r="Q652" t="str">
        <f>MID(tblPassengerNames[[#This Row],[Name]], tblPassengerNames[[#This Row],[CommaPos]] + 2, tblPassengerNames[[#This Row],[DotPos]] - tblPassengerNames[[#This Row],[CommaPos]] - 1)</f>
        <v>Mr.</v>
      </c>
      <c r="R652" t="str">
        <f>LEFT(tblPassengerNames[[#This Row],[Name]], tblPassengerNames[[#This Row],[CommaPos]] - 1)</f>
        <v>Assam</v>
      </c>
    </row>
    <row r="653" spans="2:18" x14ac:dyDescent="0.25">
      <c r="B653" s="21">
        <v>651</v>
      </c>
      <c r="C653" s="21" t="s">
        <v>787</v>
      </c>
      <c r="D653" s="21" t="s">
        <v>136</v>
      </c>
      <c r="E653">
        <f>FIND(",", tblPassengerNames[[#This Row],[Name]])</f>
        <v>8</v>
      </c>
      <c r="F653">
        <f>FIND(".", tblPassengerNames[[#This Row],[Name]])</f>
        <v>14</v>
      </c>
      <c r="G653" t="e">
        <f>FIND("(", tblPassengerNames[[#This Row],[Name]])</f>
        <v>#VALUE!</v>
      </c>
      <c r="H653" t="e">
        <f>FIND(")", tblPassengerNames[[#This Row],[Name]])</f>
        <v>#VALUE!</v>
      </c>
      <c r="I653">
        <f>IFERROR(tblPassengerNames[[#This Row],[OpenParPos]] - 2, LEN(tblPassengerNames[[#This Row],[Name]]))</f>
        <v>21</v>
      </c>
      <c r="J653" t="str">
        <f>MID(tblPassengerNames[[#This Row],[Name]], tblPassengerNames[[#This Row],[DotPos]] + 2, tblPassengerNames[[#This Row],[EndOfConvFNPos]] - tblPassengerNames[[#This Row],[DotPos]] - 1)</f>
        <v>Malake</v>
      </c>
      <c r="K653" t="e">
        <f>MID(tblPassengerNames[[#This Row],[Name]], tblPassengerNames[[#This Row],[OpenParPos]] + 1, tblPassengerNames[[#This Row],[CloseParPos]] - tblPassengerNames[[#This Row],[OpenParPos]] - 1)</f>
        <v>#VALUE!</v>
      </c>
      <c r="L653" t="e">
        <f>IF(AND(LEFT(tblPassengerNames[[#This Row],[InParentheses]], 1) = "'", RIGHT(tblPassengerNames[[#This Row],[InParentheses]], 1) = "'"),
    #VALUE!,
    tblPassengerNames[[#This Row],[InParentheses]]
)</f>
        <v>#VALUE!</v>
      </c>
      <c r="M653" t="e">
        <f>LEN(tblPassengerNames[[#This Row],[InParenthesesCleaned]]) - LEN(SUBSTITUTE(tblPassengerNames[[#This Row],[InParenthesesCleaned]], " ", ""))</f>
        <v>#VALUE!</v>
      </c>
      <c r="N653" t="e">
        <f>FIND("@", SUBSTITUTE(tblPassengerNames[[#This Row],[InParenthesesCleaned]], " ", "@", tblPassengerNames[[#This Row],[P_NSpaces]]))</f>
        <v>#VALUE!</v>
      </c>
      <c r="O653" t="e">
        <f>IF(tblPassengerNames[[#This Row],[P_NSpaces]] = 0,
    tblPassengerNames[[#This Row],[InParenthesesCleaned]],
    LEFT(tblPassengerNames[[#This Row],[InParenthesesCleaned]], tblPassengerNames[[#This Row],[P_FinalSpacePos]] - 1)
)</f>
        <v>#VALUE!</v>
      </c>
      <c r="P653" t="str">
        <f>IFERROR(tblPassengerNames[[#This Row],[P_Forenames]], tblPassengerNames[[#This Row],[ConvForenames]])</f>
        <v>Malake</v>
      </c>
      <c r="Q653" t="str">
        <f>MID(tblPassengerNames[[#This Row],[Name]], tblPassengerNames[[#This Row],[CommaPos]] + 2, tblPassengerNames[[#This Row],[DotPos]] - tblPassengerNames[[#This Row],[CommaPos]] - 1)</f>
        <v>Miss.</v>
      </c>
      <c r="R653" t="str">
        <f>LEFT(tblPassengerNames[[#This Row],[Name]], tblPassengerNames[[#This Row],[CommaPos]] - 1)</f>
        <v>Attalah</v>
      </c>
    </row>
    <row r="654" spans="2:18" x14ac:dyDescent="0.25">
      <c r="B654" s="21">
        <v>652</v>
      </c>
      <c r="C654" s="21" t="s">
        <v>788</v>
      </c>
      <c r="D654" s="21" t="s">
        <v>138</v>
      </c>
      <c r="E654">
        <f>FIND(",", tblPassengerNames[[#This Row],[Name]])</f>
        <v>8</v>
      </c>
      <c r="F654">
        <f>FIND(".", tblPassengerNames[[#This Row],[Name]])</f>
        <v>12</v>
      </c>
      <c r="G654" t="e">
        <f>FIND("(", tblPassengerNames[[#This Row],[Name]])</f>
        <v>#VALUE!</v>
      </c>
      <c r="H654" t="e">
        <f>FIND(")", tblPassengerNames[[#This Row],[Name]])</f>
        <v>#VALUE!</v>
      </c>
      <c r="I654">
        <f>IFERROR(tblPassengerNames[[#This Row],[OpenParPos]] - 2, LEN(tblPassengerNames[[#This Row],[Name]]))</f>
        <v>20</v>
      </c>
      <c r="J654" t="str">
        <f>MID(tblPassengerNames[[#This Row],[Name]], tblPassengerNames[[#This Row],[DotPos]] + 2, tblPassengerNames[[#This Row],[EndOfConvFNPos]] - tblPassengerNames[[#This Row],[DotPos]] - 1)</f>
        <v>Sleiman</v>
      </c>
      <c r="K654" t="e">
        <f>MID(tblPassengerNames[[#This Row],[Name]], tblPassengerNames[[#This Row],[OpenParPos]] + 1, tblPassengerNames[[#This Row],[CloseParPos]] - tblPassengerNames[[#This Row],[OpenParPos]] - 1)</f>
        <v>#VALUE!</v>
      </c>
      <c r="L654" t="e">
        <f>IF(AND(LEFT(tblPassengerNames[[#This Row],[InParentheses]], 1) = "'", RIGHT(tblPassengerNames[[#This Row],[InParentheses]], 1) = "'"),
    #VALUE!,
    tblPassengerNames[[#This Row],[InParentheses]]
)</f>
        <v>#VALUE!</v>
      </c>
      <c r="M654" t="e">
        <f>LEN(tblPassengerNames[[#This Row],[InParenthesesCleaned]]) - LEN(SUBSTITUTE(tblPassengerNames[[#This Row],[InParenthesesCleaned]], " ", ""))</f>
        <v>#VALUE!</v>
      </c>
      <c r="N654" t="e">
        <f>FIND("@", SUBSTITUTE(tblPassengerNames[[#This Row],[InParenthesesCleaned]], " ", "@", tblPassengerNames[[#This Row],[P_NSpaces]]))</f>
        <v>#VALUE!</v>
      </c>
      <c r="O654" t="e">
        <f>IF(tblPassengerNames[[#This Row],[P_NSpaces]] = 0,
    tblPassengerNames[[#This Row],[InParenthesesCleaned]],
    LEFT(tblPassengerNames[[#This Row],[InParenthesesCleaned]], tblPassengerNames[[#This Row],[P_FinalSpacePos]] - 1)
)</f>
        <v>#VALUE!</v>
      </c>
      <c r="P654" t="str">
        <f>IFERROR(tblPassengerNames[[#This Row],[P_Forenames]], tblPassengerNames[[#This Row],[ConvForenames]])</f>
        <v>Sleiman</v>
      </c>
      <c r="Q654" t="str">
        <f>MID(tblPassengerNames[[#This Row],[Name]], tblPassengerNames[[#This Row],[CommaPos]] + 2, tblPassengerNames[[#This Row],[DotPos]] - tblPassengerNames[[#This Row],[CommaPos]] - 1)</f>
        <v>Mr.</v>
      </c>
      <c r="R654" t="str">
        <f>LEFT(tblPassengerNames[[#This Row],[Name]], tblPassengerNames[[#This Row],[CommaPos]] - 1)</f>
        <v>Attalah</v>
      </c>
    </row>
    <row r="655" spans="2:18" x14ac:dyDescent="0.25">
      <c r="B655" s="21">
        <v>653</v>
      </c>
      <c r="C655" s="21" t="s">
        <v>789</v>
      </c>
      <c r="D655" s="21" t="s">
        <v>138</v>
      </c>
      <c r="E655">
        <f>FIND(",", tblPassengerNames[[#This Row],[Name]])</f>
        <v>11</v>
      </c>
      <c r="F655">
        <f>FIND(".", tblPassengerNames[[#This Row],[Name]])</f>
        <v>15</v>
      </c>
      <c r="G655" t="e">
        <f>FIND("(", tblPassengerNames[[#This Row],[Name]])</f>
        <v>#VALUE!</v>
      </c>
      <c r="H655" t="e">
        <f>FIND(")", tblPassengerNames[[#This Row],[Name]])</f>
        <v>#VALUE!</v>
      </c>
      <c r="I655">
        <f>IFERROR(tblPassengerNames[[#This Row],[OpenParPos]] - 2, LEN(tblPassengerNames[[#This Row],[Name]]))</f>
        <v>22</v>
      </c>
      <c r="J655" t="str">
        <f>MID(tblPassengerNames[[#This Row],[Name]], tblPassengerNames[[#This Row],[DotPos]] + 2, tblPassengerNames[[#This Row],[EndOfConvFNPos]] - tblPassengerNames[[#This Row],[DotPos]] - 1)</f>
        <v>Albert</v>
      </c>
      <c r="K655" t="e">
        <f>MID(tblPassengerNames[[#This Row],[Name]], tblPassengerNames[[#This Row],[OpenParPos]] + 1, tblPassengerNames[[#This Row],[CloseParPos]] - tblPassengerNames[[#This Row],[OpenParPos]] - 1)</f>
        <v>#VALUE!</v>
      </c>
      <c r="L655" t="e">
        <f>IF(AND(LEFT(tblPassengerNames[[#This Row],[InParentheses]], 1) = "'", RIGHT(tblPassengerNames[[#This Row],[InParentheses]], 1) = "'"),
    #VALUE!,
    tblPassengerNames[[#This Row],[InParentheses]]
)</f>
        <v>#VALUE!</v>
      </c>
      <c r="M655" t="e">
        <f>LEN(tblPassengerNames[[#This Row],[InParenthesesCleaned]]) - LEN(SUBSTITUTE(tblPassengerNames[[#This Row],[InParenthesesCleaned]], " ", ""))</f>
        <v>#VALUE!</v>
      </c>
      <c r="N655" t="e">
        <f>FIND("@", SUBSTITUTE(tblPassengerNames[[#This Row],[InParenthesesCleaned]], " ", "@", tblPassengerNames[[#This Row],[P_NSpaces]]))</f>
        <v>#VALUE!</v>
      </c>
      <c r="O655" t="e">
        <f>IF(tblPassengerNames[[#This Row],[P_NSpaces]] = 0,
    tblPassengerNames[[#This Row],[InParenthesesCleaned]],
    LEFT(tblPassengerNames[[#This Row],[InParenthesesCleaned]], tblPassengerNames[[#This Row],[P_FinalSpacePos]] - 1)
)</f>
        <v>#VALUE!</v>
      </c>
      <c r="P655" t="str">
        <f>IFERROR(tblPassengerNames[[#This Row],[P_Forenames]], tblPassengerNames[[#This Row],[ConvForenames]])</f>
        <v>Albert</v>
      </c>
      <c r="Q655" t="str">
        <f>MID(tblPassengerNames[[#This Row],[Name]], tblPassengerNames[[#This Row],[CommaPos]] + 2, tblPassengerNames[[#This Row],[DotPos]] - tblPassengerNames[[#This Row],[CommaPos]] - 1)</f>
        <v>Mr.</v>
      </c>
      <c r="R655" t="str">
        <f>LEFT(tblPassengerNames[[#This Row],[Name]], tblPassengerNames[[#This Row],[CommaPos]] - 1)</f>
        <v>Augustsson</v>
      </c>
    </row>
    <row r="656" spans="2:18" x14ac:dyDescent="0.25">
      <c r="B656" s="21">
        <v>654</v>
      </c>
      <c r="C656" s="21" t="s">
        <v>790</v>
      </c>
      <c r="D656" s="21" t="s">
        <v>136</v>
      </c>
      <c r="E656">
        <f>FIND(",", tblPassengerNames[[#This Row],[Name]])</f>
        <v>6</v>
      </c>
      <c r="F656">
        <f>FIND(".", tblPassengerNames[[#This Row],[Name]])</f>
        <v>12</v>
      </c>
      <c r="G656" t="e">
        <f>FIND("(", tblPassengerNames[[#This Row],[Name]])</f>
        <v>#VALUE!</v>
      </c>
      <c r="H656" t="e">
        <f>FIND(")", tblPassengerNames[[#This Row],[Name]])</f>
        <v>#VALUE!</v>
      </c>
      <c r="I656">
        <f>IFERROR(tblPassengerNames[[#This Row],[OpenParPos]] - 2, LEN(tblPassengerNames[[#This Row],[Name]]))</f>
        <v>20</v>
      </c>
      <c r="J656" t="str">
        <f>MID(tblPassengerNames[[#This Row],[Name]], tblPassengerNames[[#This Row],[DotPos]] + 2, tblPassengerNames[[#This Row],[EndOfConvFNPos]] - tblPassengerNames[[#This Row],[DotPos]] - 1)</f>
        <v>Banoura</v>
      </c>
      <c r="K656" t="e">
        <f>MID(tblPassengerNames[[#This Row],[Name]], tblPassengerNames[[#This Row],[OpenParPos]] + 1, tblPassengerNames[[#This Row],[CloseParPos]] - tblPassengerNames[[#This Row],[OpenParPos]] - 1)</f>
        <v>#VALUE!</v>
      </c>
      <c r="L656" t="e">
        <f>IF(AND(LEFT(tblPassengerNames[[#This Row],[InParentheses]], 1) = "'", RIGHT(tblPassengerNames[[#This Row],[InParentheses]], 1) = "'"),
    #VALUE!,
    tblPassengerNames[[#This Row],[InParentheses]]
)</f>
        <v>#VALUE!</v>
      </c>
      <c r="M656" t="e">
        <f>LEN(tblPassengerNames[[#This Row],[InParenthesesCleaned]]) - LEN(SUBSTITUTE(tblPassengerNames[[#This Row],[InParenthesesCleaned]], " ", ""))</f>
        <v>#VALUE!</v>
      </c>
      <c r="N656" t="e">
        <f>FIND("@", SUBSTITUTE(tblPassengerNames[[#This Row],[InParenthesesCleaned]], " ", "@", tblPassengerNames[[#This Row],[P_NSpaces]]))</f>
        <v>#VALUE!</v>
      </c>
      <c r="O656" t="e">
        <f>IF(tblPassengerNames[[#This Row],[P_NSpaces]] = 0,
    tblPassengerNames[[#This Row],[InParenthesesCleaned]],
    LEFT(tblPassengerNames[[#This Row],[InParenthesesCleaned]], tblPassengerNames[[#This Row],[P_FinalSpacePos]] - 1)
)</f>
        <v>#VALUE!</v>
      </c>
      <c r="P656" t="str">
        <f>IFERROR(tblPassengerNames[[#This Row],[P_Forenames]], tblPassengerNames[[#This Row],[ConvForenames]])</f>
        <v>Banoura</v>
      </c>
      <c r="Q656" t="str">
        <f>MID(tblPassengerNames[[#This Row],[Name]], tblPassengerNames[[#This Row],[CommaPos]] + 2, tblPassengerNames[[#This Row],[DotPos]] - tblPassengerNames[[#This Row],[CommaPos]] - 1)</f>
        <v>Miss.</v>
      </c>
      <c r="R656" t="str">
        <f>LEFT(tblPassengerNames[[#This Row],[Name]], tblPassengerNames[[#This Row],[CommaPos]] - 1)</f>
        <v>Ayoub</v>
      </c>
    </row>
    <row r="657" spans="2:18" x14ac:dyDescent="0.25">
      <c r="B657" s="21">
        <v>655</v>
      </c>
      <c r="C657" s="21" t="s">
        <v>791</v>
      </c>
      <c r="D657" s="21" t="s">
        <v>138</v>
      </c>
      <c r="E657">
        <f>FIND(",", tblPassengerNames[[#This Row],[Name]])</f>
        <v>7</v>
      </c>
      <c r="F657">
        <f>FIND(".", tblPassengerNames[[#This Row],[Name]])</f>
        <v>11</v>
      </c>
      <c r="G657" t="e">
        <f>FIND("(", tblPassengerNames[[#This Row],[Name]])</f>
        <v>#VALUE!</v>
      </c>
      <c r="H657" t="e">
        <f>FIND(")", tblPassengerNames[[#This Row],[Name]])</f>
        <v>#VALUE!</v>
      </c>
      <c r="I657">
        <f>IFERROR(tblPassengerNames[[#This Row],[OpenParPos]] - 2, LEN(tblPassengerNames[[#This Row],[Name]]))</f>
        <v>19</v>
      </c>
      <c r="J657" t="str">
        <f>MID(tblPassengerNames[[#This Row],[Name]], tblPassengerNames[[#This Row],[DotPos]] + 2, tblPassengerNames[[#This Row],[EndOfConvFNPos]] - tblPassengerNames[[#This Row],[DotPos]] - 1)</f>
        <v>Raffull</v>
      </c>
      <c r="K657" t="e">
        <f>MID(tblPassengerNames[[#This Row],[Name]], tblPassengerNames[[#This Row],[OpenParPos]] + 1, tblPassengerNames[[#This Row],[CloseParPos]] - tblPassengerNames[[#This Row],[OpenParPos]] - 1)</f>
        <v>#VALUE!</v>
      </c>
      <c r="L657" t="e">
        <f>IF(AND(LEFT(tblPassengerNames[[#This Row],[InParentheses]], 1) = "'", RIGHT(tblPassengerNames[[#This Row],[InParentheses]], 1) = "'"),
    #VALUE!,
    tblPassengerNames[[#This Row],[InParentheses]]
)</f>
        <v>#VALUE!</v>
      </c>
      <c r="M657" t="e">
        <f>LEN(tblPassengerNames[[#This Row],[InParenthesesCleaned]]) - LEN(SUBSTITUTE(tblPassengerNames[[#This Row],[InParenthesesCleaned]], " ", ""))</f>
        <v>#VALUE!</v>
      </c>
      <c r="N657" t="e">
        <f>FIND("@", SUBSTITUTE(tblPassengerNames[[#This Row],[InParenthesesCleaned]], " ", "@", tblPassengerNames[[#This Row],[P_NSpaces]]))</f>
        <v>#VALUE!</v>
      </c>
      <c r="O657" t="e">
        <f>IF(tblPassengerNames[[#This Row],[P_NSpaces]] = 0,
    tblPassengerNames[[#This Row],[InParenthesesCleaned]],
    LEFT(tblPassengerNames[[#This Row],[InParenthesesCleaned]], tblPassengerNames[[#This Row],[P_FinalSpacePos]] - 1)
)</f>
        <v>#VALUE!</v>
      </c>
      <c r="P657" t="str">
        <f>IFERROR(tblPassengerNames[[#This Row],[P_Forenames]], tblPassengerNames[[#This Row],[ConvForenames]])</f>
        <v>Raffull</v>
      </c>
      <c r="Q657" t="str">
        <f>MID(tblPassengerNames[[#This Row],[Name]], tblPassengerNames[[#This Row],[CommaPos]] + 2, tblPassengerNames[[#This Row],[DotPos]] - tblPassengerNames[[#This Row],[CommaPos]] - 1)</f>
        <v>Mr.</v>
      </c>
      <c r="R657" t="str">
        <f>LEFT(tblPassengerNames[[#This Row],[Name]], tblPassengerNames[[#This Row],[CommaPos]] - 1)</f>
        <v>Baccos</v>
      </c>
    </row>
    <row r="658" spans="2:18" x14ac:dyDescent="0.25">
      <c r="B658" s="21">
        <v>656</v>
      </c>
      <c r="C658" s="21" t="s">
        <v>792</v>
      </c>
      <c r="D658" s="21" t="s">
        <v>138</v>
      </c>
      <c r="E658">
        <f>FIND(",", tblPassengerNames[[#This Row],[Name]])</f>
        <v>10</v>
      </c>
      <c r="F658">
        <f>FIND(".", tblPassengerNames[[#This Row],[Name]])</f>
        <v>14</v>
      </c>
      <c r="G658" t="e">
        <f>FIND("(", tblPassengerNames[[#This Row],[Name]])</f>
        <v>#VALUE!</v>
      </c>
      <c r="H658" t="e">
        <f>FIND(")", tblPassengerNames[[#This Row],[Name]])</f>
        <v>#VALUE!</v>
      </c>
      <c r="I658">
        <f>IFERROR(tblPassengerNames[[#This Row],[OpenParPos]] - 2, LEN(tblPassengerNames[[#This Row],[Name]]))</f>
        <v>26</v>
      </c>
      <c r="J658" t="str">
        <f>MID(tblPassengerNames[[#This Row],[Name]], tblPassengerNames[[#This Row],[DotPos]] + 2, tblPassengerNames[[#This Row],[EndOfConvFNPos]] - tblPassengerNames[[#This Row],[DotPos]] - 1)</f>
        <v>Karl Alfred</v>
      </c>
      <c r="K658" t="e">
        <f>MID(tblPassengerNames[[#This Row],[Name]], tblPassengerNames[[#This Row],[OpenParPos]] + 1, tblPassengerNames[[#This Row],[CloseParPos]] - tblPassengerNames[[#This Row],[OpenParPos]] - 1)</f>
        <v>#VALUE!</v>
      </c>
      <c r="L658" t="e">
        <f>IF(AND(LEFT(tblPassengerNames[[#This Row],[InParentheses]], 1) = "'", RIGHT(tblPassengerNames[[#This Row],[InParentheses]], 1) = "'"),
    #VALUE!,
    tblPassengerNames[[#This Row],[InParentheses]]
)</f>
        <v>#VALUE!</v>
      </c>
      <c r="M658" t="e">
        <f>LEN(tblPassengerNames[[#This Row],[InParenthesesCleaned]]) - LEN(SUBSTITUTE(tblPassengerNames[[#This Row],[InParenthesesCleaned]], " ", ""))</f>
        <v>#VALUE!</v>
      </c>
      <c r="N658" t="e">
        <f>FIND("@", SUBSTITUTE(tblPassengerNames[[#This Row],[InParenthesesCleaned]], " ", "@", tblPassengerNames[[#This Row],[P_NSpaces]]))</f>
        <v>#VALUE!</v>
      </c>
      <c r="O658" t="e">
        <f>IF(tblPassengerNames[[#This Row],[P_NSpaces]] = 0,
    tblPassengerNames[[#This Row],[InParenthesesCleaned]],
    LEFT(tblPassengerNames[[#This Row],[InParenthesesCleaned]], tblPassengerNames[[#This Row],[P_FinalSpacePos]] - 1)
)</f>
        <v>#VALUE!</v>
      </c>
      <c r="P658" t="str">
        <f>IFERROR(tblPassengerNames[[#This Row],[P_Forenames]], tblPassengerNames[[#This Row],[ConvForenames]])</f>
        <v>Karl Alfred</v>
      </c>
      <c r="Q658" t="str">
        <f>MID(tblPassengerNames[[#This Row],[Name]], tblPassengerNames[[#This Row],[CommaPos]] + 2, tblPassengerNames[[#This Row],[DotPos]] - tblPassengerNames[[#This Row],[CommaPos]] - 1)</f>
        <v>Mr.</v>
      </c>
      <c r="R658" t="str">
        <f>LEFT(tblPassengerNames[[#This Row],[Name]], tblPassengerNames[[#This Row],[CommaPos]] - 1)</f>
        <v>Backstrom</v>
      </c>
    </row>
    <row r="659" spans="2:18" x14ac:dyDescent="0.25">
      <c r="B659" s="21">
        <v>657</v>
      </c>
      <c r="C659" s="21" t="s">
        <v>793</v>
      </c>
      <c r="D659" s="21" t="s">
        <v>136</v>
      </c>
      <c r="E659">
        <f>FIND(",", tblPassengerNames[[#This Row],[Name]])</f>
        <v>10</v>
      </c>
      <c r="F659">
        <f>FIND(".", tblPassengerNames[[#This Row],[Name]])</f>
        <v>15</v>
      </c>
      <c r="G659">
        <f>FIND("(", tblPassengerNames[[#This Row],[Name]])</f>
        <v>29</v>
      </c>
      <c r="H659">
        <f>FIND(")", tblPassengerNames[[#This Row],[Name]])</f>
        <v>55</v>
      </c>
      <c r="I659">
        <f>IFERROR(tblPassengerNames[[#This Row],[OpenParPos]] - 2, LEN(tblPassengerNames[[#This Row],[Name]]))</f>
        <v>27</v>
      </c>
      <c r="J659" t="str">
        <f>MID(tblPassengerNames[[#This Row],[Name]], tblPassengerNames[[#This Row],[DotPos]] + 2, tblPassengerNames[[#This Row],[EndOfConvFNPos]] - tblPassengerNames[[#This Row],[DotPos]] - 1)</f>
        <v>Karl Alfred</v>
      </c>
      <c r="K659" t="str">
        <f>MID(tblPassengerNames[[#This Row],[Name]], tblPassengerNames[[#This Row],[OpenParPos]] + 1, tblPassengerNames[[#This Row],[CloseParPos]] - tblPassengerNames[[#This Row],[OpenParPos]] - 1)</f>
        <v>Maria Mathilda Gustafsson</v>
      </c>
      <c r="L659" t="str">
        <f>IF(AND(LEFT(tblPassengerNames[[#This Row],[InParentheses]], 1) = "'", RIGHT(tblPassengerNames[[#This Row],[InParentheses]], 1) = "'"),
    #VALUE!,
    tblPassengerNames[[#This Row],[InParentheses]]
)</f>
        <v>Maria Mathilda Gustafsson</v>
      </c>
      <c r="M659">
        <f>LEN(tblPassengerNames[[#This Row],[InParenthesesCleaned]]) - LEN(SUBSTITUTE(tblPassengerNames[[#This Row],[InParenthesesCleaned]], " ", ""))</f>
        <v>2</v>
      </c>
      <c r="N659">
        <f>FIND("@", SUBSTITUTE(tblPassengerNames[[#This Row],[InParenthesesCleaned]], " ", "@", tblPassengerNames[[#This Row],[P_NSpaces]]))</f>
        <v>15</v>
      </c>
      <c r="O659" t="str">
        <f>IF(tblPassengerNames[[#This Row],[P_NSpaces]] = 0,
    tblPassengerNames[[#This Row],[InParenthesesCleaned]],
    LEFT(tblPassengerNames[[#This Row],[InParenthesesCleaned]], tblPassengerNames[[#This Row],[P_FinalSpacePos]] - 1)
)</f>
        <v>Maria Mathilda</v>
      </c>
      <c r="P659" t="str">
        <f>IFERROR(tblPassengerNames[[#This Row],[P_Forenames]], tblPassengerNames[[#This Row],[ConvForenames]])</f>
        <v>Maria Mathilda</v>
      </c>
      <c r="Q659" t="str">
        <f>MID(tblPassengerNames[[#This Row],[Name]], tblPassengerNames[[#This Row],[CommaPos]] + 2, tblPassengerNames[[#This Row],[DotPos]] - tblPassengerNames[[#This Row],[CommaPos]] - 1)</f>
        <v>Mrs.</v>
      </c>
      <c r="R659" t="str">
        <f>LEFT(tblPassengerNames[[#This Row],[Name]], tblPassengerNames[[#This Row],[CommaPos]] - 1)</f>
        <v>Backstrom</v>
      </c>
    </row>
    <row r="660" spans="2:18" x14ac:dyDescent="0.25">
      <c r="B660" s="21">
        <v>658</v>
      </c>
      <c r="C660" s="21" t="s">
        <v>794</v>
      </c>
      <c r="D660" s="21" t="s">
        <v>136</v>
      </c>
      <c r="E660">
        <f>FIND(",", tblPassengerNames[[#This Row],[Name]])</f>
        <v>8</v>
      </c>
      <c r="F660">
        <f>FIND(".", tblPassengerNames[[#This Row],[Name]])</f>
        <v>14</v>
      </c>
      <c r="G660" t="e">
        <f>FIND("(", tblPassengerNames[[#This Row],[Name]])</f>
        <v>#VALUE!</v>
      </c>
      <c r="H660" t="e">
        <f>FIND(")", tblPassengerNames[[#This Row],[Name]])</f>
        <v>#VALUE!</v>
      </c>
      <c r="I660">
        <f>IFERROR(tblPassengerNames[[#This Row],[OpenParPos]] - 2, LEN(tblPassengerNames[[#This Row],[Name]]))</f>
        <v>22</v>
      </c>
      <c r="J660" t="str">
        <f>MID(tblPassengerNames[[#This Row],[Name]], tblPassengerNames[[#This Row],[DotPos]] + 2, tblPassengerNames[[#This Row],[EndOfConvFNPos]] - tblPassengerNames[[#This Row],[DotPos]] - 1)</f>
        <v>Eugenie</v>
      </c>
      <c r="K660" t="e">
        <f>MID(tblPassengerNames[[#This Row],[Name]], tblPassengerNames[[#This Row],[OpenParPos]] + 1, tblPassengerNames[[#This Row],[CloseParPos]] - tblPassengerNames[[#This Row],[OpenParPos]] - 1)</f>
        <v>#VALUE!</v>
      </c>
      <c r="L660" t="e">
        <f>IF(AND(LEFT(tblPassengerNames[[#This Row],[InParentheses]], 1) = "'", RIGHT(tblPassengerNames[[#This Row],[InParentheses]], 1) = "'"),
    #VALUE!,
    tblPassengerNames[[#This Row],[InParentheses]]
)</f>
        <v>#VALUE!</v>
      </c>
      <c r="M660" t="e">
        <f>LEN(tblPassengerNames[[#This Row],[InParenthesesCleaned]]) - LEN(SUBSTITUTE(tblPassengerNames[[#This Row],[InParenthesesCleaned]], " ", ""))</f>
        <v>#VALUE!</v>
      </c>
      <c r="N660" t="e">
        <f>FIND("@", SUBSTITUTE(tblPassengerNames[[#This Row],[InParenthesesCleaned]], " ", "@", tblPassengerNames[[#This Row],[P_NSpaces]]))</f>
        <v>#VALUE!</v>
      </c>
      <c r="O660" t="e">
        <f>IF(tblPassengerNames[[#This Row],[P_NSpaces]] = 0,
    tblPassengerNames[[#This Row],[InParenthesesCleaned]],
    LEFT(tblPassengerNames[[#This Row],[InParenthesesCleaned]], tblPassengerNames[[#This Row],[P_FinalSpacePos]] - 1)
)</f>
        <v>#VALUE!</v>
      </c>
      <c r="P660" t="str">
        <f>IFERROR(tblPassengerNames[[#This Row],[P_Forenames]], tblPassengerNames[[#This Row],[ConvForenames]])</f>
        <v>Eugenie</v>
      </c>
      <c r="Q660" t="str">
        <f>MID(tblPassengerNames[[#This Row],[Name]], tblPassengerNames[[#This Row],[CommaPos]] + 2, tblPassengerNames[[#This Row],[DotPos]] - tblPassengerNames[[#This Row],[CommaPos]] - 1)</f>
        <v>Miss.</v>
      </c>
      <c r="R660" t="str">
        <f>LEFT(tblPassengerNames[[#This Row],[Name]], tblPassengerNames[[#This Row],[CommaPos]] - 1)</f>
        <v>Baclini</v>
      </c>
    </row>
    <row r="661" spans="2:18" x14ac:dyDescent="0.25">
      <c r="B661" s="21">
        <v>659</v>
      </c>
      <c r="C661" s="21" t="s">
        <v>795</v>
      </c>
      <c r="D661" s="21" t="s">
        <v>136</v>
      </c>
      <c r="E661">
        <f>FIND(",", tblPassengerNames[[#This Row],[Name]])</f>
        <v>8</v>
      </c>
      <c r="F661">
        <f>FIND(".", tblPassengerNames[[#This Row],[Name]])</f>
        <v>14</v>
      </c>
      <c r="G661" t="e">
        <f>FIND("(", tblPassengerNames[[#This Row],[Name]])</f>
        <v>#VALUE!</v>
      </c>
      <c r="H661" t="e">
        <f>FIND(")", tblPassengerNames[[#This Row],[Name]])</f>
        <v>#VALUE!</v>
      </c>
      <c r="I661">
        <f>IFERROR(tblPassengerNames[[#This Row],[OpenParPos]] - 2, LEN(tblPassengerNames[[#This Row],[Name]]))</f>
        <v>29</v>
      </c>
      <c r="J661" t="str">
        <f>MID(tblPassengerNames[[#This Row],[Name]], tblPassengerNames[[#This Row],[DotPos]] + 2, tblPassengerNames[[#This Row],[EndOfConvFNPos]] - tblPassengerNames[[#This Row],[DotPos]] - 1)</f>
        <v>Helene Barbara</v>
      </c>
      <c r="K661" t="e">
        <f>MID(tblPassengerNames[[#This Row],[Name]], tblPassengerNames[[#This Row],[OpenParPos]] + 1, tblPassengerNames[[#This Row],[CloseParPos]] - tblPassengerNames[[#This Row],[OpenParPos]] - 1)</f>
        <v>#VALUE!</v>
      </c>
      <c r="L661" t="e">
        <f>IF(AND(LEFT(tblPassengerNames[[#This Row],[InParentheses]], 1) = "'", RIGHT(tblPassengerNames[[#This Row],[InParentheses]], 1) = "'"),
    #VALUE!,
    tblPassengerNames[[#This Row],[InParentheses]]
)</f>
        <v>#VALUE!</v>
      </c>
      <c r="M661" t="e">
        <f>LEN(tblPassengerNames[[#This Row],[InParenthesesCleaned]]) - LEN(SUBSTITUTE(tblPassengerNames[[#This Row],[InParenthesesCleaned]], " ", ""))</f>
        <v>#VALUE!</v>
      </c>
      <c r="N661" t="e">
        <f>FIND("@", SUBSTITUTE(tblPassengerNames[[#This Row],[InParenthesesCleaned]], " ", "@", tblPassengerNames[[#This Row],[P_NSpaces]]))</f>
        <v>#VALUE!</v>
      </c>
      <c r="O661" t="e">
        <f>IF(tblPassengerNames[[#This Row],[P_NSpaces]] = 0,
    tblPassengerNames[[#This Row],[InParenthesesCleaned]],
    LEFT(tblPassengerNames[[#This Row],[InParenthesesCleaned]], tblPassengerNames[[#This Row],[P_FinalSpacePos]] - 1)
)</f>
        <v>#VALUE!</v>
      </c>
      <c r="P661" t="str">
        <f>IFERROR(tblPassengerNames[[#This Row],[P_Forenames]], tblPassengerNames[[#This Row],[ConvForenames]])</f>
        <v>Helene Barbara</v>
      </c>
      <c r="Q661" t="str">
        <f>MID(tblPassengerNames[[#This Row],[Name]], tblPassengerNames[[#This Row],[CommaPos]] + 2, tblPassengerNames[[#This Row],[DotPos]] - tblPassengerNames[[#This Row],[CommaPos]] - 1)</f>
        <v>Miss.</v>
      </c>
      <c r="R661" t="str">
        <f>LEFT(tblPassengerNames[[#This Row],[Name]], tblPassengerNames[[#This Row],[CommaPos]] - 1)</f>
        <v>Baclini</v>
      </c>
    </row>
    <row r="662" spans="2:18" x14ac:dyDescent="0.25">
      <c r="B662" s="21">
        <v>660</v>
      </c>
      <c r="C662" s="21" t="s">
        <v>796</v>
      </c>
      <c r="D662" s="21" t="s">
        <v>136</v>
      </c>
      <c r="E662">
        <f>FIND(",", tblPassengerNames[[#This Row],[Name]])</f>
        <v>8</v>
      </c>
      <c r="F662">
        <f>FIND(".", tblPassengerNames[[#This Row],[Name]])</f>
        <v>14</v>
      </c>
      <c r="G662" t="e">
        <f>FIND("(", tblPassengerNames[[#This Row],[Name]])</f>
        <v>#VALUE!</v>
      </c>
      <c r="H662" t="e">
        <f>FIND(")", tblPassengerNames[[#This Row],[Name]])</f>
        <v>#VALUE!</v>
      </c>
      <c r="I662">
        <f>IFERROR(tblPassengerNames[[#This Row],[OpenParPos]] - 2, LEN(tblPassengerNames[[#This Row],[Name]]))</f>
        <v>30</v>
      </c>
      <c r="J662" t="str">
        <f>MID(tblPassengerNames[[#This Row],[Name]], tblPassengerNames[[#This Row],[DotPos]] + 2, tblPassengerNames[[#This Row],[EndOfConvFNPos]] - tblPassengerNames[[#This Row],[DotPos]] - 1)</f>
        <v>Marie Catherine</v>
      </c>
      <c r="K662" t="e">
        <f>MID(tblPassengerNames[[#This Row],[Name]], tblPassengerNames[[#This Row],[OpenParPos]] + 1, tblPassengerNames[[#This Row],[CloseParPos]] - tblPassengerNames[[#This Row],[OpenParPos]] - 1)</f>
        <v>#VALUE!</v>
      </c>
      <c r="L662" t="e">
        <f>IF(AND(LEFT(tblPassengerNames[[#This Row],[InParentheses]], 1) = "'", RIGHT(tblPassengerNames[[#This Row],[InParentheses]], 1) = "'"),
    #VALUE!,
    tblPassengerNames[[#This Row],[InParentheses]]
)</f>
        <v>#VALUE!</v>
      </c>
      <c r="M662" t="e">
        <f>LEN(tblPassengerNames[[#This Row],[InParenthesesCleaned]]) - LEN(SUBSTITUTE(tblPassengerNames[[#This Row],[InParenthesesCleaned]], " ", ""))</f>
        <v>#VALUE!</v>
      </c>
      <c r="N662" t="e">
        <f>FIND("@", SUBSTITUTE(tblPassengerNames[[#This Row],[InParenthesesCleaned]], " ", "@", tblPassengerNames[[#This Row],[P_NSpaces]]))</f>
        <v>#VALUE!</v>
      </c>
      <c r="O662" t="e">
        <f>IF(tblPassengerNames[[#This Row],[P_NSpaces]] = 0,
    tblPassengerNames[[#This Row],[InParenthesesCleaned]],
    LEFT(tblPassengerNames[[#This Row],[InParenthesesCleaned]], tblPassengerNames[[#This Row],[P_FinalSpacePos]] - 1)
)</f>
        <v>#VALUE!</v>
      </c>
      <c r="P662" t="str">
        <f>IFERROR(tblPassengerNames[[#This Row],[P_Forenames]], tblPassengerNames[[#This Row],[ConvForenames]])</f>
        <v>Marie Catherine</v>
      </c>
      <c r="Q662" t="str">
        <f>MID(tblPassengerNames[[#This Row],[Name]], tblPassengerNames[[#This Row],[CommaPos]] + 2, tblPassengerNames[[#This Row],[DotPos]] - tblPassengerNames[[#This Row],[CommaPos]] - 1)</f>
        <v>Miss.</v>
      </c>
      <c r="R662" t="str">
        <f>LEFT(tblPassengerNames[[#This Row],[Name]], tblPassengerNames[[#This Row],[CommaPos]] - 1)</f>
        <v>Baclini</v>
      </c>
    </row>
    <row r="663" spans="2:18" x14ac:dyDescent="0.25">
      <c r="B663" s="21">
        <v>661</v>
      </c>
      <c r="C663" s="21" t="s">
        <v>797</v>
      </c>
      <c r="D663" s="21" t="s">
        <v>136</v>
      </c>
      <c r="E663">
        <f>FIND(",", tblPassengerNames[[#This Row],[Name]])</f>
        <v>8</v>
      </c>
      <c r="F663">
        <f>FIND(".", tblPassengerNames[[#This Row],[Name]])</f>
        <v>13</v>
      </c>
      <c r="G663">
        <f>FIND("(", tblPassengerNames[[#This Row],[Name]])</f>
        <v>23</v>
      </c>
      <c r="H663">
        <f>FIND(")", tblPassengerNames[[#This Row],[Name]])</f>
        <v>37</v>
      </c>
      <c r="I663">
        <f>IFERROR(tblPassengerNames[[#This Row],[OpenParPos]] - 2, LEN(tblPassengerNames[[#This Row],[Name]]))</f>
        <v>21</v>
      </c>
      <c r="J663" t="str">
        <f>MID(tblPassengerNames[[#This Row],[Name]], tblPassengerNames[[#This Row],[DotPos]] + 2, tblPassengerNames[[#This Row],[EndOfConvFNPos]] - tblPassengerNames[[#This Row],[DotPos]] - 1)</f>
        <v>Solomon</v>
      </c>
      <c r="K663" t="str">
        <f>MID(tblPassengerNames[[#This Row],[Name]], tblPassengerNames[[#This Row],[OpenParPos]] + 1, tblPassengerNames[[#This Row],[CloseParPos]] - tblPassengerNames[[#This Row],[OpenParPos]] - 1)</f>
        <v>Latifa Qurban</v>
      </c>
      <c r="L663" t="str">
        <f>IF(AND(LEFT(tblPassengerNames[[#This Row],[InParentheses]], 1) = "'", RIGHT(tblPassengerNames[[#This Row],[InParentheses]], 1) = "'"),
    #VALUE!,
    tblPassengerNames[[#This Row],[InParentheses]]
)</f>
        <v>Latifa Qurban</v>
      </c>
      <c r="M663">
        <f>LEN(tblPassengerNames[[#This Row],[InParenthesesCleaned]]) - LEN(SUBSTITUTE(tblPassengerNames[[#This Row],[InParenthesesCleaned]], " ", ""))</f>
        <v>1</v>
      </c>
      <c r="N663">
        <f>FIND("@", SUBSTITUTE(tblPassengerNames[[#This Row],[InParenthesesCleaned]], " ", "@", tblPassengerNames[[#This Row],[P_NSpaces]]))</f>
        <v>7</v>
      </c>
      <c r="O663" t="str">
        <f>IF(tblPassengerNames[[#This Row],[P_NSpaces]] = 0,
    tblPassengerNames[[#This Row],[InParenthesesCleaned]],
    LEFT(tblPassengerNames[[#This Row],[InParenthesesCleaned]], tblPassengerNames[[#This Row],[P_FinalSpacePos]] - 1)
)</f>
        <v>Latifa</v>
      </c>
      <c r="P663" t="str">
        <f>IFERROR(tblPassengerNames[[#This Row],[P_Forenames]], tblPassengerNames[[#This Row],[ConvForenames]])</f>
        <v>Latifa</v>
      </c>
      <c r="Q663" t="str">
        <f>MID(tblPassengerNames[[#This Row],[Name]], tblPassengerNames[[#This Row],[CommaPos]] + 2, tblPassengerNames[[#This Row],[DotPos]] - tblPassengerNames[[#This Row],[CommaPos]] - 1)</f>
        <v>Mrs.</v>
      </c>
      <c r="R663" t="str">
        <f>LEFT(tblPassengerNames[[#This Row],[Name]], tblPassengerNames[[#This Row],[CommaPos]] - 1)</f>
        <v>Baclini</v>
      </c>
    </row>
    <row r="664" spans="2:18" x14ac:dyDescent="0.25">
      <c r="B664" s="21">
        <v>662</v>
      </c>
      <c r="C664" s="21" t="s">
        <v>798</v>
      </c>
      <c r="D664" s="21" t="s">
        <v>136</v>
      </c>
      <c r="E664">
        <f>FIND(",", tblPassengerNames[[#This Row],[Name]])</f>
        <v>7</v>
      </c>
      <c r="F664">
        <f>FIND(".", tblPassengerNames[[#This Row],[Name]])</f>
        <v>13</v>
      </c>
      <c r="G664" t="e">
        <f>FIND("(", tblPassengerNames[[#This Row],[Name]])</f>
        <v>#VALUE!</v>
      </c>
      <c r="H664" t="e">
        <f>FIND(")", tblPassengerNames[[#This Row],[Name]])</f>
        <v>#VALUE!</v>
      </c>
      <c r="I664">
        <f>IFERROR(tblPassengerNames[[#This Row],[OpenParPos]] - 2, LEN(tblPassengerNames[[#This Row],[Name]]))</f>
        <v>26</v>
      </c>
      <c r="J664" t="str">
        <f>MID(tblPassengerNames[[#This Row],[Name]], tblPassengerNames[[#This Row],[DotPos]] + 2, tblPassengerNames[[#This Row],[EndOfConvFNPos]] - tblPassengerNames[[#This Row],[DotPos]] - 1)</f>
        <v>Emily Louisa</v>
      </c>
      <c r="K664" t="e">
        <f>MID(tblPassengerNames[[#This Row],[Name]], tblPassengerNames[[#This Row],[OpenParPos]] + 1, tblPassengerNames[[#This Row],[CloseParPos]] - tblPassengerNames[[#This Row],[OpenParPos]] - 1)</f>
        <v>#VALUE!</v>
      </c>
      <c r="L664" t="e">
        <f>IF(AND(LEFT(tblPassengerNames[[#This Row],[InParentheses]], 1) = "'", RIGHT(tblPassengerNames[[#This Row],[InParentheses]], 1) = "'"),
    #VALUE!,
    tblPassengerNames[[#This Row],[InParentheses]]
)</f>
        <v>#VALUE!</v>
      </c>
      <c r="M664" t="e">
        <f>LEN(tblPassengerNames[[#This Row],[InParenthesesCleaned]]) - LEN(SUBSTITUTE(tblPassengerNames[[#This Row],[InParenthesesCleaned]], " ", ""))</f>
        <v>#VALUE!</v>
      </c>
      <c r="N664" t="e">
        <f>FIND("@", SUBSTITUTE(tblPassengerNames[[#This Row],[InParenthesesCleaned]], " ", "@", tblPassengerNames[[#This Row],[P_NSpaces]]))</f>
        <v>#VALUE!</v>
      </c>
      <c r="O664" t="e">
        <f>IF(tblPassengerNames[[#This Row],[P_NSpaces]] = 0,
    tblPassengerNames[[#This Row],[InParenthesesCleaned]],
    LEFT(tblPassengerNames[[#This Row],[InParenthesesCleaned]], tblPassengerNames[[#This Row],[P_FinalSpacePos]] - 1)
)</f>
        <v>#VALUE!</v>
      </c>
      <c r="P664" t="str">
        <f>IFERROR(tblPassengerNames[[#This Row],[P_Forenames]], tblPassengerNames[[#This Row],[ConvForenames]])</f>
        <v>Emily Louisa</v>
      </c>
      <c r="Q664" t="str">
        <f>MID(tblPassengerNames[[#This Row],[Name]], tblPassengerNames[[#This Row],[CommaPos]] + 2, tblPassengerNames[[#This Row],[DotPos]] - tblPassengerNames[[#This Row],[CommaPos]] - 1)</f>
        <v>Miss.</v>
      </c>
      <c r="R664" t="str">
        <f>LEFT(tblPassengerNames[[#This Row],[Name]], tblPassengerNames[[#This Row],[CommaPos]] - 1)</f>
        <v>Badman</v>
      </c>
    </row>
    <row r="665" spans="2:18" x14ac:dyDescent="0.25">
      <c r="B665" s="21">
        <v>663</v>
      </c>
      <c r="C665" s="21" t="s">
        <v>799</v>
      </c>
      <c r="D665" s="21" t="s">
        <v>138</v>
      </c>
      <c r="E665">
        <f>FIND(",", tblPassengerNames[[#This Row],[Name]])</f>
        <v>5</v>
      </c>
      <c r="F665">
        <f>FIND(".", tblPassengerNames[[#This Row],[Name]])</f>
        <v>9</v>
      </c>
      <c r="G665" t="e">
        <f>FIND("(", tblPassengerNames[[#This Row],[Name]])</f>
        <v>#VALUE!</v>
      </c>
      <c r="H665" t="e">
        <f>FIND(")", tblPassengerNames[[#This Row],[Name]])</f>
        <v>#VALUE!</v>
      </c>
      <c r="I665">
        <f>IFERROR(tblPassengerNames[[#This Row],[OpenParPos]] - 2, LEN(tblPassengerNames[[#This Row],[Name]]))</f>
        <v>17</v>
      </c>
      <c r="J665" t="str">
        <f>MID(tblPassengerNames[[#This Row],[Name]], tblPassengerNames[[#This Row],[DotPos]] + 2, tblPassengerNames[[#This Row],[EndOfConvFNPos]] - tblPassengerNames[[#This Row],[DotPos]] - 1)</f>
        <v>Mohamed</v>
      </c>
      <c r="K665" t="e">
        <f>MID(tblPassengerNames[[#This Row],[Name]], tblPassengerNames[[#This Row],[OpenParPos]] + 1, tblPassengerNames[[#This Row],[CloseParPos]] - tblPassengerNames[[#This Row],[OpenParPos]] - 1)</f>
        <v>#VALUE!</v>
      </c>
      <c r="L665" t="e">
        <f>IF(AND(LEFT(tblPassengerNames[[#This Row],[InParentheses]], 1) = "'", RIGHT(tblPassengerNames[[#This Row],[InParentheses]], 1) = "'"),
    #VALUE!,
    tblPassengerNames[[#This Row],[InParentheses]]
)</f>
        <v>#VALUE!</v>
      </c>
      <c r="M665" t="e">
        <f>LEN(tblPassengerNames[[#This Row],[InParenthesesCleaned]]) - LEN(SUBSTITUTE(tblPassengerNames[[#This Row],[InParenthesesCleaned]], " ", ""))</f>
        <v>#VALUE!</v>
      </c>
      <c r="N665" t="e">
        <f>FIND("@", SUBSTITUTE(tblPassengerNames[[#This Row],[InParenthesesCleaned]], " ", "@", tblPassengerNames[[#This Row],[P_NSpaces]]))</f>
        <v>#VALUE!</v>
      </c>
      <c r="O665" t="e">
        <f>IF(tblPassengerNames[[#This Row],[P_NSpaces]] = 0,
    tblPassengerNames[[#This Row],[InParenthesesCleaned]],
    LEFT(tblPassengerNames[[#This Row],[InParenthesesCleaned]], tblPassengerNames[[#This Row],[P_FinalSpacePos]] - 1)
)</f>
        <v>#VALUE!</v>
      </c>
      <c r="P665" t="str">
        <f>IFERROR(tblPassengerNames[[#This Row],[P_Forenames]], tblPassengerNames[[#This Row],[ConvForenames]])</f>
        <v>Mohamed</v>
      </c>
      <c r="Q665" t="str">
        <f>MID(tblPassengerNames[[#This Row],[Name]], tblPassengerNames[[#This Row],[CommaPos]] + 2, tblPassengerNames[[#This Row],[DotPos]] - tblPassengerNames[[#This Row],[CommaPos]] - 1)</f>
        <v>Mr.</v>
      </c>
      <c r="R665" t="str">
        <f>LEFT(tblPassengerNames[[#This Row],[Name]], tblPassengerNames[[#This Row],[CommaPos]] - 1)</f>
        <v>Badt</v>
      </c>
    </row>
    <row r="666" spans="2:18" x14ac:dyDescent="0.25">
      <c r="B666" s="21">
        <v>664</v>
      </c>
      <c r="C666" s="21" t="s">
        <v>800</v>
      </c>
      <c r="D666" s="21" t="s">
        <v>138</v>
      </c>
      <c r="E666">
        <f>FIND(",", tblPassengerNames[[#This Row],[Name]])</f>
        <v>7</v>
      </c>
      <c r="F666">
        <f>FIND(".", tblPassengerNames[[#This Row],[Name]])</f>
        <v>11</v>
      </c>
      <c r="G666" t="e">
        <f>FIND("(", tblPassengerNames[[#This Row],[Name]])</f>
        <v>#VALUE!</v>
      </c>
      <c r="H666" t="e">
        <f>FIND(")", tblPassengerNames[[#This Row],[Name]])</f>
        <v>#VALUE!</v>
      </c>
      <c r="I666">
        <f>IFERROR(tblPassengerNames[[#This Row],[OpenParPos]] - 2, LEN(tblPassengerNames[[#This Row],[Name]]))</f>
        <v>17</v>
      </c>
      <c r="J666" t="str">
        <f>MID(tblPassengerNames[[#This Row],[Name]], tblPassengerNames[[#This Row],[DotPos]] + 2, tblPassengerNames[[#This Row],[EndOfConvFNPos]] - tblPassengerNames[[#This Row],[DotPos]] - 1)</f>
        <v>Cerin</v>
      </c>
      <c r="K666" t="e">
        <f>MID(tblPassengerNames[[#This Row],[Name]], tblPassengerNames[[#This Row],[OpenParPos]] + 1, tblPassengerNames[[#This Row],[CloseParPos]] - tblPassengerNames[[#This Row],[OpenParPos]] - 1)</f>
        <v>#VALUE!</v>
      </c>
      <c r="L666" t="e">
        <f>IF(AND(LEFT(tblPassengerNames[[#This Row],[InParentheses]], 1) = "'", RIGHT(tblPassengerNames[[#This Row],[InParentheses]], 1) = "'"),
    #VALUE!,
    tblPassengerNames[[#This Row],[InParentheses]]
)</f>
        <v>#VALUE!</v>
      </c>
      <c r="M666" t="e">
        <f>LEN(tblPassengerNames[[#This Row],[InParenthesesCleaned]]) - LEN(SUBSTITUTE(tblPassengerNames[[#This Row],[InParenthesesCleaned]], " ", ""))</f>
        <v>#VALUE!</v>
      </c>
      <c r="N666" t="e">
        <f>FIND("@", SUBSTITUTE(tblPassengerNames[[#This Row],[InParenthesesCleaned]], " ", "@", tblPassengerNames[[#This Row],[P_NSpaces]]))</f>
        <v>#VALUE!</v>
      </c>
      <c r="O666" t="e">
        <f>IF(tblPassengerNames[[#This Row],[P_NSpaces]] = 0,
    tblPassengerNames[[#This Row],[InParenthesesCleaned]],
    LEFT(tblPassengerNames[[#This Row],[InParenthesesCleaned]], tblPassengerNames[[#This Row],[P_FinalSpacePos]] - 1)
)</f>
        <v>#VALUE!</v>
      </c>
      <c r="P666" t="str">
        <f>IFERROR(tblPassengerNames[[#This Row],[P_Forenames]], tblPassengerNames[[#This Row],[ConvForenames]])</f>
        <v>Cerin</v>
      </c>
      <c r="Q666" t="str">
        <f>MID(tblPassengerNames[[#This Row],[Name]], tblPassengerNames[[#This Row],[CommaPos]] + 2, tblPassengerNames[[#This Row],[DotPos]] - tblPassengerNames[[#This Row],[CommaPos]] - 1)</f>
        <v>Mr.</v>
      </c>
      <c r="R666" t="str">
        <f>LEFT(tblPassengerNames[[#This Row],[Name]], tblPassengerNames[[#This Row],[CommaPos]] - 1)</f>
        <v>Balkic</v>
      </c>
    </row>
    <row r="667" spans="2:18" x14ac:dyDescent="0.25">
      <c r="B667" s="21">
        <v>665</v>
      </c>
      <c r="C667" s="21" t="s">
        <v>801</v>
      </c>
      <c r="D667" s="21" t="s">
        <v>138</v>
      </c>
      <c r="E667">
        <f>FIND(",", tblPassengerNames[[#This Row],[Name]])</f>
        <v>6</v>
      </c>
      <c r="F667">
        <f>FIND(".", tblPassengerNames[[#This Row],[Name]])</f>
        <v>10</v>
      </c>
      <c r="G667" t="e">
        <f>FIND("(", tblPassengerNames[[#This Row],[Name]])</f>
        <v>#VALUE!</v>
      </c>
      <c r="H667" t="e">
        <f>FIND(")", tblPassengerNames[[#This Row],[Name]])</f>
        <v>#VALUE!</v>
      </c>
      <c r="I667">
        <f>IFERROR(tblPassengerNames[[#This Row],[OpenParPos]] - 2, LEN(tblPassengerNames[[#This Row],[Name]]))</f>
        <v>21</v>
      </c>
      <c r="J667" t="str">
        <f>MID(tblPassengerNames[[#This Row],[Name]], tblPassengerNames[[#This Row],[DotPos]] + 2, tblPassengerNames[[#This Row],[EndOfConvFNPos]] - tblPassengerNames[[#This Row],[DotPos]] - 1)</f>
        <v>Hanna Assi</v>
      </c>
      <c r="K667" t="e">
        <f>MID(tblPassengerNames[[#This Row],[Name]], tblPassengerNames[[#This Row],[OpenParPos]] + 1, tblPassengerNames[[#This Row],[CloseParPos]] - tblPassengerNames[[#This Row],[OpenParPos]] - 1)</f>
        <v>#VALUE!</v>
      </c>
      <c r="L667" t="e">
        <f>IF(AND(LEFT(tblPassengerNames[[#This Row],[InParentheses]], 1) = "'", RIGHT(tblPassengerNames[[#This Row],[InParentheses]], 1) = "'"),
    #VALUE!,
    tblPassengerNames[[#This Row],[InParentheses]]
)</f>
        <v>#VALUE!</v>
      </c>
      <c r="M667" t="e">
        <f>LEN(tblPassengerNames[[#This Row],[InParenthesesCleaned]]) - LEN(SUBSTITUTE(tblPassengerNames[[#This Row],[InParenthesesCleaned]], " ", ""))</f>
        <v>#VALUE!</v>
      </c>
      <c r="N667" t="e">
        <f>FIND("@", SUBSTITUTE(tblPassengerNames[[#This Row],[InParenthesesCleaned]], " ", "@", tblPassengerNames[[#This Row],[P_NSpaces]]))</f>
        <v>#VALUE!</v>
      </c>
      <c r="O667" t="e">
        <f>IF(tblPassengerNames[[#This Row],[P_NSpaces]] = 0,
    tblPassengerNames[[#This Row],[InParenthesesCleaned]],
    LEFT(tblPassengerNames[[#This Row],[InParenthesesCleaned]], tblPassengerNames[[#This Row],[P_FinalSpacePos]] - 1)
)</f>
        <v>#VALUE!</v>
      </c>
      <c r="P667" t="str">
        <f>IFERROR(tblPassengerNames[[#This Row],[P_Forenames]], tblPassengerNames[[#This Row],[ConvForenames]])</f>
        <v>Hanna Assi</v>
      </c>
      <c r="Q667" t="str">
        <f>MID(tblPassengerNames[[#This Row],[Name]], tblPassengerNames[[#This Row],[CommaPos]] + 2, tblPassengerNames[[#This Row],[DotPos]] - tblPassengerNames[[#This Row],[CommaPos]] - 1)</f>
        <v>Mr.</v>
      </c>
      <c r="R667" t="str">
        <f>LEFT(tblPassengerNames[[#This Row],[Name]], tblPassengerNames[[#This Row],[CommaPos]] - 1)</f>
        <v>Barah</v>
      </c>
    </row>
    <row r="668" spans="2:18" x14ac:dyDescent="0.25">
      <c r="B668" s="21">
        <v>666</v>
      </c>
      <c r="C668" s="21" t="s">
        <v>802</v>
      </c>
      <c r="D668" s="21" t="s">
        <v>136</v>
      </c>
      <c r="E668">
        <f>FIND(",", tblPassengerNames[[#This Row],[Name]])</f>
        <v>8</v>
      </c>
      <c r="F668">
        <f>FIND(".", tblPassengerNames[[#This Row],[Name]])</f>
        <v>14</v>
      </c>
      <c r="G668" t="e">
        <f>FIND("(", tblPassengerNames[[#This Row],[Name]])</f>
        <v>#VALUE!</v>
      </c>
      <c r="H668" t="e">
        <f>FIND(")", tblPassengerNames[[#This Row],[Name]])</f>
        <v>#VALUE!</v>
      </c>
      <c r="I668">
        <f>IFERROR(tblPassengerNames[[#This Row],[OpenParPos]] - 2, LEN(tblPassengerNames[[#This Row],[Name]]))</f>
        <v>21</v>
      </c>
      <c r="J668" t="str">
        <f>MID(tblPassengerNames[[#This Row],[Name]], tblPassengerNames[[#This Row],[DotPos]] + 2, tblPassengerNames[[#This Row],[EndOfConvFNPos]] - tblPassengerNames[[#This Row],[DotPos]] - 1)</f>
        <v>Saiide</v>
      </c>
      <c r="K668" t="e">
        <f>MID(tblPassengerNames[[#This Row],[Name]], tblPassengerNames[[#This Row],[OpenParPos]] + 1, tblPassengerNames[[#This Row],[CloseParPos]] - tblPassengerNames[[#This Row],[OpenParPos]] - 1)</f>
        <v>#VALUE!</v>
      </c>
      <c r="L668" t="e">
        <f>IF(AND(LEFT(tblPassengerNames[[#This Row],[InParentheses]], 1) = "'", RIGHT(tblPassengerNames[[#This Row],[InParentheses]], 1) = "'"),
    #VALUE!,
    tblPassengerNames[[#This Row],[InParentheses]]
)</f>
        <v>#VALUE!</v>
      </c>
      <c r="M668" t="e">
        <f>LEN(tblPassengerNames[[#This Row],[InParenthesesCleaned]]) - LEN(SUBSTITUTE(tblPassengerNames[[#This Row],[InParenthesesCleaned]], " ", ""))</f>
        <v>#VALUE!</v>
      </c>
      <c r="N668" t="e">
        <f>FIND("@", SUBSTITUTE(tblPassengerNames[[#This Row],[InParenthesesCleaned]], " ", "@", tblPassengerNames[[#This Row],[P_NSpaces]]))</f>
        <v>#VALUE!</v>
      </c>
      <c r="O668" t="e">
        <f>IF(tblPassengerNames[[#This Row],[P_NSpaces]] = 0,
    tblPassengerNames[[#This Row],[InParenthesesCleaned]],
    LEFT(tblPassengerNames[[#This Row],[InParenthesesCleaned]], tblPassengerNames[[#This Row],[P_FinalSpacePos]] - 1)
)</f>
        <v>#VALUE!</v>
      </c>
      <c r="P668" t="str">
        <f>IFERROR(tblPassengerNames[[#This Row],[P_Forenames]], tblPassengerNames[[#This Row],[ConvForenames]])</f>
        <v>Saiide</v>
      </c>
      <c r="Q668" t="str">
        <f>MID(tblPassengerNames[[#This Row],[Name]], tblPassengerNames[[#This Row],[CommaPos]] + 2, tblPassengerNames[[#This Row],[DotPos]] - tblPassengerNames[[#This Row],[CommaPos]] - 1)</f>
        <v>Miss.</v>
      </c>
      <c r="R668" t="str">
        <f>LEFT(tblPassengerNames[[#This Row],[Name]], tblPassengerNames[[#This Row],[CommaPos]] - 1)</f>
        <v>Barbara</v>
      </c>
    </row>
    <row r="669" spans="2:18" x14ac:dyDescent="0.25">
      <c r="B669" s="21">
        <v>667</v>
      </c>
      <c r="C669" s="21" t="s">
        <v>803</v>
      </c>
      <c r="D669" s="21" t="s">
        <v>136</v>
      </c>
      <c r="E669">
        <f>FIND(",", tblPassengerNames[[#This Row],[Name]])</f>
        <v>8</v>
      </c>
      <c r="F669">
        <f>FIND(".", tblPassengerNames[[#This Row],[Name]])</f>
        <v>13</v>
      </c>
      <c r="G669">
        <f>FIND("(", tblPassengerNames[[#This Row],[Name]])</f>
        <v>15</v>
      </c>
      <c r="H669">
        <f>FIND(")", tblPassengerNames[[#This Row],[Name]])</f>
        <v>31</v>
      </c>
      <c r="I669">
        <f>IFERROR(tblPassengerNames[[#This Row],[OpenParPos]] - 2, LEN(tblPassengerNames[[#This Row],[Name]]))</f>
        <v>13</v>
      </c>
      <c r="J669" t="e">
        <f>MID(tblPassengerNames[[#This Row],[Name]], tblPassengerNames[[#This Row],[DotPos]] + 2, tblPassengerNames[[#This Row],[EndOfConvFNPos]] - tblPassengerNames[[#This Row],[DotPos]] - 1)</f>
        <v>#VALUE!</v>
      </c>
      <c r="K669" t="str">
        <f>MID(tblPassengerNames[[#This Row],[Name]], tblPassengerNames[[#This Row],[OpenParPos]] + 1, tblPassengerNames[[#This Row],[CloseParPos]] - tblPassengerNames[[#This Row],[OpenParPos]] - 1)</f>
        <v>Catherine David</v>
      </c>
      <c r="L669" t="str">
        <f>IF(AND(LEFT(tblPassengerNames[[#This Row],[InParentheses]], 1) = "'", RIGHT(tblPassengerNames[[#This Row],[InParentheses]], 1) = "'"),
    #VALUE!,
    tblPassengerNames[[#This Row],[InParentheses]]
)</f>
        <v>Catherine David</v>
      </c>
      <c r="M669">
        <f>LEN(tblPassengerNames[[#This Row],[InParenthesesCleaned]]) - LEN(SUBSTITUTE(tblPassengerNames[[#This Row],[InParenthesesCleaned]], " ", ""))</f>
        <v>1</v>
      </c>
      <c r="N669">
        <f>FIND("@", SUBSTITUTE(tblPassengerNames[[#This Row],[InParenthesesCleaned]], " ", "@", tblPassengerNames[[#This Row],[P_NSpaces]]))</f>
        <v>10</v>
      </c>
      <c r="O669" t="str">
        <f>IF(tblPassengerNames[[#This Row],[P_NSpaces]] = 0,
    tblPassengerNames[[#This Row],[InParenthesesCleaned]],
    LEFT(tblPassengerNames[[#This Row],[InParenthesesCleaned]], tblPassengerNames[[#This Row],[P_FinalSpacePos]] - 1)
)</f>
        <v>Catherine</v>
      </c>
      <c r="P669" t="str">
        <f>IFERROR(tblPassengerNames[[#This Row],[P_Forenames]], tblPassengerNames[[#This Row],[ConvForenames]])</f>
        <v>Catherine</v>
      </c>
      <c r="Q669" t="str">
        <f>MID(tblPassengerNames[[#This Row],[Name]], tblPassengerNames[[#This Row],[CommaPos]] + 2, tblPassengerNames[[#This Row],[DotPos]] - tblPassengerNames[[#This Row],[CommaPos]] - 1)</f>
        <v>Mrs.</v>
      </c>
      <c r="R669" t="str">
        <f>LEFT(tblPassengerNames[[#This Row],[Name]], tblPassengerNames[[#This Row],[CommaPos]] - 1)</f>
        <v>Barbara</v>
      </c>
    </row>
    <row r="670" spans="2:18" x14ac:dyDescent="0.25">
      <c r="B670" s="21">
        <v>668</v>
      </c>
      <c r="C670" s="21" t="s">
        <v>804</v>
      </c>
      <c r="D670" s="21" t="s">
        <v>136</v>
      </c>
      <c r="E670">
        <f>FIND(",", tblPassengerNames[[#This Row],[Name]])</f>
        <v>6</v>
      </c>
      <c r="F670">
        <f>FIND(".", tblPassengerNames[[#This Row],[Name]])</f>
        <v>12</v>
      </c>
      <c r="G670" t="e">
        <f>FIND("(", tblPassengerNames[[#This Row],[Name]])</f>
        <v>#VALUE!</v>
      </c>
      <c r="H670" t="e">
        <f>FIND(")", tblPassengerNames[[#This Row],[Name]])</f>
        <v>#VALUE!</v>
      </c>
      <c r="I670">
        <f>IFERROR(tblPassengerNames[[#This Row],[OpenParPos]] - 2, LEN(tblPassengerNames[[#This Row],[Name]]))</f>
        <v>18</v>
      </c>
      <c r="J670" t="str">
        <f>MID(tblPassengerNames[[#This Row],[Name]], tblPassengerNames[[#This Row],[DotPos]] + 2, tblPassengerNames[[#This Row],[EndOfConvFNPos]] - tblPassengerNames[[#This Row],[DotPos]] - 1)</f>
        <v>Julia</v>
      </c>
      <c r="K670" t="e">
        <f>MID(tblPassengerNames[[#This Row],[Name]], tblPassengerNames[[#This Row],[OpenParPos]] + 1, tblPassengerNames[[#This Row],[CloseParPos]] - tblPassengerNames[[#This Row],[OpenParPos]] - 1)</f>
        <v>#VALUE!</v>
      </c>
      <c r="L670" t="e">
        <f>IF(AND(LEFT(tblPassengerNames[[#This Row],[InParentheses]], 1) = "'", RIGHT(tblPassengerNames[[#This Row],[InParentheses]], 1) = "'"),
    #VALUE!,
    tblPassengerNames[[#This Row],[InParentheses]]
)</f>
        <v>#VALUE!</v>
      </c>
      <c r="M670" t="e">
        <f>LEN(tblPassengerNames[[#This Row],[InParenthesesCleaned]]) - LEN(SUBSTITUTE(tblPassengerNames[[#This Row],[InParenthesesCleaned]], " ", ""))</f>
        <v>#VALUE!</v>
      </c>
      <c r="N670" t="e">
        <f>FIND("@", SUBSTITUTE(tblPassengerNames[[#This Row],[InParenthesesCleaned]], " ", "@", tblPassengerNames[[#This Row],[P_NSpaces]]))</f>
        <v>#VALUE!</v>
      </c>
      <c r="O670" t="e">
        <f>IF(tblPassengerNames[[#This Row],[P_NSpaces]] = 0,
    tblPassengerNames[[#This Row],[InParenthesesCleaned]],
    LEFT(tblPassengerNames[[#This Row],[InParenthesesCleaned]], tblPassengerNames[[#This Row],[P_FinalSpacePos]] - 1)
)</f>
        <v>#VALUE!</v>
      </c>
      <c r="P670" t="str">
        <f>IFERROR(tblPassengerNames[[#This Row],[P_Forenames]], tblPassengerNames[[#This Row],[ConvForenames]])</f>
        <v>Julia</v>
      </c>
      <c r="Q670" t="str">
        <f>MID(tblPassengerNames[[#This Row],[Name]], tblPassengerNames[[#This Row],[CommaPos]] + 2, tblPassengerNames[[#This Row],[DotPos]] - tblPassengerNames[[#This Row],[CommaPos]] - 1)</f>
        <v>Miss.</v>
      </c>
      <c r="R670" t="str">
        <f>LEFT(tblPassengerNames[[#This Row],[Name]], tblPassengerNames[[#This Row],[CommaPos]] - 1)</f>
        <v>Barry</v>
      </c>
    </row>
    <row r="671" spans="2:18" x14ac:dyDescent="0.25">
      <c r="B671" s="21">
        <v>669</v>
      </c>
      <c r="C671" s="21" t="s">
        <v>805</v>
      </c>
      <c r="D671" s="21" t="s">
        <v>138</v>
      </c>
      <c r="E671">
        <f>FIND(",", tblPassengerNames[[#This Row],[Name]])</f>
        <v>7</v>
      </c>
      <c r="F671">
        <f>FIND(".", tblPassengerNames[[#This Row],[Name]])</f>
        <v>11</v>
      </c>
      <c r="G671" t="e">
        <f>FIND("(", tblPassengerNames[[#This Row],[Name]])</f>
        <v>#VALUE!</v>
      </c>
      <c r="H671" t="e">
        <f>FIND(")", tblPassengerNames[[#This Row],[Name]])</f>
        <v>#VALUE!</v>
      </c>
      <c r="I671">
        <f>IFERROR(tblPassengerNames[[#This Row],[OpenParPos]] - 2, LEN(tblPassengerNames[[#This Row],[Name]]))</f>
        <v>22</v>
      </c>
      <c r="J671" t="str">
        <f>MID(tblPassengerNames[[#This Row],[Name]], tblPassengerNames[[#This Row],[DotPos]] + 2, tblPassengerNames[[#This Row],[EndOfConvFNPos]] - tblPassengerNames[[#This Row],[DotPos]] - 1)</f>
        <v>David John</v>
      </c>
      <c r="K671" t="e">
        <f>MID(tblPassengerNames[[#This Row],[Name]], tblPassengerNames[[#This Row],[OpenParPos]] + 1, tblPassengerNames[[#This Row],[CloseParPos]] - tblPassengerNames[[#This Row],[OpenParPos]] - 1)</f>
        <v>#VALUE!</v>
      </c>
      <c r="L671" t="e">
        <f>IF(AND(LEFT(tblPassengerNames[[#This Row],[InParentheses]], 1) = "'", RIGHT(tblPassengerNames[[#This Row],[InParentheses]], 1) = "'"),
    #VALUE!,
    tblPassengerNames[[#This Row],[InParentheses]]
)</f>
        <v>#VALUE!</v>
      </c>
      <c r="M671" t="e">
        <f>LEN(tblPassengerNames[[#This Row],[InParenthesesCleaned]]) - LEN(SUBSTITUTE(tblPassengerNames[[#This Row],[InParenthesesCleaned]], " ", ""))</f>
        <v>#VALUE!</v>
      </c>
      <c r="N671" t="e">
        <f>FIND("@", SUBSTITUTE(tblPassengerNames[[#This Row],[InParenthesesCleaned]], " ", "@", tblPassengerNames[[#This Row],[P_NSpaces]]))</f>
        <v>#VALUE!</v>
      </c>
      <c r="O671" t="e">
        <f>IF(tblPassengerNames[[#This Row],[P_NSpaces]] = 0,
    tblPassengerNames[[#This Row],[InParenthesesCleaned]],
    LEFT(tblPassengerNames[[#This Row],[InParenthesesCleaned]], tblPassengerNames[[#This Row],[P_FinalSpacePos]] - 1)
)</f>
        <v>#VALUE!</v>
      </c>
      <c r="P671" t="str">
        <f>IFERROR(tblPassengerNames[[#This Row],[P_Forenames]], tblPassengerNames[[#This Row],[ConvForenames]])</f>
        <v>David John</v>
      </c>
      <c r="Q671" t="str">
        <f>MID(tblPassengerNames[[#This Row],[Name]], tblPassengerNames[[#This Row],[CommaPos]] + 2, tblPassengerNames[[#This Row],[DotPos]] - tblPassengerNames[[#This Row],[CommaPos]] - 1)</f>
        <v>Mr.</v>
      </c>
      <c r="R671" t="str">
        <f>LEFT(tblPassengerNames[[#This Row],[Name]], tblPassengerNames[[#This Row],[CommaPos]] - 1)</f>
        <v>Barton</v>
      </c>
    </row>
    <row r="672" spans="2:18" x14ac:dyDescent="0.25">
      <c r="B672" s="21">
        <v>670</v>
      </c>
      <c r="C672" s="21" t="s">
        <v>806</v>
      </c>
      <c r="D672" s="21" t="s">
        <v>138</v>
      </c>
      <c r="E672">
        <f>FIND(",", tblPassengerNames[[#This Row],[Name]])</f>
        <v>7</v>
      </c>
      <c r="F672">
        <f>FIND(".", tblPassengerNames[[#This Row],[Name]])</f>
        <v>11</v>
      </c>
      <c r="G672" t="e">
        <f>FIND("(", tblPassengerNames[[#This Row],[Name]])</f>
        <v>#VALUE!</v>
      </c>
      <c r="H672" t="e">
        <f>FIND(")", tblPassengerNames[[#This Row],[Name]])</f>
        <v>#VALUE!</v>
      </c>
      <c r="I672">
        <f>IFERROR(tblPassengerNames[[#This Row],[OpenParPos]] - 2, LEN(tblPassengerNames[[#This Row],[Name]]))</f>
        <v>26</v>
      </c>
      <c r="J672" t="str">
        <f>MID(tblPassengerNames[[#This Row],[Name]], tblPassengerNames[[#This Row],[DotPos]] + 2, tblPassengerNames[[#This Row],[EndOfConvFNPos]] - tblPassengerNames[[#This Row],[DotPos]] - 1)</f>
        <v>William Thomas</v>
      </c>
      <c r="K672" t="e">
        <f>MID(tblPassengerNames[[#This Row],[Name]], tblPassengerNames[[#This Row],[OpenParPos]] + 1, tblPassengerNames[[#This Row],[CloseParPos]] - tblPassengerNames[[#This Row],[OpenParPos]] - 1)</f>
        <v>#VALUE!</v>
      </c>
      <c r="L672" t="e">
        <f>IF(AND(LEFT(tblPassengerNames[[#This Row],[InParentheses]], 1) = "'", RIGHT(tblPassengerNames[[#This Row],[InParentheses]], 1) = "'"),
    #VALUE!,
    tblPassengerNames[[#This Row],[InParentheses]]
)</f>
        <v>#VALUE!</v>
      </c>
      <c r="M672" t="e">
        <f>LEN(tblPassengerNames[[#This Row],[InParenthesesCleaned]]) - LEN(SUBSTITUTE(tblPassengerNames[[#This Row],[InParenthesesCleaned]], " ", ""))</f>
        <v>#VALUE!</v>
      </c>
      <c r="N672" t="e">
        <f>FIND("@", SUBSTITUTE(tblPassengerNames[[#This Row],[InParenthesesCleaned]], " ", "@", tblPassengerNames[[#This Row],[P_NSpaces]]))</f>
        <v>#VALUE!</v>
      </c>
      <c r="O672" t="e">
        <f>IF(tblPassengerNames[[#This Row],[P_NSpaces]] = 0,
    tblPassengerNames[[#This Row],[InParenthesesCleaned]],
    LEFT(tblPassengerNames[[#This Row],[InParenthesesCleaned]], tblPassengerNames[[#This Row],[P_FinalSpacePos]] - 1)
)</f>
        <v>#VALUE!</v>
      </c>
      <c r="P672" t="str">
        <f>IFERROR(tblPassengerNames[[#This Row],[P_Forenames]], tblPassengerNames[[#This Row],[ConvForenames]])</f>
        <v>William Thomas</v>
      </c>
      <c r="Q672" t="str">
        <f>MID(tblPassengerNames[[#This Row],[Name]], tblPassengerNames[[#This Row],[CommaPos]] + 2, tblPassengerNames[[#This Row],[DotPos]] - tblPassengerNames[[#This Row],[CommaPos]] - 1)</f>
        <v>Mr.</v>
      </c>
      <c r="R672" t="str">
        <f>LEFT(tblPassengerNames[[#This Row],[Name]], tblPassengerNames[[#This Row],[CommaPos]] - 1)</f>
        <v>Beavan</v>
      </c>
    </row>
    <row r="673" spans="2:18" x14ac:dyDescent="0.25">
      <c r="B673" s="21">
        <v>671</v>
      </c>
      <c r="C673" s="21" t="s">
        <v>807</v>
      </c>
      <c r="D673" s="21" t="s">
        <v>138</v>
      </c>
      <c r="E673">
        <f>FIND(",", tblPassengerNames[[#This Row],[Name]])</f>
        <v>10</v>
      </c>
      <c r="F673">
        <f>FIND(".", tblPassengerNames[[#This Row],[Name]])</f>
        <v>14</v>
      </c>
      <c r="G673" t="e">
        <f>FIND("(", tblPassengerNames[[#This Row],[Name]])</f>
        <v>#VALUE!</v>
      </c>
      <c r="H673" t="e">
        <f>FIND(")", tblPassengerNames[[#This Row],[Name]])</f>
        <v>#VALUE!</v>
      </c>
      <c r="I673">
        <f>IFERROR(tblPassengerNames[[#This Row],[OpenParPos]] - 2, LEN(tblPassengerNames[[#This Row],[Name]]))</f>
        <v>26</v>
      </c>
      <c r="J673" t="str">
        <f>MID(tblPassengerNames[[#This Row],[Name]], tblPassengerNames[[#This Row],[DotPos]] + 2, tblPassengerNames[[#This Row],[EndOfConvFNPos]] - tblPassengerNames[[#This Row],[DotPos]] - 1)</f>
        <v>John Viktor</v>
      </c>
      <c r="K673" t="e">
        <f>MID(tblPassengerNames[[#This Row],[Name]], tblPassengerNames[[#This Row],[OpenParPos]] + 1, tblPassengerNames[[#This Row],[CloseParPos]] - tblPassengerNames[[#This Row],[OpenParPos]] - 1)</f>
        <v>#VALUE!</v>
      </c>
      <c r="L673" t="e">
        <f>IF(AND(LEFT(tblPassengerNames[[#This Row],[InParentheses]], 1) = "'", RIGHT(tblPassengerNames[[#This Row],[InParentheses]], 1) = "'"),
    #VALUE!,
    tblPassengerNames[[#This Row],[InParentheses]]
)</f>
        <v>#VALUE!</v>
      </c>
      <c r="M673" t="e">
        <f>LEN(tblPassengerNames[[#This Row],[InParenthesesCleaned]]) - LEN(SUBSTITUTE(tblPassengerNames[[#This Row],[InParenthesesCleaned]], " ", ""))</f>
        <v>#VALUE!</v>
      </c>
      <c r="N673" t="e">
        <f>FIND("@", SUBSTITUTE(tblPassengerNames[[#This Row],[InParenthesesCleaned]], " ", "@", tblPassengerNames[[#This Row],[P_NSpaces]]))</f>
        <v>#VALUE!</v>
      </c>
      <c r="O673" t="e">
        <f>IF(tblPassengerNames[[#This Row],[P_NSpaces]] = 0,
    tblPassengerNames[[#This Row],[InParenthesesCleaned]],
    LEFT(tblPassengerNames[[#This Row],[InParenthesesCleaned]], tblPassengerNames[[#This Row],[P_FinalSpacePos]] - 1)
)</f>
        <v>#VALUE!</v>
      </c>
      <c r="P673" t="str">
        <f>IFERROR(tblPassengerNames[[#This Row],[P_Forenames]], tblPassengerNames[[#This Row],[ConvForenames]])</f>
        <v>John Viktor</v>
      </c>
      <c r="Q673" t="str">
        <f>MID(tblPassengerNames[[#This Row],[Name]], tblPassengerNames[[#This Row],[CommaPos]] + 2, tblPassengerNames[[#This Row],[DotPos]] - tblPassengerNames[[#This Row],[CommaPos]] - 1)</f>
        <v>Mr.</v>
      </c>
      <c r="R673" t="str">
        <f>LEFT(tblPassengerNames[[#This Row],[Name]], tblPassengerNames[[#This Row],[CommaPos]] - 1)</f>
        <v>Bengtsson</v>
      </c>
    </row>
    <row r="674" spans="2:18" x14ac:dyDescent="0.25">
      <c r="B674" s="21">
        <v>672</v>
      </c>
      <c r="C674" s="21" t="s">
        <v>808</v>
      </c>
      <c r="D674" s="21" t="s">
        <v>138</v>
      </c>
      <c r="E674">
        <f>FIND(",", tblPassengerNames[[#This Row],[Name]])</f>
        <v>9</v>
      </c>
      <c r="F674">
        <f>FIND(".", tblPassengerNames[[#This Row],[Name]])</f>
        <v>13</v>
      </c>
      <c r="G674" t="e">
        <f>FIND("(", tblPassengerNames[[#This Row],[Name]])</f>
        <v>#VALUE!</v>
      </c>
      <c r="H674" t="e">
        <f>FIND(")", tblPassengerNames[[#This Row],[Name]])</f>
        <v>#VALUE!</v>
      </c>
      <c r="I674">
        <f>IFERROR(tblPassengerNames[[#This Row],[OpenParPos]] - 2, LEN(tblPassengerNames[[#This Row],[Name]]))</f>
        <v>28</v>
      </c>
      <c r="J674" t="str">
        <f>MID(tblPassengerNames[[#This Row],[Name]], tblPassengerNames[[#This Row],[DotPos]] + 2, tblPassengerNames[[#This Row],[EndOfConvFNPos]] - tblPassengerNames[[#This Row],[DotPos]] - 1)</f>
        <v>Karl Ivar Sven</v>
      </c>
      <c r="K674" t="e">
        <f>MID(tblPassengerNames[[#This Row],[Name]], tblPassengerNames[[#This Row],[OpenParPos]] + 1, tblPassengerNames[[#This Row],[CloseParPos]] - tblPassengerNames[[#This Row],[OpenParPos]] - 1)</f>
        <v>#VALUE!</v>
      </c>
      <c r="L674" t="e">
        <f>IF(AND(LEFT(tblPassengerNames[[#This Row],[InParentheses]], 1) = "'", RIGHT(tblPassengerNames[[#This Row],[InParentheses]], 1) = "'"),
    #VALUE!,
    tblPassengerNames[[#This Row],[InParentheses]]
)</f>
        <v>#VALUE!</v>
      </c>
      <c r="M674" t="e">
        <f>LEN(tblPassengerNames[[#This Row],[InParenthesesCleaned]]) - LEN(SUBSTITUTE(tblPassengerNames[[#This Row],[InParenthesesCleaned]], " ", ""))</f>
        <v>#VALUE!</v>
      </c>
      <c r="N674" t="e">
        <f>FIND("@", SUBSTITUTE(tblPassengerNames[[#This Row],[InParenthesesCleaned]], " ", "@", tblPassengerNames[[#This Row],[P_NSpaces]]))</f>
        <v>#VALUE!</v>
      </c>
      <c r="O674" t="e">
        <f>IF(tblPassengerNames[[#This Row],[P_NSpaces]] = 0,
    tblPassengerNames[[#This Row],[InParenthesesCleaned]],
    LEFT(tblPassengerNames[[#This Row],[InParenthesesCleaned]], tblPassengerNames[[#This Row],[P_FinalSpacePos]] - 1)
)</f>
        <v>#VALUE!</v>
      </c>
      <c r="P674" t="str">
        <f>IFERROR(tblPassengerNames[[#This Row],[P_Forenames]], tblPassengerNames[[#This Row],[ConvForenames]])</f>
        <v>Karl Ivar Sven</v>
      </c>
      <c r="Q674" t="str">
        <f>MID(tblPassengerNames[[#This Row],[Name]], tblPassengerNames[[#This Row],[CommaPos]] + 2, tblPassengerNames[[#This Row],[DotPos]] - tblPassengerNames[[#This Row],[CommaPos]] - 1)</f>
        <v>Mr.</v>
      </c>
      <c r="R674" t="str">
        <f>LEFT(tblPassengerNames[[#This Row],[Name]], tblPassengerNames[[#This Row],[CommaPos]] - 1)</f>
        <v>Berglund</v>
      </c>
    </row>
    <row r="675" spans="2:18" x14ac:dyDescent="0.25">
      <c r="B675" s="21">
        <v>673</v>
      </c>
      <c r="C675" s="21" t="s">
        <v>809</v>
      </c>
      <c r="D675" s="21" t="s">
        <v>138</v>
      </c>
      <c r="E675">
        <f>FIND(",", tblPassengerNames[[#This Row],[Name]])</f>
        <v>7</v>
      </c>
      <c r="F675">
        <f>FIND(".", tblPassengerNames[[#This Row],[Name]])</f>
        <v>15</v>
      </c>
      <c r="G675" t="e">
        <f>FIND("(", tblPassengerNames[[#This Row],[Name]])</f>
        <v>#VALUE!</v>
      </c>
      <c r="H675" t="e">
        <f>FIND(")", tblPassengerNames[[#This Row],[Name]])</f>
        <v>#VALUE!</v>
      </c>
      <c r="I675">
        <f>IFERROR(tblPassengerNames[[#This Row],[OpenParPos]] - 2, LEN(tblPassengerNames[[#This Row],[Name]]))</f>
        <v>21</v>
      </c>
      <c r="J675" t="str">
        <f>MID(tblPassengerNames[[#This Row],[Name]], tblPassengerNames[[#This Row],[DotPos]] + 2, tblPassengerNames[[#This Row],[EndOfConvFNPos]] - tblPassengerNames[[#This Row],[DotPos]] - 1)</f>
        <v>Seman</v>
      </c>
      <c r="K675" t="e">
        <f>MID(tblPassengerNames[[#This Row],[Name]], tblPassengerNames[[#This Row],[OpenParPos]] + 1, tblPassengerNames[[#This Row],[CloseParPos]] - tblPassengerNames[[#This Row],[OpenParPos]] - 1)</f>
        <v>#VALUE!</v>
      </c>
      <c r="L675" t="e">
        <f>IF(AND(LEFT(tblPassengerNames[[#This Row],[InParentheses]], 1) = "'", RIGHT(tblPassengerNames[[#This Row],[InParentheses]], 1) = "'"),
    #VALUE!,
    tblPassengerNames[[#This Row],[InParentheses]]
)</f>
        <v>#VALUE!</v>
      </c>
      <c r="M675" t="e">
        <f>LEN(tblPassengerNames[[#This Row],[InParenthesesCleaned]]) - LEN(SUBSTITUTE(tblPassengerNames[[#This Row],[InParenthesesCleaned]], " ", ""))</f>
        <v>#VALUE!</v>
      </c>
      <c r="N675" t="e">
        <f>FIND("@", SUBSTITUTE(tblPassengerNames[[#This Row],[InParenthesesCleaned]], " ", "@", tblPassengerNames[[#This Row],[P_NSpaces]]))</f>
        <v>#VALUE!</v>
      </c>
      <c r="O675" t="e">
        <f>IF(tblPassengerNames[[#This Row],[P_NSpaces]] = 0,
    tblPassengerNames[[#This Row],[InParenthesesCleaned]],
    LEFT(tblPassengerNames[[#This Row],[InParenthesesCleaned]], tblPassengerNames[[#This Row],[P_FinalSpacePos]] - 1)
)</f>
        <v>#VALUE!</v>
      </c>
      <c r="P675" t="str">
        <f>IFERROR(tblPassengerNames[[#This Row],[P_Forenames]], tblPassengerNames[[#This Row],[ConvForenames]])</f>
        <v>Seman</v>
      </c>
      <c r="Q675" t="str">
        <f>MID(tblPassengerNames[[#This Row],[Name]], tblPassengerNames[[#This Row],[CommaPos]] + 2, tblPassengerNames[[#This Row],[DotPos]] - tblPassengerNames[[#This Row],[CommaPos]] - 1)</f>
        <v>Master.</v>
      </c>
      <c r="R675" t="str">
        <f>LEFT(tblPassengerNames[[#This Row],[Name]], tblPassengerNames[[#This Row],[CommaPos]] - 1)</f>
        <v>Betros</v>
      </c>
    </row>
    <row r="676" spans="2:18" x14ac:dyDescent="0.25">
      <c r="B676" s="21">
        <v>674</v>
      </c>
      <c r="C676" s="21" t="s">
        <v>810</v>
      </c>
      <c r="D676" s="21" t="s">
        <v>138</v>
      </c>
      <c r="E676">
        <f>FIND(",", tblPassengerNames[[#This Row],[Name]])</f>
        <v>7</v>
      </c>
      <c r="F676">
        <f>FIND(".", tblPassengerNames[[#This Row],[Name]])</f>
        <v>11</v>
      </c>
      <c r="G676" t="e">
        <f>FIND("(", tblPassengerNames[[#This Row],[Name]])</f>
        <v>#VALUE!</v>
      </c>
      <c r="H676" t="e">
        <f>FIND(")", tblPassengerNames[[#This Row],[Name]])</f>
        <v>#VALUE!</v>
      </c>
      <c r="I676">
        <f>IFERROR(tblPassengerNames[[#This Row],[OpenParPos]] - 2, LEN(tblPassengerNames[[#This Row],[Name]]))</f>
        <v>19</v>
      </c>
      <c r="J676" t="str">
        <f>MID(tblPassengerNames[[#This Row],[Name]], tblPassengerNames[[#This Row],[DotPos]] + 2, tblPassengerNames[[#This Row],[EndOfConvFNPos]] - tblPassengerNames[[#This Row],[DotPos]] - 1)</f>
        <v>Tannous</v>
      </c>
      <c r="K676" t="e">
        <f>MID(tblPassengerNames[[#This Row],[Name]], tblPassengerNames[[#This Row],[OpenParPos]] + 1, tblPassengerNames[[#This Row],[CloseParPos]] - tblPassengerNames[[#This Row],[OpenParPos]] - 1)</f>
        <v>#VALUE!</v>
      </c>
      <c r="L676" t="e">
        <f>IF(AND(LEFT(tblPassengerNames[[#This Row],[InParentheses]], 1) = "'", RIGHT(tblPassengerNames[[#This Row],[InParentheses]], 1) = "'"),
    #VALUE!,
    tblPassengerNames[[#This Row],[InParentheses]]
)</f>
        <v>#VALUE!</v>
      </c>
      <c r="M676" t="e">
        <f>LEN(tblPassengerNames[[#This Row],[InParenthesesCleaned]]) - LEN(SUBSTITUTE(tblPassengerNames[[#This Row],[InParenthesesCleaned]], " ", ""))</f>
        <v>#VALUE!</v>
      </c>
      <c r="N676" t="e">
        <f>FIND("@", SUBSTITUTE(tblPassengerNames[[#This Row],[InParenthesesCleaned]], " ", "@", tblPassengerNames[[#This Row],[P_NSpaces]]))</f>
        <v>#VALUE!</v>
      </c>
      <c r="O676" t="e">
        <f>IF(tblPassengerNames[[#This Row],[P_NSpaces]] = 0,
    tblPassengerNames[[#This Row],[InParenthesesCleaned]],
    LEFT(tblPassengerNames[[#This Row],[InParenthesesCleaned]], tblPassengerNames[[#This Row],[P_FinalSpacePos]] - 1)
)</f>
        <v>#VALUE!</v>
      </c>
      <c r="P676" t="str">
        <f>IFERROR(tblPassengerNames[[#This Row],[P_Forenames]], tblPassengerNames[[#This Row],[ConvForenames]])</f>
        <v>Tannous</v>
      </c>
      <c r="Q676" t="str">
        <f>MID(tblPassengerNames[[#This Row],[Name]], tblPassengerNames[[#This Row],[CommaPos]] + 2, tblPassengerNames[[#This Row],[DotPos]] - tblPassengerNames[[#This Row],[CommaPos]] - 1)</f>
        <v>Mr.</v>
      </c>
      <c r="R676" t="str">
        <f>LEFT(tblPassengerNames[[#This Row],[Name]], tblPassengerNames[[#This Row],[CommaPos]] - 1)</f>
        <v>Betros</v>
      </c>
    </row>
    <row r="677" spans="2:18" x14ac:dyDescent="0.25">
      <c r="B677" s="21">
        <v>675</v>
      </c>
      <c r="C677" s="21" t="s">
        <v>811</v>
      </c>
      <c r="D677" s="21" t="s">
        <v>138</v>
      </c>
      <c r="E677">
        <f>FIND(",", tblPassengerNames[[#This Row],[Name]])</f>
        <v>5</v>
      </c>
      <c r="F677">
        <f>FIND(".", tblPassengerNames[[#This Row],[Name]])</f>
        <v>9</v>
      </c>
      <c r="G677" t="e">
        <f>FIND("(", tblPassengerNames[[#This Row],[Name]])</f>
        <v>#VALUE!</v>
      </c>
      <c r="H677" t="e">
        <f>FIND(")", tblPassengerNames[[#This Row],[Name]])</f>
        <v>#VALUE!</v>
      </c>
      <c r="I677">
        <f>IFERROR(tblPassengerNames[[#This Row],[OpenParPos]] - 2, LEN(tblPassengerNames[[#This Row],[Name]]))</f>
        <v>13</v>
      </c>
      <c r="J677" t="str">
        <f>MID(tblPassengerNames[[#This Row],[Name]], tblPassengerNames[[#This Row],[DotPos]] + 2, tblPassengerNames[[#This Row],[EndOfConvFNPos]] - tblPassengerNames[[#This Row],[DotPos]] - 1)</f>
        <v>Lee</v>
      </c>
      <c r="K677" t="e">
        <f>MID(tblPassengerNames[[#This Row],[Name]], tblPassengerNames[[#This Row],[OpenParPos]] + 1, tblPassengerNames[[#This Row],[CloseParPos]] - tblPassengerNames[[#This Row],[OpenParPos]] - 1)</f>
        <v>#VALUE!</v>
      </c>
      <c r="L677" t="e">
        <f>IF(AND(LEFT(tblPassengerNames[[#This Row],[InParentheses]], 1) = "'", RIGHT(tblPassengerNames[[#This Row],[InParentheses]], 1) = "'"),
    #VALUE!,
    tblPassengerNames[[#This Row],[InParentheses]]
)</f>
        <v>#VALUE!</v>
      </c>
      <c r="M677" t="e">
        <f>LEN(tblPassengerNames[[#This Row],[InParenthesesCleaned]]) - LEN(SUBSTITUTE(tblPassengerNames[[#This Row],[InParenthesesCleaned]], " ", ""))</f>
        <v>#VALUE!</v>
      </c>
      <c r="N677" t="e">
        <f>FIND("@", SUBSTITUTE(tblPassengerNames[[#This Row],[InParenthesesCleaned]], " ", "@", tblPassengerNames[[#This Row],[P_NSpaces]]))</f>
        <v>#VALUE!</v>
      </c>
      <c r="O677" t="e">
        <f>IF(tblPassengerNames[[#This Row],[P_NSpaces]] = 0,
    tblPassengerNames[[#This Row],[InParenthesesCleaned]],
    LEFT(tblPassengerNames[[#This Row],[InParenthesesCleaned]], tblPassengerNames[[#This Row],[P_FinalSpacePos]] - 1)
)</f>
        <v>#VALUE!</v>
      </c>
      <c r="P677" t="str">
        <f>IFERROR(tblPassengerNames[[#This Row],[P_Forenames]], tblPassengerNames[[#This Row],[ConvForenames]])</f>
        <v>Lee</v>
      </c>
      <c r="Q677" t="str">
        <f>MID(tblPassengerNames[[#This Row],[Name]], tblPassengerNames[[#This Row],[CommaPos]] + 2, tblPassengerNames[[#This Row],[DotPos]] - tblPassengerNames[[#This Row],[CommaPos]] - 1)</f>
        <v>Mr.</v>
      </c>
      <c r="R677" t="str">
        <f>LEFT(tblPassengerNames[[#This Row],[Name]], tblPassengerNames[[#This Row],[CommaPos]] - 1)</f>
        <v>Bing</v>
      </c>
    </row>
    <row r="678" spans="2:18" x14ac:dyDescent="0.25">
      <c r="B678" s="21">
        <v>676</v>
      </c>
      <c r="C678" s="21" t="s">
        <v>812</v>
      </c>
      <c r="D678" s="21" t="s">
        <v>138</v>
      </c>
      <c r="E678">
        <f>FIND(",", tblPassengerNames[[#This Row],[Name]])</f>
        <v>10</v>
      </c>
      <c r="F678">
        <f>FIND(".", tblPassengerNames[[#This Row],[Name]])</f>
        <v>14</v>
      </c>
      <c r="G678" t="e">
        <f>FIND("(", tblPassengerNames[[#This Row],[Name]])</f>
        <v>#VALUE!</v>
      </c>
      <c r="H678" t="e">
        <f>FIND(")", tblPassengerNames[[#This Row],[Name]])</f>
        <v>#VALUE!</v>
      </c>
      <c r="I678">
        <f>IFERROR(tblPassengerNames[[#This Row],[OpenParPos]] - 2, LEN(tblPassengerNames[[#This Row],[Name]]))</f>
        <v>33</v>
      </c>
      <c r="J678" t="str">
        <f>MID(tblPassengerNames[[#This Row],[Name]], tblPassengerNames[[#This Row],[DotPos]] + 2, tblPassengerNames[[#This Row],[EndOfConvFNPos]] - tblPassengerNames[[#This Row],[DotPos]] - 1)</f>
        <v>Hans Martin Monsen</v>
      </c>
      <c r="K678" t="e">
        <f>MID(tblPassengerNames[[#This Row],[Name]], tblPassengerNames[[#This Row],[OpenParPos]] + 1, tblPassengerNames[[#This Row],[CloseParPos]] - tblPassengerNames[[#This Row],[OpenParPos]] - 1)</f>
        <v>#VALUE!</v>
      </c>
      <c r="L678" t="e">
        <f>IF(AND(LEFT(tblPassengerNames[[#This Row],[InParentheses]], 1) = "'", RIGHT(tblPassengerNames[[#This Row],[InParentheses]], 1) = "'"),
    #VALUE!,
    tblPassengerNames[[#This Row],[InParentheses]]
)</f>
        <v>#VALUE!</v>
      </c>
      <c r="M678" t="e">
        <f>LEN(tblPassengerNames[[#This Row],[InParenthesesCleaned]]) - LEN(SUBSTITUTE(tblPassengerNames[[#This Row],[InParenthesesCleaned]], " ", ""))</f>
        <v>#VALUE!</v>
      </c>
      <c r="N678" t="e">
        <f>FIND("@", SUBSTITUTE(tblPassengerNames[[#This Row],[InParenthesesCleaned]], " ", "@", tblPassengerNames[[#This Row],[P_NSpaces]]))</f>
        <v>#VALUE!</v>
      </c>
      <c r="O678" t="e">
        <f>IF(tblPassengerNames[[#This Row],[P_NSpaces]] = 0,
    tblPassengerNames[[#This Row],[InParenthesesCleaned]],
    LEFT(tblPassengerNames[[#This Row],[InParenthesesCleaned]], tblPassengerNames[[#This Row],[P_FinalSpacePos]] - 1)
)</f>
        <v>#VALUE!</v>
      </c>
      <c r="P678" t="str">
        <f>IFERROR(tblPassengerNames[[#This Row],[P_Forenames]], tblPassengerNames[[#This Row],[ConvForenames]])</f>
        <v>Hans Martin Monsen</v>
      </c>
      <c r="Q678" t="str">
        <f>MID(tblPassengerNames[[#This Row],[Name]], tblPassengerNames[[#This Row],[CommaPos]] + 2, tblPassengerNames[[#This Row],[DotPos]] - tblPassengerNames[[#This Row],[CommaPos]] - 1)</f>
        <v>Mr.</v>
      </c>
      <c r="R678" t="str">
        <f>LEFT(tblPassengerNames[[#This Row],[Name]], tblPassengerNames[[#This Row],[CommaPos]] - 1)</f>
        <v>Birkeland</v>
      </c>
    </row>
    <row r="679" spans="2:18" x14ac:dyDescent="0.25">
      <c r="B679" s="21">
        <v>677</v>
      </c>
      <c r="C679" s="21" t="s">
        <v>813</v>
      </c>
      <c r="D679" s="21" t="s">
        <v>138</v>
      </c>
      <c r="E679">
        <f>FIND(",", tblPassengerNames[[#This Row],[Name]])</f>
        <v>10</v>
      </c>
      <c r="F679">
        <f>FIND(".", tblPassengerNames[[#This Row],[Name]])</f>
        <v>14</v>
      </c>
      <c r="G679" t="e">
        <f>FIND("(", tblPassengerNames[[#This Row],[Name]])</f>
        <v>#VALUE!</v>
      </c>
      <c r="H679" t="e">
        <f>FIND(")", tblPassengerNames[[#This Row],[Name]])</f>
        <v>#VALUE!</v>
      </c>
      <c r="I679">
        <f>IFERROR(tblPassengerNames[[#This Row],[OpenParPos]] - 2, LEN(tblPassengerNames[[#This Row],[Name]]))</f>
        <v>28</v>
      </c>
      <c r="J679" t="str">
        <f>MID(tblPassengerNames[[#This Row],[Name]], tblPassengerNames[[#This Row],[DotPos]] + 2, tblPassengerNames[[#This Row],[EndOfConvFNPos]] - tblPassengerNames[[#This Row],[DotPos]] - 1)</f>
        <v>Ernst Herbert</v>
      </c>
      <c r="K679" t="e">
        <f>MID(tblPassengerNames[[#This Row],[Name]], tblPassengerNames[[#This Row],[OpenParPos]] + 1, tblPassengerNames[[#This Row],[CloseParPos]] - tblPassengerNames[[#This Row],[OpenParPos]] - 1)</f>
        <v>#VALUE!</v>
      </c>
      <c r="L679" t="e">
        <f>IF(AND(LEFT(tblPassengerNames[[#This Row],[InParentheses]], 1) = "'", RIGHT(tblPassengerNames[[#This Row],[InParentheses]], 1) = "'"),
    #VALUE!,
    tblPassengerNames[[#This Row],[InParentheses]]
)</f>
        <v>#VALUE!</v>
      </c>
      <c r="M679" t="e">
        <f>LEN(tblPassengerNames[[#This Row],[InParenthesesCleaned]]) - LEN(SUBSTITUTE(tblPassengerNames[[#This Row],[InParenthesesCleaned]], " ", ""))</f>
        <v>#VALUE!</v>
      </c>
      <c r="N679" t="e">
        <f>FIND("@", SUBSTITUTE(tblPassengerNames[[#This Row],[InParenthesesCleaned]], " ", "@", tblPassengerNames[[#This Row],[P_NSpaces]]))</f>
        <v>#VALUE!</v>
      </c>
      <c r="O679" t="e">
        <f>IF(tblPassengerNames[[#This Row],[P_NSpaces]] = 0,
    tblPassengerNames[[#This Row],[InParenthesesCleaned]],
    LEFT(tblPassengerNames[[#This Row],[InParenthesesCleaned]], tblPassengerNames[[#This Row],[P_FinalSpacePos]] - 1)
)</f>
        <v>#VALUE!</v>
      </c>
      <c r="P679" t="str">
        <f>IFERROR(tblPassengerNames[[#This Row],[P_Forenames]], tblPassengerNames[[#This Row],[ConvForenames]])</f>
        <v>Ernst Herbert</v>
      </c>
      <c r="Q679" t="str">
        <f>MID(tblPassengerNames[[#This Row],[Name]], tblPassengerNames[[#This Row],[CommaPos]] + 2, tblPassengerNames[[#This Row],[DotPos]] - tblPassengerNames[[#This Row],[CommaPos]] - 1)</f>
        <v>Mr.</v>
      </c>
      <c r="R679" t="str">
        <f>LEFT(tblPassengerNames[[#This Row],[Name]], tblPassengerNames[[#This Row],[CommaPos]] - 1)</f>
        <v>Bjorklund</v>
      </c>
    </row>
    <row r="680" spans="2:18" x14ac:dyDescent="0.25">
      <c r="B680" s="21">
        <v>678</v>
      </c>
      <c r="C680" s="21" t="s">
        <v>814</v>
      </c>
      <c r="D680" s="21" t="s">
        <v>138</v>
      </c>
      <c r="E680">
        <f>FIND(",", tblPassengerNames[[#This Row],[Name]])</f>
        <v>12</v>
      </c>
      <c r="F680">
        <f>FIND(".", tblPassengerNames[[#This Row],[Name]])</f>
        <v>16</v>
      </c>
      <c r="G680" t="e">
        <f>FIND("(", tblPassengerNames[[#This Row],[Name]])</f>
        <v>#VALUE!</v>
      </c>
      <c r="H680" t="e">
        <f>FIND(")", tblPassengerNames[[#This Row],[Name]])</f>
        <v>#VALUE!</v>
      </c>
      <c r="I680">
        <f>IFERROR(tblPassengerNames[[#This Row],[OpenParPos]] - 2, LEN(tblPassengerNames[[#This Row],[Name]]))</f>
        <v>25</v>
      </c>
      <c r="J680" t="str">
        <f>MID(tblPassengerNames[[#This Row],[Name]], tblPassengerNames[[#This Row],[DotPos]] + 2, tblPassengerNames[[#This Row],[EndOfConvFNPos]] - tblPassengerNames[[#This Row],[DotPos]] - 1)</f>
        <v>Guentcho</v>
      </c>
      <c r="K680" t="e">
        <f>MID(tblPassengerNames[[#This Row],[Name]], tblPassengerNames[[#This Row],[OpenParPos]] + 1, tblPassengerNames[[#This Row],[CloseParPos]] - tblPassengerNames[[#This Row],[OpenParPos]] - 1)</f>
        <v>#VALUE!</v>
      </c>
      <c r="L680" t="e">
        <f>IF(AND(LEFT(tblPassengerNames[[#This Row],[InParentheses]], 1) = "'", RIGHT(tblPassengerNames[[#This Row],[InParentheses]], 1) = "'"),
    #VALUE!,
    tblPassengerNames[[#This Row],[InParentheses]]
)</f>
        <v>#VALUE!</v>
      </c>
      <c r="M680" t="e">
        <f>LEN(tblPassengerNames[[#This Row],[InParenthesesCleaned]]) - LEN(SUBSTITUTE(tblPassengerNames[[#This Row],[InParenthesesCleaned]], " ", ""))</f>
        <v>#VALUE!</v>
      </c>
      <c r="N680" t="e">
        <f>FIND("@", SUBSTITUTE(tblPassengerNames[[#This Row],[InParenthesesCleaned]], " ", "@", tblPassengerNames[[#This Row],[P_NSpaces]]))</f>
        <v>#VALUE!</v>
      </c>
      <c r="O680" t="e">
        <f>IF(tblPassengerNames[[#This Row],[P_NSpaces]] = 0,
    tblPassengerNames[[#This Row],[InParenthesesCleaned]],
    LEFT(tblPassengerNames[[#This Row],[InParenthesesCleaned]], tblPassengerNames[[#This Row],[P_FinalSpacePos]] - 1)
)</f>
        <v>#VALUE!</v>
      </c>
      <c r="P680" t="str">
        <f>IFERROR(tblPassengerNames[[#This Row],[P_Forenames]], tblPassengerNames[[#This Row],[ConvForenames]])</f>
        <v>Guentcho</v>
      </c>
      <c r="Q680" t="str">
        <f>MID(tblPassengerNames[[#This Row],[Name]], tblPassengerNames[[#This Row],[CommaPos]] + 2, tblPassengerNames[[#This Row],[DotPos]] - tblPassengerNames[[#This Row],[CommaPos]] - 1)</f>
        <v>Mr.</v>
      </c>
      <c r="R680" t="str">
        <f>LEFT(tblPassengerNames[[#This Row],[Name]], tblPassengerNames[[#This Row],[CommaPos]] - 1)</f>
        <v>Bostandyeff</v>
      </c>
    </row>
    <row r="681" spans="2:18" x14ac:dyDescent="0.25">
      <c r="B681" s="21">
        <v>679</v>
      </c>
      <c r="C681" s="21" t="s">
        <v>815</v>
      </c>
      <c r="D681" s="21" t="s">
        <v>138</v>
      </c>
      <c r="E681">
        <f>FIND(",", tblPassengerNames[[#This Row],[Name]])</f>
        <v>7</v>
      </c>
      <c r="F681">
        <f>FIND(".", tblPassengerNames[[#This Row],[Name]])</f>
        <v>15</v>
      </c>
      <c r="G681" t="e">
        <f>FIND("(", tblPassengerNames[[#This Row],[Name]])</f>
        <v>#VALUE!</v>
      </c>
      <c r="H681" t="e">
        <f>FIND(")", tblPassengerNames[[#This Row],[Name]])</f>
        <v>#VALUE!</v>
      </c>
      <c r="I681">
        <f>IFERROR(tblPassengerNames[[#This Row],[OpenParPos]] - 2, LEN(tblPassengerNames[[#This Row],[Name]]))</f>
        <v>20</v>
      </c>
      <c r="J681" t="str">
        <f>MID(tblPassengerNames[[#This Row],[Name]], tblPassengerNames[[#This Row],[DotPos]] + 2, tblPassengerNames[[#This Row],[EndOfConvFNPos]] - tblPassengerNames[[#This Row],[DotPos]] - 1)</f>
        <v>Akar</v>
      </c>
      <c r="K681" t="e">
        <f>MID(tblPassengerNames[[#This Row],[Name]], tblPassengerNames[[#This Row],[OpenParPos]] + 1, tblPassengerNames[[#This Row],[CloseParPos]] - tblPassengerNames[[#This Row],[OpenParPos]] - 1)</f>
        <v>#VALUE!</v>
      </c>
      <c r="L681" t="e">
        <f>IF(AND(LEFT(tblPassengerNames[[#This Row],[InParentheses]], 1) = "'", RIGHT(tblPassengerNames[[#This Row],[InParentheses]], 1) = "'"),
    #VALUE!,
    tblPassengerNames[[#This Row],[InParentheses]]
)</f>
        <v>#VALUE!</v>
      </c>
      <c r="M681" t="e">
        <f>LEN(tblPassengerNames[[#This Row],[InParenthesesCleaned]]) - LEN(SUBSTITUTE(tblPassengerNames[[#This Row],[InParenthesesCleaned]], " ", ""))</f>
        <v>#VALUE!</v>
      </c>
      <c r="N681" t="e">
        <f>FIND("@", SUBSTITUTE(tblPassengerNames[[#This Row],[InParenthesesCleaned]], " ", "@", tblPassengerNames[[#This Row],[P_NSpaces]]))</f>
        <v>#VALUE!</v>
      </c>
      <c r="O681" t="e">
        <f>IF(tblPassengerNames[[#This Row],[P_NSpaces]] = 0,
    tblPassengerNames[[#This Row],[InParenthesesCleaned]],
    LEFT(tblPassengerNames[[#This Row],[InParenthesesCleaned]], tblPassengerNames[[#This Row],[P_FinalSpacePos]] - 1)
)</f>
        <v>#VALUE!</v>
      </c>
      <c r="P681" t="str">
        <f>IFERROR(tblPassengerNames[[#This Row],[P_Forenames]], tblPassengerNames[[#This Row],[ConvForenames]])</f>
        <v>Akar</v>
      </c>
      <c r="Q681" t="str">
        <f>MID(tblPassengerNames[[#This Row],[Name]], tblPassengerNames[[#This Row],[CommaPos]] + 2, tblPassengerNames[[#This Row],[DotPos]] - tblPassengerNames[[#This Row],[CommaPos]] - 1)</f>
        <v>Master.</v>
      </c>
      <c r="R681" t="str">
        <f>LEFT(tblPassengerNames[[#This Row],[Name]], tblPassengerNames[[#This Row],[CommaPos]] - 1)</f>
        <v>Boulos</v>
      </c>
    </row>
    <row r="682" spans="2:18" x14ac:dyDescent="0.25">
      <c r="B682" s="21">
        <v>680</v>
      </c>
      <c r="C682" s="21" t="s">
        <v>816</v>
      </c>
      <c r="D682" s="21" t="s">
        <v>136</v>
      </c>
      <c r="E682">
        <f>FIND(",", tblPassengerNames[[#This Row],[Name]])</f>
        <v>7</v>
      </c>
      <c r="F682">
        <f>FIND(".", tblPassengerNames[[#This Row],[Name]])</f>
        <v>13</v>
      </c>
      <c r="G682" t="e">
        <f>FIND("(", tblPassengerNames[[#This Row],[Name]])</f>
        <v>#VALUE!</v>
      </c>
      <c r="H682" t="e">
        <f>FIND(")", tblPassengerNames[[#This Row],[Name]])</f>
        <v>#VALUE!</v>
      </c>
      <c r="I682">
        <f>IFERROR(tblPassengerNames[[#This Row],[OpenParPos]] - 2, LEN(tblPassengerNames[[#This Row],[Name]]))</f>
        <v>23</v>
      </c>
      <c r="J682" t="str">
        <f>MID(tblPassengerNames[[#This Row],[Name]], tblPassengerNames[[#This Row],[DotPos]] + 2, tblPassengerNames[[#This Row],[EndOfConvFNPos]] - tblPassengerNames[[#This Row],[DotPos]] - 1)</f>
        <v>Nourelain</v>
      </c>
      <c r="K682" t="e">
        <f>MID(tblPassengerNames[[#This Row],[Name]], tblPassengerNames[[#This Row],[OpenParPos]] + 1, tblPassengerNames[[#This Row],[CloseParPos]] - tblPassengerNames[[#This Row],[OpenParPos]] - 1)</f>
        <v>#VALUE!</v>
      </c>
      <c r="L682" t="e">
        <f>IF(AND(LEFT(tblPassengerNames[[#This Row],[InParentheses]], 1) = "'", RIGHT(tblPassengerNames[[#This Row],[InParentheses]], 1) = "'"),
    #VALUE!,
    tblPassengerNames[[#This Row],[InParentheses]]
)</f>
        <v>#VALUE!</v>
      </c>
      <c r="M682" t="e">
        <f>LEN(tblPassengerNames[[#This Row],[InParenthesesCleaned]]) - LEN(SUBSTITUTE(tblPassengerNames[[#This Row],[InParenthesesCleaned]], " ", ""))</f>
        <v>#VALUE!</v>
      </c>
      <c r="N682" t="e">
        <f>FIND("@", SUBSTITUTE(tblPassengerNames[[#This Row],[InParenthesesCleaned]], " ", "@", tblPassengerNames[[#This Row],[P_NSpaces]]))</f>
        <v>#VALUE!</v>
      </c>
      <c r="O682" t="e">
        <f>IF(tblPassengerNames[[#This Row],[P_NSpaces]] = 0,
    tblPassengerNames[[#This Row],[InParenthesesCleaned]],
    LEFT(tblPassengerNames[[#This Row],[InParenthesesCleaned]], tblPassengerNames[[#This Row],[P_FinalSpacePos]] - 1)
)</f>
        <v>#VALUE!</v>
      </c>
      <c r="P682" t="str">
        <f>IFERROR(tblPassengerNames[[#This Row],[P_Forenames]], tblPassengerNames[[#This Row],[ConvForenames]])</f>
        <v>Nourelain</v>
      </c>
      <c r="Q682" t="str">
        <f>MID(tblPassengerNames[[#This Row],[Name]], tblPassengerNames[[#This Row],[CommaPos]] + 2, tblPassengerNames[[#This Row],[DotPos]] - tblPassengerNames[[#This Row],[CommaPos]] - 1)</f>
        <v>Miss.</v>
      </c>
      <c r="R682" t="str">
        <f>LEFT(tblPassengerNames[[#This Row],[Name]], tblPassengerNames[[#This Row],[CommaPos]] - 1)</f>
        <v>Boulos</v>
      </c>
    </row>
    <row r="683" spans="2:18" x14ac:dyDescent="0.25">
      <c r="B683" s="21">
        <v>681</v>
      </c>
      <c r="C683" s="21" t="s">
        <v>817</v>
      </c>
      <c r="D683" s="21" t="s">
        <v>138</v>
      </c>
      <c r="E683">
        <f>FIND(",", tblPassengerNames[[#This Row],[Name]])</f>
        <v>7</v>
      </c>
      <c r="F683">
        <f>FIND(".", tblPassengerNames[[#This Row],[Name]])</f>
        <v>11</v>
      </c>
      <c r="G683" t="e">
        <f>FIND("(", tblPassengerNames[[#This Row],[Name]])</f>
        <v>#VALUE!</v>
      </c>
      <c r="H683" t="e">
        <f>FIND(")", tblPassengerNames[[#This Row],[Name]])</f>
        <v>#VALUE!</v>
      </c>
      <c r="I683">
        <f>IFERROR(tblPassengerNames[[#This Row],[OpenParPos]] - 2, LEN(tblPassengerNames[[#This Row],[Name]]))</f>
        <v>17</v>
      </c>
      <c r="J683" t="str">
        <f>MID(tblPassengerNames[[#This Row],[Name]], tblPassengerNames[[#This Row],[DotPos]] + 2, tblPassengerNames[[#This Row],[EndOfConvFNPos]] - tblPassengerNames[[#This Row],[DotPos]] - 1)</f>
        <v>Hanna</v>
      </c>
      <c r="K683" t="e">
        <f>MID(tblPassengerNames[[#This Row],[Name]], tblPassengerNames[[#This Row],[OpenParPos]] + 1, tblPassengerNames[[#This Row],[CloseParPos]] - tblPassengerNames[[#This Row],[OpenParPos]] - 1)</f>
        <v>#VALUE!</v>
      </c>
      <c r="L683" t="e">
        <f>IF(AND(LEFT(tblPassengerNames[[#This Row],[InParentheses]], 1) = "'", RIGHT(tblPassengerNames[[#This Row],[InParentheses]], 1) = "'"),
    #VALUE!,
    tblPassengerNames[[#This Row],[InParentheses]]
)</f>
        <v>#VALUE!</v>
      </c>
      <c r="M683" t="e">
        <f>LEN(tblPassengerNames[[#This Row],[InParenthesesCleaned]]) - LEN(SUBSTITUTE(tblPassengerNames[[#This Row],[InParenthesesCleaned]], " ", ""))</f>
        <v>#VALUE!</v>
      </c>
      <c r="N683" t="e">
        <f>FIND("@", SUBSTITUTE(tblPassengerNames[[#This Row],[InParenthesesCleaned]], " ", "@", tblPassengerNames[[#This Row],[P_NSpaces]]))</f>
        <v>#VALUE!</v>
      </c>
      <c r="O683" t="e">
        <f>IF(tblPassengerNames[[#This Row],[P_NSpaces]] = 0,
    tblPassengerNames[[#This Row],[InParenthesesCleaned]],
    LEFT(tblPassengerNames[[#This Row],[InParenthesesCleaned]], tblPassengerNames[[#This Row],[P_FinalSpacePos]] - 1)
)</f>
        <v>#VALUE!</v>
      </c>
      <c r="P683" t="str">
        <f>IFERROR(tblPassengerNames[[#This Row],[P_Forenames]], tblPassengerNames[[#This Row],[ConvForenames]])</f>
        <v>Hanna</v>
      </c>
      <c r="Q683" t="str">
        <f>MID(tblPassengerNames[[#This Row],[Name]], tblPassengerNames[[#This Row],[CommaPos]] + 2, tblPassengerNames[[#This Row],[DotPos]] - tblPassengerNames[[#This Row],[CommaPos]] - 1)</f>
        <v>Mr.</v>
      </c>
      <c r="R683" t="str">
        <f>LEFT(tblPassengerNames[[#This Row],[Name]], tblPassengerNames[[#This Row],[CommaPos]] - 1)</f>
        <v>Boulos</v>
      </c>
    </row>
    <row r="684" spans="2:18" x14ac:dyDescent="0.25">
      <c r="B684" s="21">
        <v>682</v>
      </c>
      <c r="C684" s="21" t="s">
        <v>818</v>
      </c>
      <c r="D684" s="21" t="s">
        <v>136</v>
      </c>
      <c r="E684">
        <f>FIND(",", tblPassengerNames[[#This Row],[Name]])</f>
        <v>7</v>
      </c>
      <c r="F684">
        <f>FIND(".", tblPassengerNames[[#This Row],[Name]])</f>
        <v>12</v>
      </c>
      <c r="G684">
        <f>FIND("(", tblPassengerNames[[#This Row],[Name]])</f>
        <v>21</v>
      </c>
      <c r="H684">
        <f>FIND(")", tblPassengerNames[[#This Row],[Name]])</f>
        <v>29</v>
      </c>
      <c r="I684">
        <f>IFERROR(tblPassengerNames[[#This Row],[OpenParPos]] - 2, LEN(tblPassengerNames[[#This Row],[Name]]))</f>
        <v>19</v>
      </c>
      <c r="J684" t="str">
        <f>MID(tblPassengerNames[[#This Row],[Name]], tblPassengerNames[[#This Row],[DotPos]] + 2, tblPassengerNames[[#This Row],[EndOfConvFNPos]] - tblPassengerNames[[#This Row],[DotPos]] - 1)</f>
        <v>Joseph</v>
      </c>
      <c r="K684" t="str">
        <f>MID(tblPassengerNames[[#This Row],[Name]], tblPassengerNames[[#This Row],[OpenParPos]] + 1, tblPassengerNames[[#This Row],[CloseParPos]] - tblPassengerNames[[#This Row],[OpenParPos]] - 1)</f>
        <v>Sultana</v>
      </c>
      <c r="L684" t="str">
        <f>IF(AND(LEFT(tblPassengerNames[[#This Row],[InParentheses]], 1) = "'", RIGHT(tblPassengerNames[[#This Row],[InParentheses]], 1) = "'"),
    #VALUE!,
    tblPassengerNames[[#This Row],[InParentheses]]
)</f>
        <v>Sultana</v>
      </c>
      <c r="M684">
        <f>LEN(tblPassengerNames[[#This Row],[InParenthesesCleaned]]) - LEN(SUBSTITUTE(tblPassengerNames[[#This Row],[InParenthesesCleaned]], " ", ""))</f>
        <v>0</v>
      </c>
      <c r="N684" t="e">
        <f>FIND("@", SUBSTITUTE(tblPassengerNames[[#This Row],[InParenthesesCleaned]], " ", "@", tblPassengerNames[[#This Row],[P_NSpaces]]))</f>
        <v>#VALUE!</v>
      </c>
      <c r="O684" t="str">
        <f>IF(tblPassengerNames[[#This Row],[P_NSpaces]] = 0,
    tblPassengerNames[[#This Row],[InParenthesesCleaned]],
    LEFT(tblPassengerNames[[#This Row],[InParenthesesCleaned]], tblPassengerNames[[#This Row],[P_FinalSpacePos]] - 1)
)</f>
        <v>Sultana</v>
      </c>
      <c r="P684" t="str">
        <f>IFERROR(tblPassengerNames[[#This Row],[P_Forenames]], tblPassengerNames[[#This Row],[ConvForenames]])</f>
        <v>Sultana</v>
      </c>
      <c r="Q684" t="str">
        <f>MID(tblPassengerNames[[#This Row],[Name]], tblPassengerNames[[#This Row],[CommaPos]] + 2, tblPassengerNames[[#This Row],[DotPos]] - tblPassengerNames[[#This Row],[CommaPos]] - 1)</f>
        <v>Mrs.</v>
      </c>
      <c r="R684" t="str">
        <f>LEFT(tblPassengerNames[[#This Row],[Name]], tblPassengerNames[[#This Row],[CommaPos]] - 1)</f>
        <v>Boulos</v>
      </c>
    </row>
    <row r="685" spans="2:18" x14ac:dyDescent="0.25">
      <c r="B685" s="21">
        <v>683</v>
      </c>
      <c r="C685" s="21" t="s">
        <v>819</v>
      </c>
      <c r="D685" s="21" t="s">
        <v>136</v>
      </c>
      <c r="E685">
        <f>FIND(",", tblPassengerNames[[#This Row],[Name]])</f>
        <v>7</v>
      </c>
      <c r="F685">
        <f>FIND(".", tblPassengerNames[[#This Row],[Name]])</f>
        <v>13</v>
      </c>
      <c r="G685" t="e">
        <f>FIND("(", tblPassengerNames[[#This Row],[Name]])</f>
        <v>#VALUE!</v>
      </c>
      <c r="H685" t="e">
        <f>FIND(")", tblPassengerNames[[#This Row],[Name]])</f>
        <v>#VALUE!</v>
      </c>
      <c r="I685">
        <f>IFERROR(tblPassengerNames[[#This Row],[OpenParPos]] - 2, LEN(tblPassengerNames[[#This Row],[Name]]))</f>
        <v>18</v>
      </c>
      <c r="J685" t="str">
        <f>MID(tblPassengerNames[[#This Row],[Name]], tblPassengerNames[[#This Row],[DotPos]] + 2, tblPassengerNames[[#This Row],[EndOfConvFNPos]] - tblPassengerNames[[#This Row],[DotPos]] - 1)</f>
        <v>Mary</v>
      </c>
      <c r="K685" t="e">
        <f>MID(tblPassengerNames[[#This Row],[Name]], tblPassengerNames[[#This Row],[OpenParPos]] + 1, tblPassengerNames[[#This Row],[CloseParPos]] - tblPassengerNames[[#This Row],[OpenParPos]] - 1)</f>
        <v>#VALUE!</v>
      </c>
      <c r="L685" t="e">
        <f>IF(AND(LEFT(tblPassengerNames[[#This Row],[InParentheses]], 1) = "'", RIGHT(tblPassengerNames[[#This Row],[InParentheses]], 1) = "'"),
    #VALUE!,
    tblPassengerNames[[#This Row],[InParentheses]]
)</f>
        <v>#VALUE!</v>
      </c>
      <c r="M685" t="e">
        <f>LEN(tblPassengerNames[[#This Row],[InParenthesesCleaned]]) - LEN(SUBSTITUTE(tblPassengerNames[[#This Row],[InParenthesesCleaned]], " ", ""))</f>
        <v>#VALUE!</v>
      </c>
      <c r="N685" t="e">
        <f>FIND("@", SUBSTITUTE(tblPassengerNames[[#This Row],[InParenthesesCleaned]], " ", "@", tblPassengerNames[[#This Row],[P_NSpaces]]))</f>
        <v>#VALUE!</v>
      </c>
      <c r="O685" t="e">
        <f>IF(tblPassengerNames[[#This Row],[P_NSpaces]] = 0,
    tblPassengerNames[[#This Row],[InParenthesesCleaned]],
    LEFT(tblPassengerNames[[#This Row],[InParenthesesCleaned]], tblPassengerNames[[#This Row],[P_FinalSpacePos]] - 1)
)</f>
        <v>#VALUE!</v>
      </c>
      <c r="P685" t="str">
        <f>IFERROR(tblPassengerNames[[#This Row],[P_Forenames]], tblPassengerNames[[#This Row],[ConvForenames]])</f>
        <v>Mary</v>
      </c>
      <c r="Q685" t="str">
        <f>MID(tblPassengerNames[[#This Row],[Name]], tblPassengerNames[[#This Row],[CommaPos]] + 2, tblPassengerNames[[#This Row],[DotPos]] - tblPassengerNames[[#This Row],[CommaPos]] - 1)</f>
        <v>Miss.</v>
      </c>
      <c r="R685" t="str">
        <f>LEFT(tblPassengerNames[[#This Row],[Name]], tblPassengerNames[[#This Row],[CommaPos]] - 1)</f>
        <v>Bourke</v>
      </c>
    </row>
    <row r="686" spans="2:18" x14ac:dyDescent="0.25">
      <c r="B686" s="21">
        <v>684</v>
      </c>
      <c r="C686" s="21" t="s">
        <v>820</v>
      </c>
      <c r="D686" s="21" t="s">
        <v>138</v>
      </c>
      <c r="E686">
        <f>FIND(",", tblPassengerNames[[#This Row],[Name]])</f>
        <v>7</v>
      </c>
      <c r="F686">
        <f>FIND(".", tblPassengerNames[[#This Row],[Name]])</f>
        <v>11</v>
      </c>
      <c r="G686" t="e">
        <f>FIND("(", tblPassengerNames[[#This Row],[Name]])</f>
        <v>#VALUE!</v>
      </c>
      <c r="H686" t="e">
        <f>FIND(")", tblPassengerNames[[#This Row],[Name]])</f>
        <v>#VALUE!</v>
      </c>
      <c r="I686">
        <f>IFERROR(tblPassengerNames[[#This Row],[OpenParPos]] - 2, LEN(tblPassengerNames[[#This Row],[Name]]))</f>
        <v>16</v>
      </c>
      <c r="J686" t="str">
        <f>MID(tblPassengerNames[[#This Row],[Name]], tblPassengerNames[[#This Row],[DotPos]] + 2, tblPassengerNames[[#This Row],[EndOfConvFNPos]] - tblPassengerNames[[#This Row],[DotPos]] - 1)</f>
        <v>John</v>
      </c>
      <c r="K686" t="e">
        <f>MID(tblPassengerNames[[#This Row],[Name]], tblPassengerNames[[#This Row],[OpenParPos]] + 1, tblPassengerNames[[#This Row],[CloseParPos]] - tblPassengerNames[[#This Row],[OpenParPos]] - 1)</f>
        <v>#VALUE!</v>
      </c>
      <c r="L686" t="e">
        <f>IF(AND(LEFT(tblPassengerNames[[#This Row],[InParentheses]], 1) = "'", RIGHT(tblPassengerNames[[#This Row],[InParentheses]], 1) = "'"),
    #VALUE!,
    tblPassengerNames[[#This Row],[InParentheses]]
)</f>
        <v>#VALUE!</v>
      </c>
      <c r="M686" t="e">
        <f>LEN(tblPassengerNames[[#This Row],[InParenthesesCleaned]]) - LEN(SUBSTITUTE(tblPassengerNames[[#This Row],[InParenthesesCleaned]], " ", ""))</f>
        <v>#VALUE!</v>
      </c>
      <c r="N686" t="e">
        <f>FIND("@", SUBSTITUTE(tblPassengerNames[[#This Row],[InParenthesesCleaned]], " ", "@", tblPassengerNames[[#This Row],[P_NSpaces]]))</f>
        <v>#VALUE!</v>
      </c>
      <c r="O686" t="e">
        <f>IF(tblPassengerNames[[#This Row],[P_NSpaces]] = 0,
    tblPassengerNames[[#This Row],[InParenthesesCleaned]],
    LEFT(tblPassengerNames[[#This Row],[InParenthesesCleaned]], tblPassengerNames[[#This Row],[P_FinalSpacePos]] - 1)
)</f>
        <v>#VALUE!</v>
      </c>
      <c r="P686" t="str">
        <f>IFERROR(tblPassengerNames[[#This Row],[P_Forenames]], tblPassengerNames[[#This Row],[ConvForenames]])</f>
        <v>John</v>
      </c>
      <c r="Q686" t="str">
        <f>MID(tblPassengerNames[[#This Row],[Name]], tblPassengerNames[[#This Row],[CommaPos]] + 2, tblPassengerNames[[#This Row],[DotPos]] - tblPassengerNames[[#This Row],[CommaPos]] - 1)</f>
        <v>Mr.</v>
      </c>
      <c r="R686" t="str">
        <f>LEFT(tblPassengerNames[[#This Row],[Name]], tblPassengerNames[[#This Row],[CommaPos]] - 1)</f>
        <v>Bourke</v>
      </c>
    </row>
    <row r="687" spans="2:18" x14ac:dyDescent="0.25">
      <c r="B687" s="21">
        <v>685</v>
      </c>
      <c r="C687" s="21" t="s">
        <v>821</v>
      </c>
      <c r="D687" s="21" t="s">
        <v>136</v>
      </c>
      <c r="E687">
        <f>FIND(",", tblPassengerNames[[#This Row],[Name]])</f>
        <v>7</v>
      </c>
      <c r="F687">
        <f>FIND(".", tblPassengerNames[[#This Row],[Name]])</f>
        <v>12</v>
      </c>
      <c r="G687">
        <f>FIND("(", tblPassengerNames[[#This Row],[Name]])</f>
        <v>19</v>
      </c>
      <c r="H687">
        <f>FIND(")", tblPassengerNames[[#This Row],[Name]])</f>
        <v>29</v>
      </c>
      <c r="I687">
        <f>IFERROR(tblPassengerNames[[#This Row],[OpenParPos]] - 2, LEN(tblPassengerNames[[#This Row],[Name]]))</f>
        <v>17</v>
      </c>
      <c r="J687" t="str">
        <f>MID(tblPassengerNames[[#This Row],[Name]], tblPassengerNames[[#This Row],[DotPos]] + 2, tblPassengerNames[[#This Row],[EndOfConvFNPos]] - tblPassengerNames[[#This Row],[DotPos]] - 1)</f>
        <v>John</v>
      </c>
      <c r="K687" t="str">
        <f>MID(tblPassengerNames[[#This Row],[Name]], tblPassengerNames[[#This Row],[OpenParPos]] + 1, tblPassengerNames[[#This Row],[CloseParPos]] - tblPassengerNames[[#This Row],[OpenParPos]] - 1)</f>
        <v>Catherine</v>
      </c>
      <c r="L687" t="str">
        <f>IF(AND(LEFT(tblPassengerNames[[#This Row],[InParentheses]], 1) = "'", RIGHT(tblPassengerNames[[#This Row],[InParentheses]], 1) = "'"),
    #VALUE!,
    tblPassengerNames[[#This Row],[InParentheses]]
)</f>
        <v>Catherine</v>
      </c>
      <c r="M687">
        <f>LEN(tblPassengerNames[[#This Row],[InParenthesesCleaned]]) - LEN(SUBSTITUTE(tblPassengerNames[[#This Row],[InParenthesesCleaned]], " ", ""))</f>
        <v>0</v>
      </c>
      <c r="N687" t="e">
        <f>FIND("@", SUBSTITUTE(tblPassengerNames[[#This Row],[InParenthesesCleaned]], " ", "@", tblPassengerNames[[#This Row],[P_NSpaces]]))</f>
        <v>#VALUE!</v>
      </c>
      <c r="O687" t="str">
        <f>IF(tblPassengerNames[[#This Row],[P_NSpaces]] = 0,
    tblPassengerNames[[#This Row],[InParenthesesCleaned]],
    LEFT(tblPassengerNames[[#This Row],[InParenthesesCleaned]], tblPassengerNames[[#This Row],[P_FinalSpacePos]] - 1)
)</f>
        <v>Catherine</v>
      </c>
      <c r="P687" t="str">
        <f>IFERROR(tblPassengerNames[[#This Row],[P_Forenames]], tblPassengerNames[[#This Row],[ConvForenames]])</f>
        <v>Catherine</v>
      </c>
      <c r="Q687" t="str">
        <f>MID(tblPassengerNames[[#This Row],[Name]], tblPassengerNames[[#This Row],[CommaPos]] + 2, tblPassengerNames[[#This Row],[DotPos]] - tblPassengerNames[[#This Row],[CommaPos]] - 1)</f>
        <v>Mrs.</v>
      </c>
      <c r="R687" t="str">
        <f>LEFT(tblPassengerNames[[#This Row],[Name]], tblPassengerNames[[#This Row],[CommaPos]] - 1)</f>
        <v>Bourke</v>
      </c>
    </row>
    <row r="688" spans="2:18" x14ac:dyDescent="0.25">
      <c r="B688" s="21">
        <v>686</v>
      </c>
      <c r="C688" s="21" t="s">
        <v>822</v>
      </c>
      <c r="D688" s="21" t="s">
        <v>138</v>
      </c>
      <c r="E688">
        <f>FIND(",", tblPassengerNames[[#This Row],[Name]])</f>
        <v>6</v>
      </c>
      <c r="F688">
        <f>FIND(".", tblPassengerNames[[#This Row],[Name]])</f>
        <v>10</v>
      </c>
      <c r="G688" t="e">
        <f>FIND("(", tblPassengerNames[[#This Row],[Name]])</f>
        <v>#VALUE!</v>
      </c>
      <c r="H688" t="e">
        <f>FIND(")", tblPassengerNames[[#This Row],[Name]])</f>
        <v>#VALUE!</v>
      </c>
      <c r="I688">
        <f>IFERROR(tblPassengerNames[[#This Row],[OpenParPos]] - 2, LEN(tblPassengerNames[[#This Row],[Name]]))</f>
        <v>27</v>
      </c>
      <c r="J688" t="str">
        <f>MID(tblPassengerNames[[#This Row],[Name]], tblPassengerNames[[#This Row],[DotPos]] + 2, tblPassengerNames[[#This Row],[EndOfConvFNPos]] - tblPassengerNames[[#This Row],[DotPos]] - 1)</f>
        <v>David John 'Dai'</v>
      </c>
      <c r="K688" t="e">
        <f>MID(tblPassengerNames[[#This Row],[Name]], tblPassengerNames[[#This Row],[OpenParPos]] + 1, tblPassengerNames[[#This Row],[CloseParPos]] - tblPassengerNames[[#This Row],[OpenParPos]] - 1)</f>
        <v>#VALUE!</v>
      </c>
      <c r="L688" t="e">
        <f>IF(AND(LEFT(tblPassengerNames[[#This Row],[InParentheses]], 1) = "'", RIGHT(tblPassengerNames[[#This Row],[InParentheses]], 1) = "'"),
    #VALUE!,
    tblPassengerNames[[#This Row],[InParentheses]]
)</f>
        <v>#VALUE!</v>
      </c>
      <c r="M688" t="e">
        <f>LEN(tblPassengerNames[[#This Row],[InParenthesesCleaned]]) - LEN(SUBSTITUTE(tblPassengerNames[[#This Row],[InParenthesesCleaned]], " ", ""))</f>
        <v>#VALUE!</v>
      </c>
      <c r="N688" t="e">
        <f>FIND("@", SUBSTITUTE(tblPassengerNames[[#This Row],[InParenthesesCleaned]], " ", "@", tblPassengerNames[[#This Row],[P_NSpaces]]))</f>
        <v>#VALUE!</v>
      </c>
      <c r="O688" t="e">
        <f>IF(tblPassengerNames[[#This Row],[P_NSpaces]] = 0,
    tblPassengerNames[[#This Row],[InParenthesesCleaned]],
    LEFT(tblPassengerNames[[#This Row],[InParenthesesCleaned]], tblPassengerNames[[#This Row],[P_FinalSpacePos]] - 1)
)</f>
        <v>#VALUE!</v>
      </c>
      <c r="P688" t="str">
        <f>IFERROR(tblPassengerNames[[#This Row],[P_Forenames]], tblPassengerNames[[#This Row],[ConvForenames]])</f>
        <v>David John 'Dai'</v>
      </c>
      <c r="Q688" t="str">
        <f>MID(tblPassengerNames[[#This Row],[Name]], tblPassengerNames[[#This Row],[CommaPos]] + 2, tblPassengerNames[[#This Row],[DotPos]] - tblPassengerNames[[#This Row],[CommaPos]] - 1)</f>
        <v>Mr.</v>
      </c>
      <c r="R688" t="str">
        <f>LEFT(tblPassengerNames[[#This Row],[Name]], tblPassengerNames[[#This Row],[CommaPos]] - 1)</f>
        <v>Bowen</v>
      </c>
    </row>
    <row r="689" spans="2:18" x14ac:dyDescent="0.25">
      <c r="B689" s="21">
        <v>687</v>
      </c>
      <c r="C689" s="21" t="s">
        <v>823</v>
      </c>
      <c r="D689" s="21" t="s">
        <v>136</v>
      </c>
      <c r="E689">
        <f>FIND(",", tblPassengerNames[[#This Row],[Name]])</f>
        <v>8</v>
      </c>
      <c r="F689">
        <f>FIND(".", tblPassengerNames[[#This Row],[Name]])</f>
        <v>14</v>
      </c>
      <c r="G689" t="e">
        <f>FIND("(", tblPassengerNames[[#This Row],[Name]])</f>
        <v>#VALUE!</v>
      </c>
      <c r="H689" t="e">
        <f>FIND(")", tblPassengerNames[[#This Row],[Name]])</f>
        <v>#VALUE!</v>
      </c>
      <c r="I689">
        <f>IFERROR(tblPassengerNames[[#This Row],[OpenParPos]] - 2, LEN(tblPassengerNames[[#This Row],[Name]]))</f>
        <v>28</v>
      </c>
      <c r="J689" t="str">
        <f>MID(tblPassengerNames[[#This Row],[Name]], tblPassengerNames[[#This Row],[DotPos]] + 2, tblPassengerNames[[#This Row],[EndOfConvFNPos]] - tblPassengerNames[[#This Row],[DotPos]] - 1)</f>
        <v>Bridget Delia</v>
      </c>
      <c r="K689" t="e">
        <f>MID(tblPassengerNames[[#This Row],[Name]], tblPassengerNames[[#This Row],[OpenParPos]] + 1, tblPassengerNames[[#This Row],[CloseParPos]] - tblPassengerNames[[#This Row],[OpenParPos]] - 1)</f>
        <v>#VALUE!</v>
      </c>
      <c r="L689" t="e">
        <f>IF(AND(LEFT(tblPassengerNames[[#This Row],[InParentheses]], 1) = "'", RIGHT(tblPassengerNames[[#This Row],[InParentheses]], 1) = "'"),
    #VALUE!,
    tblPassengerNames[[#This Row],[InParentheses]]
)</f>
        <v>#VALUE!</v>
      </c>
      <c r="M689" t="e">
        <f>LEN(tblPassengerNames[[#This Row],[InParenthesesCleaned]]) - LEN(SUBSTITUTE(tblPassengerNames[[#This Row],[InParenthesesCleaned]], " ", ""))</f>
        <v>#VALUE!</v>
      </c>
      <c r="N689" t="e">
        <f>FIND("@", SUBSTITUTE(tblPassengerNames[[#This Row],[InParenthesesCleaned]], " ", "@", tblPassengerNames[[#This Row],[P_NSpaces]]))</f>
        <v>#VALUE!</v>
      </c>
      <c r="O689" t="e">
        <f>IF(tblPassengerNames[[#This Row],[P_NSpaces]] = 0,
    tblPassengerNames[[#This Row],[InParenthesesCleaned]],
    LEFT(tblPassengerNames[[#This Row],[InParenthesesCleaned]], tblPassengerNames[[#This Row],[P_FinalSpacePos]] - 1)
)</f>
        <v>#VALUE!</v>
      </c>
      <c r="P689" t="str">
        <f>IFERROR(tblPassengerNames[[#This Row],[P_Forenames]], tblPassengerNames[[#This Row],[ConvForenames]])</f>
        <v>Bridget Delia</v>
      </c>
      <c r="Q689" t="str">
        <f>MID(tblPassengerNames[[#This Row],[Name]], tblPassengerNames[[#This Row],[CommaPos]] + 2, tblPassengerNames[[#This Row],[DotPos]] - tblPassengerNames[[#This Row],[CommaPos]] - 1)</f>
        <v>Miss.</v>
      </c>
      <c r="R689" t="str">
        <f>LEFT(tblPassengerNames[[#This Row],[Name]], tblPassengerNames[[#This Row],[CommaPos]] - 1)</f>
        <v>Bradley</v>
      </c>
    </row>
    <row r="690" spans="2:18" x14ac:dyDescent="0.25">
      <c r="B690" s="21">
        <v>688</v>
      </c>
      <c r="C690" s="21" t="s">
        <v>824</v>
      </c>
      <c r="D690" s="21" t="s">
        <v>136</v>
      </c>
      <c r="E690">
        <f>FIND(",", tblPassengerNames[[#This Row],[Name]])</f>
        <v>5</v>
      </c>
      <c r="F690">
        <f>FIND(".", tblPassengerNames[[#This Row],[Name]])</f>
        <v>11</v>
      </c>
      <c r="G690" t="e">
        <f>FIND("(", tblPassengerNames[[#This Row],[Name]])</f>
        <v>#VALUE!</v>
      </c>
      <c r="H690" t="e">
        <f>FIND(")", tblPassengerNames[[#This Row],[Name]])</f>
        <v>#VALUE!</v>
      </c>
      <c r="I690">
        <f>IFERROR(tblPassengerNames[[#This Row],[OpenParPos]] - 2, LEN(tblPassengerNames[[#This Row],[Name]]))</f>
        <v>28</v>
      </c>
      <c r="J690" t="str">
        <f>MID(tblPassengerNames[[#This Row],[Name]], tblPassengerNames[[#This Row],[DotPos]] + 2, tblPassengerNames[[#This Row],[EndOfConvFNPos]] - tblPassengerNames[[#This Row],[DotPos]] - 1)</f>
        <v>Elin Ester Maria</v>
      </c>
      <c r="K690" t="e">
        <f>MID(tblPassengerNames[[#This Row],[Name]], tblPassengerNames[[#This Row],[OpenParPos]] + 1, tblPassengerNames[[#This Row],[CloseParPos]] - tblPassengerNames[[#This Row],[OpenParPos]] - 1)</f>
        <v>#VALUE!</v>
      </c>
      <c r="L690" t="e">
        <f>IF(AND(LEFT(tblPassengerNames[[#This Row],[InParentheses]], 1) = "'", RIGHT(tblPassengerNames[[#This Row],[InParentheses]], 1) = "'"),
    #VALUE!,
    tblPassengerNames[[#This Row],[InParentheses]]
)</f>
        <v>#VALUE!</v>
      </c>
      <c r="M690" t="e">
        <f>LEN(tblPassengerNames[[#This Row],[InParenthesesCleaned]]) - LEN(SUBSTITUTE(tblPassengerNames[[#This Row],[InParenthesesCleaned]], " ", ""))</f>
        <v>#VALUE!</v>
      </c>
      <c r="N690" t="e">
        <f>FIND("@", SUBSTITUTE(tblPassengerNames[[#This Row],[InParenthesesCleaned]], " ", "@", tblPassengerNames[[#This Row],[P_NSpaces]]))</f>
        <v>#VALUE!</v>
      </c>
      <c r="O690" t="e">
        <f>IF(tblPassengerNames[[#This Row],[P_NSpaces]] = 0,
    tblPassengerNames[[#This Row],[InParenthesesCleaned]],
    LEFT(tblPassengerNames[[#This Row],[InParenthesesCleaned]], tblPassengerNames[[#This Row],[P_FinalSpacePos]] - 1)
)</f>
        <v>#VALUE!</v>
      </c>
      <c r="P690" t="str">
        <f>IFERROR(tblPassengerNames[[#This Row],[P_Forenames]], tblPassengerNames[[#This Row],[ConvForenames]])</f>
        <v>Elin Ester Maria</v>
      </c>
      <c r="Q690" t="str">
        <f>MID(tblPassengerNames[[#This Row],[Name]], tblPassengerNames[[#This Row],[CommaPos]] + 2, tblPassengerNames[[#This Row],[DotPos]] - tblPassengerNames[[#This Row],[CommaPos]] - 1)</f>
        <v>Miss.</v>
      </c>
      <c r="R690" t="str">
        <f>LEFT(tblPassengerNames[[#This Row],[Name]], tblPassengerNames[[#This Row],[CommaPos]] - 1)</f>
        <v>Braf</v>
      </c>
    </row>
    <row r="691" spans="2:18" x14ac:dyDescent="0.25">
      <c r="B691" s="21">
        <v>689</v>
      </c>
      <c r="C691" s="21" t="s">
        <v>825</v>
      </c>
      <c r="D691" s="21" t="s">
        <v>138</v>
      </c>
      <c r="E691">
        <f>FIND(",", tblPassengerNames[[#This Row],[Name]])</f>
        <v>7</v>
      </c>
      <c r="F691">
        <f>FIND(".", tblPassengerNames[[#This Row],[Name]])</f>
        <v>11</v>
      </c>
      <c r="G691" t="e">
        <f>FIND("(", tblPassengerNames[[#This Row],[Name]])</f>
        <v>#VALUE!</v>
      </c>
      <c r="H691" t="e">
        <f>FIND(")", tblPassengerNames[[#This Row],[Name]])</f>
        <v>#VALUE!</v>
      </c>
      <c r="I691">
        <f>IFERROR(tblPassengerNames[[#This Row],[OpenParPos]] - 2, LEN(tblPassengerNames[[#This Row],[Name]]))</f>
        <v>25</v>
      </c>
      <c r="J691" t="str">
        <f>MID(tblPassengerNames[[#This Row],[Name]], tblPassengerNames[[#This Row],[DotPos]] + 2, tblPassengerNames[[#This Row],[EndOfConvFNPos]] - tblPassengerNames[[#This Row],[DotPos]] - 1)</f>
        <v>Lewis Richard</v>
      </c>
      <c r="K691" t="e">
        <f>MID(tblPassengerNames[[#This Row],[Name]], tblPassengerNames[[#This Row],[OpenParPos]] + 1, tblPassengerNames[[#This Row],[CloseParPos]] - tblPassengerNames[[#This Row],[OpenParPos]] - 1)</f>
        <v>#VALUE!</v>
      </c>
      <c r="L691" t="e">
        <f>IF(AND(LEFT(tblPassengerNames[[#This Row],[InParentheses]], 1) = "'", RIGHT(tblPassengerNames[[#This Row],[InParentheses]], 1) = "'"),
    #VALUE!,
    tblPassengerNames[[#This Row],[InParentheses]]
)</f>
        <v>#VALUE!</v>
      </c>
      <c r="M691" t="e">
        <f>LEN(tblPassengerNames[[#This Row],[InParenthesesCleaned]]) - LEN(SUBSTITUTE(tblPassengerNames[[#This Row],[InParenthesesCleaned]], " ", ""))</f>
        <v>#VALUE!</v>
      </c>
      <c r="N691" t="e">
        <f>FIND("@", SUBSTITUTE(tblPassengerNames[[#This Row],[InParenthesesCleaned]], " ", "@", tblPassengerNames[[#This Row],[P_NSpaces]]))</f>
        <v>#VALUE!</v>
      </c>
      <c r="O691" t="e">
        <f>IF(tblPassengerNames[[#This Row],[P_NSpaces]] = 0,
    tblPassengerNames[[#This Row],[InParenthesesCleaned]],
    LEFT(tblPassengerNames[[#This Row],[InParenthesesCleaned]], tblPassengerNames[[#This Row],[P_FinalSpacePos]] - 1)
)</f>
        <v>#VALUE!</v>
      </c>
      <c r="P691" t="str">
        <f>IFERROR(tblPassengerNames[[#This Row],[P_Forenames]], tblPassengerNames[[#This Row],[ConvForenames]])</f>
        <v>Lewis Richard</v>
      </c>
      <c r="Q691" t="str">
        <f>MID(tblPassengerNames[[#This Row],[Name]], tblPassengerNames[[#This Row],[CommaPos]] + 2, tblPassengerNames[[#This Row],[DotPos]] - tblPassengerNames[[#This Row],[CommaPos]] - 1)</f>
        <v>Mr.</v>
      </c>
      <c r="R691" t="str">
        <f>LEFT(tblPassengerNames[[#This Row],[Name]], tblPassengerNames[[#This Row],[CommaPos]] - 1)</f>
        <v>Braund</v>
      </c>
    </row>
    <row r="692" spans="2:18" x14ac:dyDescent="0.25">
      <c r="B692" s="21">
        <v>690</v>
      </c>
      <c r="C692" s="21" t="s">
        <v>826</v>
      </c>
      <c r="D692" s="21" t="s">
        <v>138</v>
      </c>
      <c r="E692">
        <f>FIND(",", tblPassengerNames[[#This Row],[Name]])</f>
        <v>7</v>
      </c>
      <c r="F692">
        <f>FIND(".", tblPassengerNames[[#This Row],[Name]])</f>
        <v>11</v>
      </c>
      <c r="G692" t="e">
        <f>FIND("(", tblPassengerNames[[#This Row],[Name]])</f>
        <v>#VALUE!</v>
      </c>
      <c r="H692" t="e">
        <f>FIND(")", tblPassengerNames[[#This Row],[Name]])</f>
        <v>#VALUE!</v>
      </c>
      <c r="I692">
        <f>IFERROR(tblPassengerNames[[#This Row],[OpenParPos]] - 2, LEN(tblPassengerNames[[#This Row],[Name]]))</f>
        <v>23</v>
      </c>
      <c r="J692" t="str">
        <f>MID(tblPassengerNames[[#This Row],[Name]], tblPassengerNames[[#This Row],[DotPos]] + 2, tblPassengerNames[[#This Row],[EndOfConvFNPos]] - tblPassengerNames[[#This Row],[DotPos]] - 1)</f>
        <v>Owen Harris</v>
      </c>
      <c r="K692" t="e">
        <f>MID(tblPassengerNames[[#This Row],[Name]], tblPassengerNames[[#This Row],[OpenParPos]] + 1, tblPassengerNames[[#This Row],[CloseParPos]] - tblPassengerNames[[#This Row],[OpenParPos]] - 1)</f>
        <v>#VALUE!</v>
      </c>
      <c r="L692" t="e">
        <f>IF(AND(LEFT(tblPassengerNames[[#This Row],[InParentheses]], 1) = "'", RIGHT(tblPassengerNames[[#This Row],[InParentheses]], 1) = "'"),
    #VALUE!,
    tblPassengerNames[[#This Row],[InParentheses]]
)</f>
        <v>#VALUE!</v>
      </c>
      <c r="M692" t="e">
        <f>LEN(tblPassengerNames[[#This Row],[InParenthesesCleaned]]) - LEN(SUBSTITUTE(tblPassengerNames[[#This Row],[InParenthesesCleaned]], " ", ""))</f>
        <v>#VALUE!</v>
      </c>
      <c r="N692" t="e">
        <f>FIND("@", SUBSTITUTE(tblPassengerNames[[#This Row],[InParenthesesCleaned]], " ", "@", tblPassengerNames[[#This Row],[P_NSpaces]]))</f>
        <v>#VALUE!</v>
      </c>
      <c r="O692" t="e">
        <f>IF(tblPassengerNames[[#This Row],[P_NSpaces]] = 0,
    tblPassengerNames[[#This Row],[InParenthesesCleaned]],
    LEFT(tblPassengerNames[[#This Row],[InParenthesesCleaned]], tblPassengerNames[[#This Row],[P_FinalSpacePos]] - 1)
)</f>
        <v>#VALUE!</v>
      </c>
      <c r="P692" t="str">
        <f>IFERROR(tblPassengerNames[[#This Row],[P_Forenames]], tblPassengerNames[[#This Row],[ConvForenames]])</f>
        <v>Owen Harris</v>
      </c>
      <c r="Q692" t="str">
        <f>MID(tblPassengerNames[[#This Row],[Name]], tblPassengerNames[[#This Row],[CommaPos]] + 2, tblPassengerNames[[#This Row],[DotPos]] - tblPassengerNames[[#This Row],[CommaPos]] - 1)</f>
        <v>Mr.</v>
      </c>
      <c r="R692" t="str">
        <f>LEFT(tblPassengerNames[[#This Row],[Name]], tblPassengerNames[[#This Row],[CommaPos]] - 1)</f>
        <v>Braund</v>
      </c>
    </row>
    <row r="693" spans="2:18" x14ac:dyDescent="0.25">
      <c r="B693" s="21">
        <v>691</v>
      </c>
      <c r="C693" s="21" t="s">
        <v>827</v>
      </c>
      <c r="D693" s="21" t="s">
        <v>138</v>
      </c>
      <c r="E693">
        <f>FIND(",", tblPassengerNames[[#This Row],[Name]])</f>
        <v>8</v>
      </c>
      <c r="F693">
        <f>FIND(".", tblPassengerNames[[#This Row],[Name]])</f>
        <v>12</v>
      </c>
      <c r="G693" t="e">
        <f>FIND("(", tblPassengerNames[[#This Row],[Name]])</f>
        <v>#VALUE!</v>
      </c>
      <c r="H693" t="e">
        <f>FIND(")", tblPassengerNames[[#This Row],[Name]])</f>
        <v>#VALUE!</v>
      </c>
      <c r="I693">
        <f>IFERROR(tblPassengerNames[[#This Row],[OpenParPos]] - 2, LEN(tblPassengerNames[[#This Row],[Name]]))</f>
        <v>24</v>
      </c>
      <c r="J693" t="str">
        <f>MID(tblPassengerNames[[#This Row],[Name]], tblPassengerNames[[#This Row],[DotPos]] + 2, tblPassengerNames[[#This Row],[EndOfConvFNPos]] - tblPassengerNames[[#This Row],[DotPos]] - 1)</f>
        <v>Karl Rudolf</v>
      </c>
      <c r="K693" t="e">
        <f>MID(tblPassengerNames[[#This Row],[Name]], tblPassengerNames[[#This Row],[OpenParPos]] + 1, tblPassengerNames[[#This Row],[CloseParPos]] - tblPassengerNames[[#This Row],[OpenParPos]] - 1)</f>
        <v>#VALUE!</v>
      </c>
      <c r="L693" t="e">
        <f>IF(AND(LEFT(tblPassengerNames[[#This Row],[InParentheses]], 1) = "'", RIGHT(tblPassengerNames[[#This Row],[InParentheses]], 1) = "'"),
    #VALUE!,
    tblPassengerNames[[#This Row],[InParentheses]]
)</f>
        <v>#VALUE!</v>
      </c>
      <c r="M693" t="e">
        <f>LEN(tblPassengerNames[[#This Row],[InParenthesesCleaned]]) - LEN(SUBSTITUTE(tblPassengerNames[[#This Row],[InParenthesesCleaned]], " ", ""))</f>
        <v>#VALUE!</v>
      </c>
      <c r="N693" t="e">
        <f>FIND("@", SUBSTITUTE(tblPassengerNames[[#This Row],[InParenthesesCleaned]], " ", "@", tblPassengerNames[[#This Row],[P_NSpaces]]))</f>
        <v>#VALUE!</v>
      </c>
      <c r="O693" t="e">
        <f>IF(tblPassengerNames[[#This Row],[P_NSpaces]] = 0,
    tblPassengerNames[[#This Row],[InParenthesesCleaned]],
    LEFT(tblPassengerNames[[#This Row],[InParenthesesCleaned]], tblPassengerNames[[#This Row],[P_FinalSpacePos]] - 1)
)</f>
        <v>#VALUE!</v>
      </c>
      <c r="P693" t="str">
        <f>IFERROR(tblPassengerNames[[#This Row],[P_Forenames]], tblPassengerNames[[#This Row],[ConvForenames]])</f>
        <v>Karl Rudolf</v>
      </c>
      <c r="Q693" t="str">
        <f>MID(tblPassengerNames[[#This Row],[Name]], tblPassengerNames[[#This Row],[CommaPos]] + 2, tblPassengerNames[[#This Row],[DotPos]] - tblPassengerNames[[#This Row],[CommaPos]] - 1)</f>
        <v>Mr.</v>
      </c>
      <c r="R693" t="str">
        <f>LEFT(tblPassengerNames[[#This Row],[Name]], tblPassengerNames[[#This Row],[CommaPos]] - 1)</f>
        <v>Brobeck</v>
      </c>
    </row>
    <row r="694" spans="2:18" x14ac:dyDescent="0.25">
      <c r="B694" s="21">
        <v>692</v>
      </c>
      <c r="C694" s="21" t="s">
        <v>828</v>
      </c>
      <c r="D694" s="21" t="s">
        <v>138</v>
      </c>
      <c r="E694">
        <f>FIND(",", tblPassengerNames[[#This Row],[Name]])</f>
        <v>12</v>
      </c>
      <c r="F694">
        <f>FIND(".", tblPassengerNames[[#This Row],[Name]])</f>
        <v>16</v>
      </c>
      <c r="G694" t="e">
        <f>FIND("(", tblPassengerNames[[#This Row],[Name]])</f>
        <v>#VALUE!</v>
      </c>
      <c r="H694" t="e">
        <f>FIND(")", tblPassengerNames[[#This Row],[Name]])</f>
        <v>#VALUE!</v>
      </c>
      <c r="I694">
        <f>IFERROR(tblPassengerNames[[#This Row],[OpenParPos]] - 2, LEN(tblPassengerNames[[#This Row],[Name]]))</f>
        <v>31</v>
      </c>
      <c r="J694" t="str">
        <f>MID(tblPassengerNames[[#This Row],[Name]], tblPassengerNames[[#This Row],[DotPos]] + 2, tblPassengerNames[[#This Row],[EndOfConvFNPos]] - tblPassengerNames[[#This Row],[DotPos]] - 1)</f>
        <v>William Alfred</v>
      </c>
      <c r="K694" t="e">
        <f>MID(tblPassengerNames[[#This Row],[Name]], tblPassengerNames[[#This Row],[OpenParPos]] + 1, tblPassengerNames[[#This Row],[CloseParPos]] - tblPassengerNames[[#This Row],[OpenParPos]] - 1)</f>
        <v>#VALUE!</v>
      </c>
      <c r="L694" t="e">
        <f>IF(AND(LEFT(tblPassengerNames[[#This Row],[InParentheses]], 1) = "'", RIGHT(tblPassengerNames[[#This Row],[InParentheses]], 1) = "'"),
    #VALUE!,
    tblPassengerNames[[#This Row],[InParentheses]]
)</f>
        <v>#VALUE!</v>
      </c>
      <c r="M694" t="e">
        <f>LEN(tblPassengerNames[[#This Row],[InParenthesesCleaned]]) - LEN(SUBSTITUTE(tblPassengerNames[[#This Row],[InParenthesesCleaned]], " ", ""))</f>
        <v>#VALUE!</v>
      </c>
      <c r="N694" t="e">
        <f>FIND("@", SUBSTITUTE(tblPassengerNames[[#This Row],[InParenthesesCleaned]], " ", "@", tblPassengerNames[[#This Row],[P_NSpaces]]))</f>
        <v>#VALUE!</v>
      </c>
      <c r="O694" t="e">
        <f>IF(tblPassengerNames[[#This Row],[P_NSpaces]] = 0,
    tblPassengerNames[[#This Row],[InParenthesesCleaned]],
    LEFT(tblPassengerNames[[#This Row],[InParenthesesCleaned]], tblPassengerNames[[#This Row],[P_FinalSpacePos]] - 1)
)</f>
        <v>#VALUE!</v>
      </c>
      <c r="P694" t="str">
        <f>IFERROR(tblPassengerNames[[#This Row],[P_Forenames]], tblPassengerNames[[#This Row],[ConvForenames]])</f>
        <v>William Alfred</v>
      </c>
      <c r="Q694" t="str">
        <f>MID(tblPassengerNames[[#This Row],[Name]], tblPassengerNames[[#This Row],[CommaPos]] + 2, tblPassengerNames[[#This Row],[DotPos]] - tblPassengerNames[[#This Row],[CommaPos]] - 1)</f>
        <v>Mr.</v>
      </c>
      <c r="R694" t="str">
        <f>LEFT(tblPassengerNames[[#This Row],[Name]], tblPassengerNames[[#This Row],[CommaPos]] - 1)</f>
        <v>Brocklebank</v>
      </c>
    </row>
    <row r="695" spans="2:18" x14ac:dyDescent="0.25">
      <c r="B695" s="21">
        <v>693</v>
      </c>
      <c r="C695" s="21" t="s">
        <v>829</v>
      </c>
      <c r="D695" s="21" t="s">
        <v>136</v>
      </c>
      <c r="E695">
        <f>FIND(",", tblPassengerNames[[#This Row],[Name]])</f>
        <v>8</v>
      </c>
      <c r="F695">
        <f>FIND(".", tblPassengerNames[[#This Row],[Name]])</f>
        <v>14</v>
      </c>
      <c r="G695" t="e">
        <f>FIND("(", tblPassengerNames[[#This Row],[Name]])</f>
        <v>#VALUE!</v>
      </c>
      <c r="H695" t="e">
        <f>FIND(")", tblPassengerNames[[#This Row],[Name]])</f>
        <v>#VALUE!</v>
      </c>
      <c r="I695">
        <f>IFERROR(tblPassengerNames[[#This Row],[OpenParPos]] - 2, LEN(tblPassengerNames[[#This Row],[Name]]))</f>
        <v>24</v>
      </c>
      <c r="J695" t="str">
        <f>MID(tblPassengerNames[[#This Row],[Name]], tblPassengerNames[[#This Row],[DotPos]] + 2, tblPassengerNames[[#This Row],[EndOfConvFNPos]] - tblPassengerNames[[#This Row],[DotPos]] - 1)</f>
        <v>Katherine</v>
      </c>
      <c r="K695" t="e">
        <f>MID(tblPassengerNames[[#This Row],[Name]], tblPassengerNames[[#This Row],[OpenParPos]] + 1, tblPassengerNames[[#This Row],[CloseParPos]] - tblPassengerNames[[#This Row],[OpenParPos]] - 1)</f>
        <v>#VALUE!</v>
      </c>
      <c r="L695" t="e">
        <f>IF(AND(LEFT(tblPassengerNames[[#This Row],[InParentheses]], 1) = "'", RIGHT(tblPassengerNames[[#This Row],[InParentheses]], 1) = "'"),
    #VALUE!,
    tblPassengerNames[[#This Row],[InParentheses]]
)</f>
        <v>#VALUE!</v>
      </c>
      <c r="M695" t="e">
        <f>LEN(tblPassengerNames[[#This Row],[InParenthesesCleaned]]) - LEN(SUBSTITUTE(tblPassengerNames[[#This Row],[InParenthesesCleaned]], " ", ""))</f>
        <v>#VALUE!</v>
      </c>
      <c r="N695" t="e">
        <f>FIND("@", SUBSTITUTE(tblPassengerNames[[#This Row],[InParenthesesCleaned]], " ", "@", tblPassengerNames[[#This Row],[P_NSpaces]]))</f>
        <v>#VALUE!</v>
      </c>
      <c r="O695" t="e">
        <f>IF(tblPassengerNames[[#This Row],[P_NSpaces]] = 0,
    tblPassengerNames[[#This Row],[InParenthesesCleaned]],
    LEFT(tblPassengerNames[[#This Row],[InParenthesesCleaned]], tblPassengerNames[[#This Row],[P_FinalSpacePos]] - 1)
)</f>
        <v>#VALUE!</v>
      </c>
      <c r="P695" t="str">
        <f>IFERROR(tblPassengerNames[[#This Row],[P_Forenames]], tblPassengerNames[[#This Row],[ConvForenames]])</f>
        <v>Katherine</v>
      </c>
      <c r="Q695" t="str">
        <f>MID(tblPassengerNames[[#This Row],[Name]], tblPassengerNames[[#This Row],[CommaPos]] + 2, tblPassengerNames[[#This Row],[DotPos]] - tblPassengerNames[[#This Row],[CommaPos]] - 1)</f>
        <v>Miss.</v>
      </c>
      <c r="R695" t="str">
        <f>LEFT(tblPassengerNames[[#This Row],[Name]], tblPassengerNames[[#This Row],[CommaPos]] - 1)</f>
        <v>Buckley</v>
      </c>
    </row>
    <row r="696" spans="2:18" x14ac:dyDescent="0.25">
      <c r="B696" s="21">
        <v>694</v>
      </c>
      <c r="C696" s="21" t="s">
        <v>830</v>
      </c>
      <c r="D696" s="21" t="s">
        <v>138</v>
      </c>
      <c r="E696">
        <f>FIND(",", tblPassengerNames[[#This Row],[Name]])</f>
        <v>8</v>
      </c>
      <c r="F696">
        <f>FIND(".", tblPassengerNames[[#This Row],[Name]])</f>
        <v>12</v>
      </c>
      <c r="G696" t="e">
        <f>FIND("(", tblPassengerNames[[#This Row],[Name]])</f>
        <v>#VALUE!</v>
      </c>
      <c r="H696" t="e">
        <f>FIND(")", tblPassengerNames[[#This Row],[Name]])</f>
        <v>#VALUE!</v>
      </c>
      <c r="I696">
        <f>IFERROR(tblPassengerNames[[#This Row],[OpenParPos]] - 2, LEN(tblPassengerNames[[#This Row],[Name]]))</f>
        <v>19</v>
      </c>
      <c r="J696" t="str">
        <f>MID(tblPassengerNames[[#This Row],[Name]], tblPassengerNames[[#This Row],[DotPos]] + 2, tblPassengerNames[[#This Row],[EndOfConvFNPos]] - tblPassengerNames[[#This Row],[DotPos]] - 1)</f>
        <v>Daniel</v>
      </c>
      <c r="K696" t="e">
        <f>MID(tblPassengerNames[[#This Row],[Name]], tblPassengerNames[[#This Row],[OpenParPos]] + 1, tblPassengerNames[[#This Row],[CloseParPos]] - tblPassengerNames[[#This Row],[OpenParPos]] - 1)</f>
        <v>#VALUE!</v>
      </c>
      <c r="L696" t="e">
        <f>IF(AND(LEFT(tblPassengerNames[[#This Row],[InParentheses]], 1) = "'", RIGHT(tblPassengerNames[[#This Row],[InParentheses]], 1) = "'"),
    #VALUE!,
    tblPassengerNames[[#This Row],[InParentheses]]
)</f>
        <v>#VALUE!</v>
      </c>
      <c r="M696" t="e">
        <f>LEN(tblPassengerNames[[#This Row],[InParenthesesCleaned]]) - LEN(SUBSTITUTE(tblPassengerNames[[#This Row],[InParenthesesCleaned]], " ", ""))</f>
        <v>#VALUE!</v>
      </c>
      <c r="N696" t="e">
        <f>FIND("@", SUBSTITUTE(tblPassengerNames[[#This Row],[InParenthesesCleaned]], " ", "@", tblPassengerNames[[#This Row],[P_NSpaces]]))</f>
        <v>#VALUE!</v>
      </c>
      <c r="O696" t="e">
        <f>IF(tblPassengerNames[[#This Row],[P_NSpaces]] = 0,
    tblPassengerNames[[#This Row],[InParenthesesCleaned]],
    LEFT(tblPassengerNames[[#This Row],[InParenthesesCleaned]], tblPassengerNames[[#This Row],[P_FinalSpacePos]] - 1)
)</f>
        <v>#VALUE!</v>
      </c>
      <c r="P696" t="str">
        <f>IFERROR(tblPassengerNames[[#This Row],[P_Forenames]], tblPassengerNames[[#This Row],[ConvForenames]])</f>
        <v>Daniel</v>
      </c>
      <c r="Q696" t="str">
        <f>MID(tblPassengerNames[[#This Row],[Name]], tblPassengerNames[[#This Row],[CommaPos]] + 2, tblPassengerNames[[#This Row],[DotPos]] - tblPassengerNames[[#This Row],[CommaPos]] - 1)</f>
        <v>Mr.</v>
      </c>
      <c r="R696" t="str">
        <f>LEFT(tblPassengerNames[[#This Row],[Name]], tblPassengerNames[[#This Row],[CommaPos]] - 1)</f>
        <v>Buckley</v>
      </c>
    </row>
    <row r="697" spans="2:18" x14ac:dyDescent="0.25">
      <c r="B697" s="21">
        <v>695</v>
      </c>
      <c r="C697" s="21" t="s">
        <v>831</v>
      </c>
      <c r="D697" s="21" t="s">
        <v>138</v>
      </c>
      <c r="E697">
        <f>FIND(",", tblPassengerNames[[#This Row],[Name]])</f>
        <v>6</v>
      </c>
      <c r="F697">
        <f>FIND(".", tblPassengerNames[[#This Row],[Name]])</f>
        <v>10</v>
      </c>
      <c r="G697" t="e">
        <f>FIND("(", tblPassengerNames[[#This Row],[Name]])</f>
        <v>#VALUE!</v>
      </c>
      <c r="H697" t="e">
        <f>FIND(")", tblPassengerNames[[#This Row],[Name]])</f>
        <v>#VALUE!</v>
      </c>
      <c r="I697">
        <f>IFERROR(tblPassengerNames[[#This Row],[OpenParPos]] - 2, LEN(tblPassengerNames[[#This Row],[Name]]))</f>
        <v>19</v>
      </c>
      <c r="J697" t="str">
        <f>MID(tblPassengerNames[[#This Row],[Name]], tblPassengerNames[[#This Row],[DotPos]] + 2, tblPassengerNames[[#This Row],[EndOfConvFNPos]] - tblPassengerNames[[#This Row],[DotPos]] - 1)</f>
        <v>Jeremiah</v>
      </c>
      <c r="K697" t="e">
        <f>MID(tblPassengerNames[[#This Row],[Name]], tblPassengerNames[[#This Row],[OpenParPos]] + 1, tblPassengerNames[[#This Row],[CloseParPos]] - tblPassengerNames[[#This Row],[OpenParPos]] - 1)</f>
        <v>#VALUE!</v>
      </c>
      <c r="L697" t="e">
        <f>IF(AND(LEFT(tblPassengerNames[[#This Row],[InParentheses]], 1) = "'", RIGHT(tblPassengerNames[[#This Row],[InParentheses]], 1) = "'"),
    #VALUE!,
    tblPassengerNames[[#This Row],[InParentheses]]
)</f>
        <v>#VALUE!</v>
      </c>
      <c r="M697" t="e">
        <f>LEN(tblPassengerNames[[#This Row],[InParenthesesCleaned]]) - LEN(SUBSTITUTE(tblPassengerNames[[#This Row],[InParenthesesCleaned]], " ", ""))</f>
        <v>#VALUE!</v>
      </c>
      <c r="N697" t="e">
        <f>FIND("@", SUBSTITUTE(tblPassengerNames[[#This Row],[InParenthesesCleaned]], " ", "@", tblPassengerNames[[#This Row],[P_NSpaces]]))</f>
        <v>#VALUE!</v>
      </c>
      <c r="O697" t="e">
        <f>IF(tblPassengerNames[[#This Row],[P_NSpaces]] = 0,
    tblPassengerNames[[#This Row],[InParenthesesCleaned]],
    LEFT(tblPassengerNames[[#This Row],[InParenthesesCleaned]], tblPassengerNames[[#This Row],[P_FinalSpacePos]] - 1)
)</f>
        <v>#VALUE!</v>
      </c>
      <c r="P697" t="str">
        <f>IFERROR(tblPassengerNames[[#This Row],[P_Forenames]], tblPassengerNames[[#This Row],[ConvForenames]])</f>
        <v>Jeremiah</v>
      </c>
      <c r="Q697" t="str">
        <f>MID(tblPassengerNames[[#This Row],[Name]], tblPassengerNames[[#This Row],[CommaPos]] + 2, tblPassengerNames[[#This Row],[DotPos]] - tblPassengerNames[[#This Row],[CommaPos]] - 1)</f>
        <v>Mr.</v>
      </c>
      <c r="R697" t="str">
        <f>LEFT(tblPassengerNames[[#This Row],[Name]], tblPassengerNames[[#This Row],[CommaPos]] - 1)</f>
        <v>Burke</v>
      </c>
    </row>
    <row r="698" spans="2:18" x14ac:dyDescent="0.25">
      <c r="B698" s="21">
        <v>696</v>
      </c>
      <c r="C698" s="21" t="s">
        <v>832</v>
      </c>
      <c r="D698" s="21" t="s">
        <v>136</v>
      </c>
      <c r="E698">
        <f>FIND(",", tblPassengerNames[[#This Row],[Name]])</f>
        <v>6</v>
      </c>
      <c r="F698">
        <f>FIND(".", tblPassengerNames[[#This Row],[Name]])</f>
        <v>12</v>
      </c>
      <c r="G698" t="e">
        <f>FIND("(", tblPassengerNames[[#This Row],[Name]])</f>
        <v>#VALUE!</v>
      </c>
      <c r="H698" t="e">
        <f>FIND(")", tblPassengerNames[[#This Row],[Name]])</f>
        <v>#VALUE!</v>
      </c>
      <c r="I698">
        <f>IFERROR(tblPassengerNames[[#This Row],[OpenParPos]] - 2, LEN(tblPassengerNames[[#This Row],[Name]]))</f>
        <v>23</v>
      </c>
      <c r="J698" t="str">
        <f>MID(tblPassengerNames[[#This Row],[Name]], tblPassengerNames[[#This Row],[DotPos]] + 2, tblPassengerNames[[#This Row],[EndOfConvFNPos]] - tblPassengerNames[[#This Row],[DotPos]] - 1)</f>
        <v>Mary Delia</v>
      </c>
      <c r="K698" t="e">
        <f>MID(tblPassengerNames[[#This Row],[Name]], tblPassengerNames[[#This Row],[OpenParPos]] + 1, tblPassengerNames[[#This Row],[CloseParPos]] - tblPassengerNames[[#This Row],[OpenParPos]] - 1)</f>
        <v>#VALUE!</v>
      </c>
      <c r="L698" t="e">
        <f>IF(AND(LEFT(tblPassengerNames[[#This Row],[InParentheses]], 1) = "'", RIGHT(tblPassengerNames[[#This Row],[InParentheses]], 1) = "'"),
    #VALUE!,
    tblPassengerNames[[#This Row],[InParentheses]]
)</f>
        <v>#VALUE!</v>
      </c>
      <c r="M698" t="e">
        <f>LEN(tblPassengerNames[[#This Row],[InParenthesesCleaned]]) - LEN(SUBSTITUTE(tblPassengerNames[[#This Row],[InParenthesesCleaned]], " ", ""))</f>
        <v>#VALUE!</v>
      </c>
      <c r="N698" t="e">
        <f>FIND("@", SUBSTITUTE(tblPassengerNames[[#This Row],[InParenthesesCleaned]], " ", "@", tblPassengerNames[[#This Row],[P_NSpaces]]))</f>
        <v>#VALUE!</v>
      </c>
      <c r="O698" t="e">
        <f>IF(tblPassengerNames[[#This Row],[P_NSpaces]] = 0,
    tblPassengerNames[[#This Row],[InParenthesesCleaned]],
    LEFT(tblPassengerNames[[#This Row],[InParenthesesCleaned]], tblPassengerNames[[#This Row],[P_FinalSpacePos]] - 1)
)</f>
        <v>#VALUE!</v>
      </c>
      <c r="P698" t="str">
        <f>IFERROR(tblPassengerNames[[#This Row],[P_Forenames]], tblPassengerNames[[#This Row],[ConvForenames]])</f>
        <v>Mary Delia</v>
      </c>
      <c r="Q698" t="str">
        <f>MID(tblPassengerNames[[#This Row],[Name]], tblPassengerNames[[#This Row],[CommaPos]] + 2, tblPassengerNames[[#This Row],[DotPos]] - tblPassengerNames[[#This Row],[CommaPos]] - 1)</f>
        <v>Miss.</v>
      </c>
      <c r="R698" t="str">
        <f>LEFT(tblPassengerNames[[#This Row],[Name]], tblPassengerNames[[#This Row],[CommaPos]] - 1)</f>
        <v>Burns</v>
      </c>
    </row>
    <row r="699" spans="2:18" x14ac:dyDescent="0.25">
      <c r="B699" s="21">
        <v>697</v>
      </c>
      <c r="C699" s="21" t="s">
        <v>833</v>
      </c>
      <c r="D699" s="21" t="s">
        <v>136</v>
      </c>
      <c r="E699">
        <f>FIND(",", tblPassengerNames[[#This Row],[Name]])</f>
        <v>6</v>
      </c>
      <c r="F699">
        <f>FIND(".", tblPassengerNames[[#This Row],[Name]])</f>
        <v>12</v>
      </c>
      <c r="G699" t="e">
        <f>FIND("(", tblPassengerNames[[#This Row],[Name]])</f>
        <v>#VALUE!</v>
      </c>
      <c r="H699" t="e">
        <f>FIND(")", tblPassengerNames[[#This Row],[Name]])</f>
        <v>#VALUE!</v>
      </c>
      <c r="I699">
        <f>IFERROR(tblPassengerNames[[#This Row],[OpenParPos]] - 2, LEN(tblPassengerNames[[#This Row],[Name]]))</f>
        <v>18</v>
      </c>
      <c r="J699" t="str">
        <f>MID(tblPassengerNames[[#This Row],[Name]], tblPassengerNames[[#This Row],[DotPos]] + 2, tblPassengerNames[[#This Row],[EndOfConvFNPos]] - tblPassengerNames[[#This Row],[DotPos]] - 1)</f>
        <v>Manda</v>
      </c>
      <c r="K699" t="e">
        <f>MID(tblPassengerNames[[#This Row],[Name]], tblPassengerNames[[#This Row],[OpenParPos]] + 1, tblPassengerNames[[#This Row],[CloseParPos]] - tblPassengerNames[[#This Row],[OpenParPos]] - 1)</f>
        <v>#VALUE!</v>
      </c>
      <c r="L699" t="e">
        <f>IF(AND(LEFT(tblPassengerNames[[#This Row],[InParentheses]], 1) = "'", RIGHT(tblPassengerNames[[#This Row],[InParentheses]], 1) = "'"),
    #VALUE!,
    tblPassengerNames[[#This Row],[InParentheses]]
)</f>
        <v>#VALUE!</v>
      </c>
      <c r="M699" t="e">
        <f>LEN(tblPassengerNames[[#This Row],[InParenthesesCleaned]]) - LEN(SUBSTITUTE(tblPassengerNames[[#This Row],[InParenthesesCleaned]], " ", ""))</f>
        <v>#VALUE!</v>
      </c>
      <c r="N699" t="e">
        <f>FIND("@", SUBSTITUTE(tblPassengerNames[[#This Row],[InParenthesesCleaned]], " ", "@", tblPassengerNames[[#This Row],[P_NSpaces]]))</f>
        <v>#VALUE!</v>
      </c>
      <c r="O699" t="e">
        <f>IF(tblPassengerNames[[#This Row],[P_NSpaces]] = 0,
    tblPassengerNames[[#This Row],[InParenthesesCleaned]],
    LEFT(tblPassengerNames[[#This Row],[InParenthesesCleaned]], tblPassengerNames[[#This Row],[P_FinalSpacePos]] - 1)
)</f>
        <v>#VALUE!</v>
      </c>
      <c r="P699" t="str">
        <f>IFERROR(tblPassengerNames[[#This Row],[P_Forenames]], tblPassengerNames[[#This Row],[ConvForenames]])</f>
        <v>Manda</v>
      </c>
      <c r="Q699" t="str">
        <f>MID(tblPassengerNames[[#This Row],[Name]], tblPassengerNames[[#This Row],[CommaPos]] + 2, tblPassengerNames[[#This Row],[DotPos]] - tblPassengerNames[[#This Row],[CommaPos]] - 1)</f>
        <v>Miss.</v>
      </c>
      <c r="R699" t="str">
        <f>LEFT(tblPassengerNames[[#This Row],[Name]], tblPassengerNames[[#This Row],[CommaPos]] - 1)</f>
        <v>Cacic</v>
      </c>
    </row>
    <row r="700" spans="2:18" x14ac:dyDescent="0.25">
      <c r="B700" s="21">
        <v>698</v>
      </c>
      <c r="C700" s="21" t="s">
        <v>834</v>
      </c>
      <c r="D700" s="21" t="s">
        <v>136</v>
      </c>
      <c r="E700">
        <f>FIND(",", tblPassengerNames[[#This Row],[Name]])</f>
        <v>6</v>
      </c>
      <c r="F700">
        <f>FIND(".", tblPassengerNames[[#This Row],[Name]])</f>
        <v>12</v>
      </c>
      <c r="G700" t="e">
        <f>FIND("(", tblPassengerNames[[#This Row],[Name]])</f>
        <v>#VALUE!</v>
      </c>
      <c r="H700" t="e">
        <f>FIND(")", tblPassengerNames[[#This Row],[Name]])</f>
        <v>#VALUE!</v>
      </c>
      <c r="I700">
        <f>IFERROR(tblPassengerNames[[#This Row],[OpenParPos]] - 2, LEN(tblPassengerNames[[#This Row],[Name]]))</f>
        <v>19</v>
      </c>
      <c r="J700" t="str">
        <f>MID(tblPassengerNames[[#This Row],[Name]], tblPassengerNames[[#This Row],[DotPos]] + 2, tblPassengerNames[[#This Row],[EndOfConvFNPos]] - tblPassengerNames[[#This Row],[DotPos]] - 1)</f>
        <v>Marija</v>
      </c>
      <c r="K700" t="e">
        <f>MID(tblPassengerNames[[#This Row],[Name]], tblPassengerNames[[#This Row],[OpenParPos]] + 1, tblPassengerNames[[#This Row],[CloseParPos]] - tblPassengerNames[[#This Row],[OpenParPos]] - 1)</f>
        <v>#VALUE!</v>
      </c>
      <c r="L700" t="e">
        <f>IF(AND(LEFT(tblPassengerNames[[#This Row],[InParentheses]], 1) = "'", RIGHT(tblPassengerNames[[#This Row],[InParentheses]], 1) = "'"),
    #VALUE!,
    tblPassengerNames[[#This Row],[InParentheses]]
)</f>
        <v>#VALUE!</v>
      </c>
      <c r="M700" t="e">
        <f>LEN(tblPassengerNames[[#This Row],[InParenthesesCleaned]]) - LEN(SUBSTITUTE(tblPassengerNames[[#This Row],[InParenthesesCleaned]], " ", ""))</f>
        <v>#VALUE!</v>
      </c>
      <c r="N700" t="e">
        <f>FIND("@", SUBSTITUTE(tblPassengerNames[[#This Row],[InParenthesesCleaned]], " ", "@", tblPassengerNames[[#This Row],[P_NSpaces]]))</f>
        <v>#VALUE!</v>
      </c>
      <c r="O700" t="e">
        <f>IF(tblPassengerNames[[#This Row],[P_NSpaces]] = 0,
    tblPassengerNames[[#This Row],[InParenthesesCleaned]],
    LEFT(tblPassengerNames[[#This Row],[InParenthesesCleaned]], tblPassengerNames[[#This Row],[P_FinalSpacePos]] - 1)
)</f>
        <v>#VALUE!</v>
      </c>
      <c r="P700" t="str">
        <f>IFERROR(tblPassengerNames[[#This Row],[P_Forenames]], tblPassengerNames[[#This Row],[ConvForenames]])</f>
        <v>Marija</v>
      </c>
      <c r="Q700" t="str">
        <f>MID(tblPassengerNames[[#This Row],[Name]], tblPassengerNames[[#This Row],[CommaPos]] + 2, tblPassengerNames[[#This Row],[DotPos]] - tblPassengerNames[[#This Row],[CommaPos]] - 1)</f>
        <v>Miss.</v>
      </c>
      <c r="R700" t="str">
        <f>LEFT(tblPassengerNames[[#This Row],[Name]], tblPassengerNames[[#This Row],[CommaPos]] - 1)</f>
        <v>Cacic</v>
      </c>
    </row>
    <row r="701" spans="2:18" x14ac:dyDescent="0.25">
      <c r="B701" s="21">
        <v>699</v>
      </c>
      <c r="C701" s="21" t="s">
        <v>835</v>
      </c>
      <c r="D701" s="21" t="s">
        <v>138</v>
      </c>
      <c r="E701">
        <f>FIND(",", tblPassengerNames[[#This Row],[Name]])</f>
        <v>6</v>
      </c>
      <c r="F701">
        <f>FIND(".", tblPassengerNames[[#This Row],[Name]])</f>
        <v>10</v>
      </c>
      <c r="G701" t="e">
        <f>FIND("(", tblPassengerNames[[#This Row],[Name]])</f>
        <v>#VALUE!</v>
      </c>
      <c r="H701" t="e">
        <f>FIND(")", tblPassengerNames[[#This Row],[Name]])</f>
        <v>#VALUE!</v>
      </c>
      <c r="I701">
        <f>IFERROR(tblPassengerNames[[#This Row],[OpenParPos]] - 2, LEN(tblPassengerNames[[#This Row],[Name]]))</f>
        <v>20</v>
      </c>
      <c r="J701" t="str">
        <f>MID(tblPassengerNames[[#This Row],[Name]], tblPassengerNames[[#This Row],[DotPos]] + 2, tblPassengerNames[[#This Row],[EndOfConvFNPos]] - tblPassengerNames[[#This Row],[DotPos]] - 1)</f>
        <v>Jego Grga</v>
      </c>
      <c r="K701" t="e">
        <f>MID(tblPassengerNames[[#This Row],[Name]], tblPassengerNames[[#This Row],[OpenParPos]] + 1, tblPassengerNames[[#This Row],[CloseParPos]] - tblPassengerNames[[#This Row],[OpenParPos]] - 1)</f>
        <v>#VALUE!</v>
      </c>
      <c r="L701" t="e">
        <f>IF(AND(LEFT(tblPassengerNames[[#This Row],[InParentheses]], 1) = "'", RIGHT(tblPassengerNames[[#This Row],[InParentheses]], 1) = "'"),
    #VALUE!,
    tblPassengerNames[[#This Row],[InParentheses]]
)</f>
        <v>#VALUE!</v>
      </c>
      <c r="M701" t="e">
        <f>LEN(tblPassengerNames[[#This Row],[InParenthesesCleaned]]) - LEN(SUBSTITUTE(tblPassengerNames[[#This Row],[InParenthesesCleaned]], " ", ""))</f>
        <v>#VALUE!</v>
      </c>
      <c r="N701" t="e">
        <f>FIND("@", SUBSTITUTE(tblPassengerNames[[#This Row],[InParenthesesCleaned]], " ", "@", tblPassengerNames[[#This Row],[P_NSpaces]]))</f>
        <v>#VALUE!</v>
      </c>
      <c r="O701" t="e">
        <f>IF(tblPassengerNames[[#This Row],[P_NSpaces]] = 0,
    tblPassengerNames[[#This Row],[InParenthesesCleaned]],
    LEFT(tblPassengerNames[[#This Row],[InParenthesesCleaned]], tblPassengerNames[[#This Row],[P_FinalSpacePos]] - 1)
)</f>
        <v>#VALUE!</v>
      </c>
      <c r="P701" t="str">
        <f>IFERROR(tblPassengerNames[[#This Row],[P_Forenames]], tblPassengerNames[[#This Row],[ConvForenames]])</f>
        <v>Jego Grga</v>
      </c>
      <c r="Q701" t="str">
        <f>MID(tblPassengerNames[[#This Row],[Name]], tblPassengerNames[[#This Row],[CommaPos]] + 2, tblPassengerNames[[#This Row],[DotPos]] - tblPassengerNames[[#This Row],[CommaPos]] - 1)</f>
        <v>Mr.</v>
      </c>
      <c r="R701" t="str">
        <f>LEFT(tblPassengerNames[[#This Row],[Name]], tblPassengerNames[[#This Row],[CommaPos]] - 1)</f>
        <v>Cacic</v>
      </c>
    </row>
    <row r="702" spans="2:18" x14ac:dyDescent="0.25">
      <c r="B702" s="21">
        <v>700</v>
      </c>
      <c r="C702" s="21" t="s">
        <v>836</v>
      </c>
      <c r="D702" s="21" t="s">
        <v>138</v>
      </c>
      <c r="E702">
        <f>FIND(",", tblPassengerNames[[#This Row],[Name]])</f>
        <v>6</v>
      </c>
      <c r="F702">
        <f>FIND(".", tblPassengerNames[[#This Row],[Name]])</f>
        <v>10</v>
      </c>
      <c r="G702" t="e">
        <f>FIND("(", tblPassengerNames[[#This Row],[Name]])</f>
        <v>#VALUE!</v>
      </c>
      <c r="H702" t="e">
        <f>FIND(")", tblPassengerNames[[#This Row],[Name]])</f>
        <v>#VALUE!</v>
      </c>
      <c r="I702">
        <f>IFERROR(tblPassengerNames[[#This Row],[OpenParPos]] - 2, LEN(tblPassengerNames[[#This Row],[Name]]))</f>
        <v>15</v>
      </c>
      <c r="J702" t="str">
        <f>MID(tblPassengerNames[[#This Row],[Name]], tblPassengerNames[[#This Row],[DotPos]] + 2, tblPassengerNames[[#This Row],[EndOfConvFNPos]] - tblPassengerNames[[#This Row],[DotPos]] - 1)</f>
        <v>Luka</v>
      </c>
      <c r="K702" t="e">
        <f>MID(tblPassengerNames[[#This Row],[Name]], tblPassengerNames[[#This Row],[OpenParPos]] + 1, tblPassengerNames[[#This Row],[CloseParPos]] - tblPassengerNames[[#This Row],[OpenParPos]] - 1)</f>
        <v>#VALUE!</v>
      </c>
      <c r="L702" t="e">
        <f>IF(AND(LEFT(tblPassengerNames[[#This Row],[InParentheses]], 1) = "'", RIGHT(tblPassengerNames[[#This Row],[InParentheses]], 1) = "'"),
    #VALUE!,
    tblPassengerNames[[#This Row],[InParentheses]]
)</f>
        <v>#VALUE!</v>
      </c>
      <c r="M702" t="e">
        <f>LEN(tblPassengerNames[[#This Row],[InParenthesesCleaned]]) - LEN(SUBSTITUTE(tblPassengerNames[[#This Row],[InParenthesesCleaned]], " ", ""))</f>
        <v>#VALUE!</v>
      </c>
      <c r="N702" t="e">
        <f>FIND("@", SUBSTITUTE(tblPassengerNames[[#This Row],[InParenthesesCleaned]], " ", "@", tblPassengerNames[[#This Row],[P_NSpaces]]))</f>
        <v>#VALUE!</v>
      </c>
      <c r="O702" t="e">
        <f>IF(tblPassengerNames[[#This Row],[P_NSpaces]] = 0,
    tblPassengerNames[[#This Row],[InParenthesesCleaned]],
    LEFT(tblPassengerNames[[#This Row],[InParenthesesCleaned]], tblPassengerNames[[#This Row],[P_FinalSpacePos]] - 1)
)</f>
        <v>#VALUE!</v>
      </c>
      <c r="P702" t="str">
        <f>IFERROR(tblPassengerNames[[#This Row],[P_Forenames]], tblPassengerNames[[#This Row],[ConvForenames]])</f>
        <v>Luka</v>
      </c>
      <c r="Q702" t="str">
        <f>MID(tblPassengerNames[[#This Row],[Name]], tblPassengerNames[[#This Row],[CommaPos]] + 2, tblPassengerNames[[#This Row],[DotPos]] - tblPassengerNames[[#This Row],[CommaPos]] - 1)</f>
        <v>Mr.</v>
      </c>
      <c r="R702" t="str">
        <f>LEFT(tblPassengerNames[[#This Row],[Name]], tblPassengerNames[[#This Row],[CommaPos]] - 1)</f>
        <v>Cacic</v>
      </c>
    </row>
    <row r="703" spans="2:18" x14ac:dyDescent="0.25">
      <c r="B703" s="21">
        <v>701</v>
      </c>
      <c r="C703" s="21" t="s">
        <v>837</v>
      </c>
      <c r="D703" s="21" t="s">
        <v>138</v>
      </c>
      <c r="E703">
        <f>FIND(",", tblPassengerNames[[#This Row],[Name]])</f>
        <v>6</v>
      </c>
      <c r="F703">
        <f>FIND(".", tblPassengerNames[[#This Row],[Name]])</f>
        <v>10</v>
      </c>
      <c r="G703" t="e">
        <f>FIND("(", tblPassengerNames[[#This Row],[Name]])</f>
        <v>#VALUE!</v>
      </c>
      <c r="H703" t="e">
        <f>FIND(")", tblPassengerNames[[#This Row],[Name]])</f>
        <v>#VALUE!</v>
      </c>
      <c r="I703">
        <f>IFERROR(tblPassengerNames[[#This Row],[OpenParPos]] - 2, LEN(tblPassengerNames[[#This Row],[Name]]))</f>
        <v>15</v>
      </c>
      <c r="J703" t="str">
        <f>MID(tblPassengerNames[[#This Row],[Name]], tblPassengerNames[[#This Row],[DotPos]] + 2, tblPassengerNames[[#This Row],[EndOfConvFNPos]] - tblPassengerNames[[#This Row],[DotPos]] - 1)</f>
        <v>Jovo</v>
      </c>
      <c r="K703" t="e">
        <f>MID(tblPassengerNames[[#This Row],[Name]], tblPassengerNames[[#This Row],[OpenParPos]] + 1, tblPassengerNames[[#This Row],[CloseParPos]] - tblPassengerNames[[#This Row],[OpenParPos]] - 1)</f>
        <v>#VALUE!</v>
      </c>
      <c r="L703" t="e">
        <f>IF(AND(LEFT(tblPassengerNames[[#This Row],[InParentheses]], 1) = "'", RIGHT(tblPassengerNames[[#This Row],[InParentheses]], 1) = "'"),
    #VALUE!,
    tblPassengerNames[[#This Row],[InParentheses]]
)</f>
        <v>#VALUE!</v>
      </c>
      <c r="M703" t="e">
        <f>LEN(tblPassengerNames[[#This Row],[InParenthesesCleaned]]) - LEN(SUBSTITUTE(tblPassengerNames[[#This Row],[InParenthesesCleaned]], " ", ""))</f>
        <v>#VALUE!</v>
      </c>
      <c r="N703" t="e">
        <f>FIND("@", SUBSTITUTE(tblPassengerNames[[#This Row],[InParenthesesCleaned]], " ", "@", tblPassengerNames[[#This Row],[P_NSpaces]]))</f>
        <v>#VALUE!</v>
      </c>
      <c r="O703" t="e">
        <f>IF(tblPassengerNames[[#This Row],[P_NSpaces]] = 0,
    tblPassengerNames[[#This Row],[InParenthesesCleaned]],
    LEFT(tblPassengerNames[[#This Row],[InParenthesesCleaned]], tblPassengerNames[[#This Row],[P_FinalSpacePos]] - 1)
)</f>
        <v>#VALUE!</v>
      </c>
      <c r="P703" t="str">
        <f>IFERROR(tblPassengerNames[[#This Row],[P_Forenames]], tblPassengerNames[[#This Row],[ConvForenames]])</f>
        <v>Jovo</v>
      </c>
      <c r="Q703" t="str">
        <f>MID(tblPassengerNames[[#This Row],[Name]], tblPassengerNames[[#This Row],[CommaPos]] + 2, tblPassengerNames[[#This Row],[DotPos]] - tblPassengerNames[[#This Row],[CommaPos]] - 1)</f>
        <v>Mr.</v>
      </c>
      <c r="R703" t="str">
        <f>LEFT(tblPassengerNames[[#This Row],[Name]], tblPassengerNames[[#This Row],[CommaPos]] - 1)</f>
        <v>Calic</v>
      </c>
    </row>
    <row r="704" spans="2:18" x14ac:dyDescent="0.25">
      <c r="B704" s="21">
        <v>702</v>
      </c>
      <c r="C704" s="21" t="s">
        <v>838</v>
      </c>
      <c r="D704" s="21" t="s">
        <v>138</v>
      </c>
      <c r="E704">
        <f>FIND(",", tblPassengerNames[[#This Row],[Name]])</f>
        <v>6</v>
      </c>
      <c r="F704">
        <f>FIND(".", tblPassengerNames[[#This Row],[Name]])</f>
        <v>10</v>
      </c>
      <c r="G704" t="e">
        <f>FIND("(", tblPassengerNames[[#This Row],[Name]])</f>
        <v>#VALUE!</v>
      </c>
      <c r="H704" t="e">
        <f>FIND(")", tblPassengerNames[[#This Row],[Name]])</f>
        <v>#VALUE!</v>
      </c>
      <c r="I704">
        <f>IFERROR(tblPassengerNames[[#This Row],[OpenParPos]] - 2, LEN(tblPassengerNames[[#This Row],[Name]]))</f>
        <v>16</v>
      </c>
      <c r="J704" t="str">
        <f>MID(tblPassengerNames[[#This Row],[Name]], tblPassengerNames[[#This Row],[DotPos]] + 2, tblPassengerNames[[#This Row],[EndOfConvFNPos]] - tblPassengerNames[[#This Row],[DotPos]] - 1)</f>
        <v>Petar</v>
      </c>
      <c r="K704" t="e">
        <f>MID(tblPassengerNames[[#This Row],[Name]], tblPassengerNames[[#This Row],[OpenParPos]] + 1, tblPassengerNames[[#This Row],[CloseParPos]] - tblPassengerNames[[#This Row],[OpenParPos]] - 1)</f>
        <v>#VALUE!</v>
      </c>
      <c r="L704" t="e">
        <f>IF(AND(LEFT(tblPassengerNames[[#This Row],[InParentheses]], 1) = "'", RIGHT(tblPassengerNames[[#This Row],[InParentheses]], 1) = "'"),
    #VALUE!,
    tblPassengerNames[[#This Row],[InParentheses]]
)</f>
        <v>#VALUE!</v>
      </c>
      <c r="M704" t="e">
        <f>LEN(tblPassengerNames[[#This Row],[InParenthesesCleaned]]) - LEN(SUBSTITUTE(tblPassengerNames[[#This Row],[InParenthesesCleaned]], " ", ""))</f>
        <v>#VALUE!</v>
      </c>
      <c r="N704" t="e">
        <f>FIND("@", SUBSTITUTE(tblPassengerNames[[#This Row],[InParenthesesCleaned]], " ", "@", tblPassengerNames[[#This Row],[P_NSpaces]]))</f>
        <v>#VALUE!</v>
      </c>
      <c r="O704" t="e">
        <f>IF(tblPassengerNames[[#This Row],[P_NSpaces]] = 0,
    tblPassengerNames[[#This Row],[InParenthesesCleaned]],
    LEFT(tblPassengerNames[[#This Row],[InParenthesesCleaned]], tblPassengerNames[[#This Row],[P_FinalSpacePos]] - 1)
)</f>
        <v>#VALUE!</v>
      </c>
      <c r="P704" t="str">
        <f>IFERROR(tblPassengerNames[[#This Row],[P_Forenames]], tblPassengerNames[[#This Row],[ConvForenames]])</f>
        <v>Petar</v>
      </c>
      <c r="Q704" t="str">
        <f>MID(tblPassengerNames[[#This Row],[Name]], tblPassengerNames[[#This Row],[CommaPos]] + 2, tblPassengerNames[[#This Row],[DotPos]] - tblPassengerNames[[#This Row],[CommaPos]] - 1)</f>
        <v>Mr.</v>
      </c>
      <c r="R704" t="str">
        <f>LEFT(tblPassengerNames[[#This Row],[Name]], tblPassengerNames[[#This Row],[CommaPos]] - 1)</f>
        <v>Calic</v>
      </c>
    </row>
    <row r="705" spans="2:18" x14ac:dyDescent="0.25">
      <c r="B705" s="21">
        <v>703</v>
      </c>
      <c r="C705" s="21" t="s">
        <v>839</v>
      </c>
      <c r="D705" s="21" t="s">
        <v>136</v>
      </c>
      <c r="E705">
        <f>FIND(",", tblPassengerNames[[#This Row],[Name]])</f>
        <v>8</v>
      </c>
      <c r="F705">
        <f>FIND(".", tblPassengerNames[[#This Row],[Name]])</f>
        <v>14</v>
      </c>
      <c r="G705" t="e">
        <f>FIND("(", tblPassengerNames[[#This Row],[Name]])</f>
        <v>#VALUE!</v>
      </c>
      <c r="H705" t="e">
        <f>FIND(")", tblPassengerNames[[#This Row],[Name]])</f>
        <v>#VALUE!</v>
      </c>
      <c r="I705">
        <f>IFERROR(tblPassengerNames[[#This Row],[OpenParPos]] - 2, LEN(tblPassengerNames[[#This Row],[Name]]))</f>
        <v>19</v>
      </c>
      <c r="J705" t="str">
        <f>MID(tblPassengerNames[[#This Row],[Name]], tblPassengerNames[[#This Row],[DotPos]] + 2, tblPassengerNames[[#This Row],[EndOfConvFNPos]] - tblPassengerNames[[#This Row],[DotPos]] - 1)</f>
        <v>Mary</v>
      </c>
      <c r="K705" t="e">
        <f>MID(tblPassengerNames[[#This Row],[Name]], tblPassengerNames[[#This Row],[OpenParPos]] + 1, tblPassengerNames[[#This Row],[CloseParPos]] - tblPassengerNames[[#This Row],[OpenParPos]] - 1)</f>
        <v>#VALUE!</v>
      </c>
      <c r="L705" t="e">
        <f>IF(AND(LEFT(tblPassengerNames[[#This Row],[InParentheses]], 1) = "'", RIGHT(tblPassengerNames[[#This Row],[InParentheses]], 1) = "'"),
    #VALUE!,
    tblPassengerNames[[#This Row],[InParentheses]]
)</f>
        <v>#VALUE!</v>
      </c>
      <c r="M705" t="e">
        <f>LEN(tblPassengerNames[[#This Row],[InParenthesesCleaned]]) - LEN(SUBSTITUTE(tblPassengerNames[[#This Row],[InParenthesesCleaned]], " ", ""))</f>
        <v>#VALUE!</v>
      </c>
      <c r="N705" t="e">
        <f>FIND("@", SUBSTITUTE(tblPassengerNames[[#This Row],[InParenthesesCleaned]], " ", "@", tblPassengerNames[[#This Row],[P_NSpaces]]))</f>
        <v>#VALUE!</v>
      </c>
      <c r="O705" t="e">
        <f>IF(tblPassengerNames[[#This Row],[P_NSpaces]] = 0,
    tblPassengerNames[[#This Row],[InParenthesesCleaned]],
    LEFT(tblPassengerNames[[#This Row],[InParenthesesCleaned]], tblPassengerNames[[#This Row],[P_FinalSpacePos]] - 1)
)</f>
        <v>#VALUE!</v>
      </c>
      <c r="P705" t="str">
        <f>IFERROR(tblPassengerNames[[#This Row],[P_Forenames]], tblPassengerNames[[#This Row],[ConvForenames]])</f>
        <v>Mary</v>
      </c>
      <c r="Q705" t="str">
        <f>MID(tblPassengerNames[[#This Row],[Name]], tblPassengerNames[[#This Row],[CommaPos]] + 2, tblPassengerNames[[#This Row],[DotPos]] - tblPassengerNames[[#This Row],[CommaPos]] - 1)</f>
        <v>Miss.</v>
      </c>
      <c r="R705" t="str">
        <f>LEFT(tblPassengerNames[[#This Row],[Name]], tblPassengerNames[[#This Row],[CommaPos]] - 1)</f>
        <v>Canavan</v>
      </c>
    </row>
    <row r="706" spans="2:18" x14ac:dyDescent="0.25">
      <c r="B706" s="21">
        <v>704</v>
      </c>
      <c r="C706" s="21" t="s">
        <v>840</v>
      </c>
      <c r="D706" s="21" t="s">
        <v>138</v>
      </c>
      <c r="E706">
        <f>FIND(",", tblPassengerNames[[#This Row],[Name]])</f>
        <v>8</v>
      </c>
      <c r="F706">
        <f>FIND(".", tblPassengerNames[[#This Row],[Name]])</f>
        <v>12</v>
      </c>
      <c r="G706" t="e">
        <f>FIND("(", tblPassengerNames[[#This Row],[Name]])</f>
        <v>#VALUE!</v>
      </c>
      <c r="H706" t="e">
        <f>FIND(")", tblPassengerNames[[#This Row],[Name]])</f>
        <v>#VALUE!</v>
      </c>
      <c r="I706">
        <f>IFERROR(tblPassengerNames[[#This Row],[OpenParPos]] - 2, LEN(tblPassengerNames[[#This Row],[Name]]))</f>
        <v>20</v>
      </c>
      <c r="J706" t="str">
        <f>MID(tblPassengerNames[[#This Row],[Name]], tblPassengerNames[[#This Row],[DotPos]] + 2, tblPassengerNames[[#This Row],[EndOfConvFNPos]] - tblPassengerNames[[#This Row],[DotPos]] - 1)</f>
        <v>Patrick</v>
      </c>
      <c r="K706" t="e">
        <f>MID(tblPassengerNames[[#This Row],[Name]], tblPassengerNames[[#This Row],[OpenParPos]] + 1, tblPassengerNames[[#This Row],[CloseParPos]] - tblPassengerNames[[#This Row],[OpenParPos]] - 1)</f>
        <v>#VALUE!</v>
      </c>
      <c r="L706" t="e">
        <f>IF(AND(LEFT(tblPassengerNames[[#This Row],[InParentheses]], 1) = "'", RIGHT(tblPassengerNames[[#This Row],[InParentheses]], 1) = "'"),
    #VALUE!,
    tblPassengerNames[[#This Row],[InParentheses]]
)</f>
        <v>#VALUE!</v>
      </c>
      <c r="M706" t="e">
        <f>LEN(tblPassengerNames[[#This Row],[InParenthesesCleaned]]) - LEN(SUBSTITUTE(tblPassengerNames[[#This Row],[InParenthesesCleaned]], " ", ""))</f>
        <v>#VALUE!</v>
      </c>
      <c r="N706" t="e">
        <f>FIND("@", SUBSTITUTE(tblPassengerNames[[#This Row],[InParenthesesCleaned]], " ", "@", tblPassengerNames[[#This Row],[P_NSpaces]]))</f>
        <v>#VALUE!</v>
      </c>
      <c r="O706" t="e">
        <f>IF(tblPassengerNames[[#This Row],[P_NSpaces]] = 0,
    tblPassengerNames[[#This Row],[InParenthesesCleaned]],
    LEFT(tblPassengerNames[[#This Row],[InParenthesesCleaned]], tblPassengerNames[[#This Row],[P_FinalSpacePos]] - 1)
)</f>
        <v>#VALUE!</v>
      </c>
      <c r="P706" t="str">
        <f>IFERROR(tblPassengerNames[[#This Row],[P_Forenames]], tblPassengerNames[[#This Row],[ConvForenames]])</f>
        <v>Patrick</v>
      </c>
      <c r="Q706" t="str">
        <f>MID(tblPassengerNames[[#This Row],[Name]], tblPassengerNames[[#This Row],[CommaPos]] + 2, tblPassengerNames[[#This Row],[DotPos]] - tblPassengerNames[[#This Row],[CommaPos]] - 1)</f>
        <v>Mr.</v>
      </c>
      <c r="R706" t="str">
        <f>LEFT(tblPassengerNames[[#This Row],[Name]], tblPassengerNames[[#This Row],[CommaPos]] - 1)</f>
        <v>Canavan</v>
      </c>
    </row>
    <row r="707" spans="2:18" x14ac:dyDescent="0.25">
      <c r="B707" s="21">
        <v>705</v>
      </c>
      <c r="C707" s="21" t="s">
        <v>841</v>
      </c>
      <c r="D707" s="21" t="s">
        <v>138</v>
      </c>
      <c r="E707">
        <f>FIND(",", tblPassengerNames[[#This Row],[Name]])</f>
        <v>5</v>
      </c>
      <c r="F707">
        <f>FIND(".", tblPassengerNames[[#This Row],[Name]])</f>
        <v>9</v>
      </c>
      <c r="G707" t="e">
        <f>FIND("(", tblPassengerNames[[#This Row],[Name]])</f>
        <v>#VALUE!</v>
      </c>
      <c r="H707" t="e">
        <f>FIND(")", tblPassengerNames[[#This Row],[Name]])</f>
        <v>#VALUE!</v>
      </c>
      <c r="I707">
        <f>IFERROR(tblPassengerNames[[#This Row],[OpenParPos]] - 2, LEN(tblPassengerNames[[#This Row],[Name]]))</f>
        <v>24</v>
      </c>
      <c r="J707" t="str">
        <f>MID(tblPassengerNames[[#This Row],[Name]], tblPassengerNames[[#This Row],[DotPos]] + 2, tblPassengerNames[[#This Row],[EndOfConvFNPos]] - tblPassengerNames[[#This Row],[DotPos]] - 1)</f>
        <v>Ernest Charles</v>
      </c>
      <c r="K707" t="e">
        <f>MID(tblPassengerNames[[#This Row],[Name]], tblPassengerNames[[#This Row],[OpenParPos]] + 1, tblPassengerNames[[#This Row],[CloseParPos]] - tblPassengerNames[[#This Row],[OpenParPos]] - 1)</f>
        <v>#VALUE!</v>
      </c>
      <c r="L707" t="e">
        <f>IF(AND(LEFT(tblPassengerNames[[#This Row],[InParentheses]], 1) = "'", RIGHT(tblPassengerNames[[#This Row],[InParentheses]], 1) = "'"),
    #VALUE!,
    tblPassengerNames[[#This Row],[InParentheses]]
)</f>
        <v>#VALUE!</v>
      </c>
      <c r="M707" t="e">
        <f>LEN(tblPassengerNames[[#This Row],[InParenthesesCleaned]]) - LEN(SUBSTITUTE(tblPassengerNames[[#This Row],[InParenthesesCleaned]], " ", ""))</f>
        <v>#VALUE!</v>
      </c>
      <c r="N707" t="e">
        <f>FIND("@", SUBSTITUTE(tblPassengerNames[[#This Row],[InParenthesesCleaned]], " ", "@", tblPassengerNames[[#This Row],[P_NSpaces]]))</f>
        <v>#VALUE!</v>
      </c>
      <c r="O707" t="e">
        <f>IF(tblPassengerNames[[#This Row],[P_NSpaces]] = 0,
    tblPassengerNames[[#This Row],[InParenthesesCleaned]],
    LEFT(tblPassengerNames[[#This Row],[InParenthesesCleaned]], tblPassengerNames[[#This Row],[P_FinalSpacePos]] - 1)
)</f>
        <v>#VALUE!</v>
      </c>
      <c r="P707" t="str">
        <f>IFERROR(tblPassengerNames[[#This Row],[P_Forenames]], tblPassengerNames[[#This Row],[ConvForenames]])</f>
        <v>Ernest Charles</v>
      </c>
      <c r="Q707" t="str">
        <f>MID(tblPassengerNames[[#This Row],[Name]], tblPassengerNames[[#This Row],[CommaPos]] + 2, tblPassengerNames[[#This Row],[DotPos]] - tblPassengerNames[[#This Row],[CommaPos]] - 1)</f>
        <v>Mr.</v>
      </c>
      <c r="R707" t="str">
        <f>LEFT(tblPassengerNames[[#This Row],[Name]], tblPassengerNames[[#This Row],[CommaPos]] - 1)</f>
        <v>Cann</v>
      </c>
    </row>
    <row r="708" spans="2:18" x14ac:dyDescent="0.25">
      <c r="B708" s="21">
        <v>706</v>
      </c>
      <c r="C708" s="21" t="s">
        <v>842</v>
      </c>
      <c r="D708" s="21" t="s">
        <v>138</v>
      </c>
      <c r="E708">
        <f>FIND(",", tblPassengerNames[[#This Row],[Name]])</f>
        <v>6</v>
      </c>
      <c r="F708">
        <f>FIND(".", tblPassengerNames[[#This Row],[Name]])</f>
        <v>10</v>
      </c>
      <c r="G708" t="e">
        <f>FIND("(", tblPassengerNames[[#This Row],[Name]])</f>
        <v>#VALUE!</v>
      </c>
      <c r="H708" t="e">
        <f>FIND(")", tblPassengerNames[[#This Row],[Name]])</f>
        <v>#VALUE!</v>
      </c>
      <c r="I708">
        <f>IFERROR(tblPassengerNames[[#This Row],[OpenParPos]] - 2, LEN(tblPassengerNames[[#This Row],[Name]]))</f>
        <v>17</v>
      </c>
      <c r="J708" t="str">
        <f>MID(tblPassengerNames[[#This Row],[Name]], tblPassengerNames[[#This Row],[DotPos]] + 2, tblPassengerNames[[#This Row],[EndOfConvFNPos]] - tblPassengerNames[[#This Row],[DotPos]] - 1)</f>
        <v>Joseph</v>
      </c>
      <c r="K708" t="e">
        <f>MID(tblPassengerNames[[#This Row],[Name]], tblPassengerNames[[#This Row],[OpenParPos]] + 1, tblPassengerNames[[#This Row],[CloseParPos]] - tblPassengerNames[[#This Row],[OpenParPos]] - 1)</f>
        <v>#VALUE!</v>
      </c>
      <c r="L708" t="e">
        <f>IF(AND(LEFT(tblPassengerNames[[#This Row],[InParentheses]], 1) = "'", RIGHT(tblPassengerNames[[#This Row],[InParentheses]], 1) = "'"),
    #VALUE!,
    tblPassengerNames[[#This Row],[InParentheses]]
)</f>
        <v>#VALUE!</v>
      </c>
      <c r="M708" t="e">
        <f>LEN(tblPassengerNames[[#This Row],[InParenthesesCleaned]]) - LEN(SUBSTITUTE(tblPassengerNames[[#This Row],[InParenthesesCleaned]], " ", ""))</f>
        <v>#VALUE!</v>
      </c>
      <c r="N708" t="e">
        <f>FIND("@", SUBSTITUTE(tblPassengerNames[[#This Row],[InParenthesesCleaned]], " ", "@", tblPassengerNames[[#This Row],[P_NSpaces]]))</f>
        <v>#VALUE!</v>
      </c>
      <c r="O708" t="e">
        <f>IF(tblPassengerNames[[#This Row],[P_NSpaces]] = 0,
    tblPassengerNames[[#This Row],[InParenthesesCleaned]],
    LEFT(tblPassengerNames[[#This Row],[InParenthesesCleaned]], tblPassengerNames[[#This Row],[P_FinalSpacePos]] - 1)
)</f>
        <v>#VALUE!</v>
      </c>
      <c r="P708" t="str">
        <f>IFERROR(tblPassengerNames[[#This Row],[P_Forenames]], tblPassengerNames[[#This Row],[ConvForenames]])</f>
        <v>Joseph</v>
      </c>
      <c r="Q708" t="str">
        <f>MID(tblPassengerNames[[#This Row],[Name]], tblPassengerNames[[#This Row],[CommaPos]] + 2, tblPassengerNames[[#This Row],[DotPos]] - tblPassengerNames[[#This Row],[CommaPos]] - 1)</f>
        <v>Mr.</v>
      </c>
      <c r="R708" t="str">
        <f>LEFT(tblPassengerNames[[#This Row],[Name]], tblPassengerNames[[#This Row],[CommaPos]] - 1)</f>
        <v>Caram</v>
      </c>
    </row>
    <row r="709" spans="2:18" x14ac:dyDescent="0.25">
      <c r="B709" s="21">
        <v>707</v>
      </c>
      <c r="C709" s="21" t="s">
        <v>843</v>
      </c>
      <c r="D709" s="21" t="s">
        <v>136</v>
      </c>
      <c r="E709">
        <f>FIND(",", tblPassengerNames[[#This Row],[Name]])</f>
        <v>6</v>
      </c>
      <c r="F709">
        <f>FIND(".", tblPassengerNames[[#This Row],[Name]])</f>
        <v>11</v>
      </c>
      <c r="G709">
        <f>FIND("(", tblPassengerNames[[#This Row],[Name]])</f>
        <v>20</v>
      </c>
      <c r="H709">
        <f>FIND(")", tblPassengerNames[[#This Row],[Name]])</f>
        <v>32</v>
      </c>
      <c r="I709">
        <f>IFERROR(tblPassengerNames[[#This Row],[OpenParPos]] - 2, LEN(tblPassengerNames[[#This Row],[Name]]))</f>
        <v>18</v>
      </c>
      <c r="J709" t="str">
        <f>MID(tblPassengerNames[[#This Row],[Name]], tblPassengerNames[[#This Row],[DotPos]] + 2, tblPassengerNames[[#This Row],[EndOfConvFNPos]] - tblPassengerNames[[#This Row],[DotPos]] - 1)</f>
        <v>Joseph</v>
      </c>
      <c r="K709" t="str">
        <f>MID(tblPassengerNames[[#This Row],[Name]], tblPassengerNames[[#This Row],[OpenParPos]] + 1, tblPassengerNames[[#This Row],[CloseParPos]] - tblPassengerNames[[#This Row],[OpenParPos]] - 1)</f>
        <v>Maria Elias</v>
      </c>
      <c r="L709" t="str">
        <f>IF(AND(LEFT(tblPassengerNames[[#This Row],[InParentheses]], 1) = "'", RIGHT(tblPassengerNames[[#This Row],[InParentheses]], 1) = "'"),
    #VALUE!,
    tblPassengerNames[[#This Row],[InParentheses]]
)</f>
        <v>Maria Elias</v>
      </c>
      <c r="M709">
        <f>LEN(tblPassengerNames[[#This Row],[InParenthesesCleaned]]) - LEN(SUBSTITUTE(tblPassengerNames[[#This Row],[InParenthesesCleaned]], " ", ""))</f>
        <v>1</v>
      </c>
      <c r="N709">
        <f>FIND("@", SUBSTITUTE(tblPassengerNames[[#This Row],[InParenthesesCleaned]], " ", "@", tblPassengerNames[[#This Row],[P_NSpaces]]))</f>
        <v>6</v>
      </c>
      <c r="O709" t="str">
        <f>IF(tblPassengerNames[[#This Row],[P_NSpaces]] = 0,
    tblPassengerNames[[#This Row],[InParenthesesCleaned]],
    LEFT(tblPassengerNames[[#This Row],[InParenthesesCleaned]], tblPassengerNames[[#This Row],[P_FinalSpacePos]] - 1)
)</f>
        <v>Maria</v>
      </c>
      <c r="P709" t="str">
        <f>IFERROR(tblPassengerNames[[#This Row],[P_Forenames]], tblPassengerNames[[#This Row],[ConvForenames]])</f>
        <v>Maria</v>
      </c>
      <c r="Q709" t="str">
        <f>MID(tblPassengerNames[[#This Row],[Name]], tblPassengerNames[[#This Row],[CommaPos]] + 2, tblPassengerNames[[#This Row],[DotPos]] - tblPassengerNames[[#This Row],[CommaPos]] - 1)</f>
        <v>Mrs.</v>
      </c>
      <c r="R709" t="str">
        <f>LEFT(tblPassengerNames[[#This Row],[Name]], tblPassengerNames[[#This Row],[CommaPos]] - 1)</f>
        <v>Caram</v>
      </c>
    </row>
    <row r="710" spans="2:18" x14ac:dyDescent="0.25">
      <c r="B710" s="21">
        <v>708</v>
      </c>
      <c r="C710" s="21" t="s">
        <v>844</v>
      </c>
      <c r="D710" s="21" t="s">
        <v>138</v>
      </c>
      <c r="E710">
        <f>FIND(",", tblPassengerNames[[#This Row],[Name]])</f>
        <v>9</v>
      </c>
      <c r="F710">
        <f>FIND(".", tblPassengerNames[[#This Row],[Name]])</f>
        <v>13</v>
      </c>
      <c r="G710" t="e">
        <f>FIND("(", tblPassengerNames[[#This Row],[Name]])</f>
        <v>#VALUE!</v>
      </c>
      <c r="H710" t="e">
        <f>FIND(")", tblPassengerNames[[#This Row],[Name]])</f>
        <v>#VALUE!</v>
      </c>
      <c r="I710">
        <f>IFERROR(tblPassengerNames[[#This Row],[OpenParPos]] - 2, LEN(tblPassengerNames[[#This Row],[Name]]))</f>
        <v>28</v>
      </c>
      <c r="J710" t="str">
        <f>MID(tblPassengerNames[[#This Row],[Name]], tblPassengerNames[[#This Row],[DotPos]] + 2, tblPassengerNames[[#This Row],[EndOfConvFNPos]] - tblPassengerNames[[#This Row],[DotPos]] - 1)</f>
        <v>August Sigfrid</v>
      </c>
      <c r="K710" t="e">
        <f>MID(tblPassengerNames[[#This Row],[Name]], tblPassengerNames[[#This Row],[OpenParPos]] + 1, tblPassengerNames[[#This Row],[CloseParPos]] - tblPassengerNames[[#This Row],[OpenParPos]] - 1)</f>
        <v>#VALUE!</v>
      </c>
      <c r="L710" t="e">
        <f>IF(AND(LEFT(tblPassengerNames[[#This Row],[InParentheses]], 1) = "'", RIGHT(tblPassengerNames[[#This Row],[InParentheses]], 1) = "'"),
    #VALUE!,
    tblPassengerNames[[#This Row],[InParentheses]]
)</f>
        <v>#VALUE!</v>
      </c>
      <c r="M710" t="e">
        <f>LEN(tblPassengerNames[[#This Row],[InParenthesesCleaned]]) - LEN(SUBSTITUTE(tblPassengerNames[[#This Row],[InParenthesesCleaned]], " ", ""))</f>
        <v>#VALUE!</v>
      </c>
      <c r="N710" t="e">
        <f>FIND("@", SUBSTITUTE(tblPassengerNames[[#This Row],[InParenthesesCleaned]], " ", "@", tblPassengerNames[[#This Row],[P_NSpaces]]))</f>
        <v>#VALUE!</v>
      </c>
      <c r="O710" t="e">
        <f>IF(tblPassengerNames[[#This Row],[P_NSpaces]] = 0,
    tblPassengerNames[[#This Row],[InParenthesesCleaned]],
    LEFT(tblPassengerNames[[#This Row],[InParenthesesCleaned]], tblPassengerNames[[#This Row],[P_FinalSpacePos]] - 1)
)</f>
        <v>#VALUE!</v>
      </c>
      <c r="P710" t="str">
        <f>IFERROR(tblPassengerNames[[#This Row],[P_Forenames]], tblPassengerNames[[#This Row],[ConvForenames]])</f>
        <v>August Sigfrid</v>
      </c>
      <c r="Q710" t="str">
        <f>MID(tblPassengerNames[[#This Row],[Name]], tblPassengerNames[[#This Row],[CommaPos]] + 2, tblPassengerNames[[#This Row],[DotPos]] - tblPassengerNames[[#This Row],[CommaPos]] - 1)</f>
        <v>Mr.</v>
      </c>
      <c r="R710" t="str">
        <f>LEFT(tblPassengerNames[[#This Row],[Name]], tblPassengerNames[[#This Row],[CommaPos]] - 1)</f>
        <v>Carlsson</v>
      </c>
    </row>
    <row r="711" spans="2:18" x14ac:dyDescent="0.25">
      <c r="B711" s="21">
        <v>709</v>
      </c>
      <c r="C711" s="21" t="s">
        <v>845</v>
      </c>
      <c r="D711" s="21" t="s">
        <v>138</v>
      </c>
      <c r="E711">
        <f>FIND(",", tblPassengerNames[[#This Row],[Name]])</f>
        <v>9</v>
      </c>
      <c r="F711">
        <f>FIND(".", tblPassengerNames[[#This Row],[Name]])</f>
        <v>13</v>
      </c>
      <c r="G711" t="e">
        <f>FIND("(", tblPassengerNames[[#This Row],[Name]])</f>
        <v>#VALUE!</v>
      </c>
      <c r="H711" t="e">
        <f>FIND(")", tblPassengerNames[[#This Row],[Name]])</f>
        <v>#VALUE!</v>
      </c>
      <c r="I711">
        <f>IFERROR(tblPassengerNames[[#This Row],[OpenParPos]] - 2, LEN(tblPassengerNames[[#This Row],[Name]]))</f>
        <v>25</v>
      </c>
      <c r="J711" t="str">
        <f>MID(tblPassengerNames[[#This Row],[Name]], tblPassengerNames[[#This Row],[DotPos]] + 2, tblPassengerNames[[#This Row],[EndOfConvFNPos]] - tblPassengerNames[[#This Row],[DotPos]] - 1)</f>
        <v>Carl Robert</v>
      </c>
      <c r="K711" t="e">
        <f>MID(tblPassengerNames[[#This Row],[Name]], tblPassengerNames[[#This Row],[OpenParPos]] + 1, tblPassengerNames[[#This Row],[CloseParPos]] - tblPassengerNames[[#This Row],[OpenParPos]] - 1)</f>
        <v>#VALUE!</v>
      </c>
      <c r="L711" t="e">
        <f>IF(AND(LEFT(tblPassengerNames[[#This Row],[InParentheses]], 1) = "'", RIGHT(tblPassengerNames[[#This Row],[InParentheses]], 1) = "'"),
    #VALUE!,
    tblPassengerNames[[#This Row],[InParentheses]]
)</f>
        <v>#VALUE!</v>
      </c>
      <c r="M711" t="e">
        <f>LEN(tblPassengerNames[[#This Row],[InParenthesesCleaned]]) - LEN(SUBSTITUTE(tblPassengerNames[[#This Row],[InParenthesesCleaned]], " ", ""))</f>
        <v>#VALUE!</v>
      </c>
      <c r="N711" t="e">
        <f>FIND("@", SUBSTITUTE(tblPassengerNames[[#This Row],[InParenthesesCleaned]], " ", "@", tblPassengerNames[[#This Row],[P_NSpaces]]))</f>
        <v>#VALUE!</v>
      </c>
      <c r="O711" t="e">
        <f>IF(tblPassengerNames[[#This Row],[P_NSpaces]] = 0,
    tblPassengerNames[[#This Row],[InParenthesesCleaned]],
    LEFT(tblPassengerNames[[#This Row],[InParenthesesCleaned]], tblPassengerNames[[#This Row],[P_FinalSpacePos]] - 1)
)</f>
        <v>#VALUE!</v>
      </c>
      <c r="P711" t="str">
        <f>IFERROR(tblPassengerNames[[#This Row],[P_Forenames]], tblPassengerNames[[#This Row],[ConvForenames]])</f>
        <v>Carl Robert</v>
      </c>
      <c r="Q711" t="str">
        <f>MID(tblPassengerNames[[#This Row],[Name]], tblPassengerNames[[#This Row],[CommaPos]] + 2, tblPassengerNames[[#This Row],[DotPos]] - tblPassengerNames[[#This Row],[CommaPos]] - 1)</f>
        <v>Mr.</v>
      </c>
      <c r="R711" t="str">
        <f>LEFT(tblPassengerNames[[#This Row],[Name]], tblPassengerNames[[#This Row],[CommaPos]] - 1)</f>
        <v>Carlsson</v>
      </c>
    </row>
    <row r="712" spans="2:18" x14ac:dyDescent="0.25">
      <c r="B712" s="21">
        <v>710</v>
      </c>
      <c r="C712" s="21" t="s">
        <v>846</v>
      </c>
      <c r="D712" s="21" t="s">
        <v>136</v>
      </c>
      <c r="E712">
        <f>FIND(",", tblPassengerNames[[#This Row],[Name]])</f>
        <v>5</v>
      </c>
      <c r="F712">
        <f>FIND(".", tblPassengerNames[[#This Row],[Name]])</f>
        <v>11</v>
      </c>
      <c r="G712" t="e">
        <f>FIND("(", tblPassengerNames[[#This Row],[Name]])</f>
        <v>#VALUE!</v>
      </c>
      <c r="H712" t="e">
        <f>FIND(")", tblPassengerNames[[#This Row],[Name]])</f>
        <v>#VALUE!</v>
      </c>
      <c r="I712">
        <f>IFERROR(tblPassengerNames[[#This Row],[OpenParPos]] - 2, LEN(tblPassengerNames[[#This Row],[Name]]))</f>
        <v>25</v>
      </c>
      <c r="J712" t="str">
        <f>MID(tblPassengerNames[[#This Row],[Name]], tblPassengerNames[[#This Row],[DotPos]] + 2, tblPassengerNames[[#This Row],[EndOfConvFNPos]] - tblPassengerNames[[#This Row],[DotPos]] - 1)</f>
        <v>Helen 'Ellen'</v>
      </c>
      <c r="K712" t="e">
        <f>MID(tblPassengerNames[[#This Row],[Name]], tblPassengerNames[[#This Row],[OpenParPos]] + 1, tblPassengerNames[[#This Row],[CloseParPos]] - tblPassengerNames[[#This Row],[OpenParPos]] - 1)</f>
        <v>#VALUE!</v>
      </c>
      <c r="L712" t="e">
        <f>IF(AND(LEFT(tblPassengerNames[[#This Row],[InParentheses]], 1) = "'", RIGHT(tblPassengerNames[[#This Row],[InParentheses]], 1) = "'"),
    #VALUE!,
    tblPassengerNames[[#This Row],[InParentheses]]
)</f>
        <v>#VALUE!</v>
      </c>
      <c r="M712" t="e">
        <f>LEN(tblPassengerNames[[#This Row],[InParenthesesCleaned]]) - LEN(SUBSTITUTE(tblPassengerNames[[#This Row],[InParenthesesCleaned]], " ", ""))</f>
        <v>#VALUE!</v>
      </c>
      <c r="N712" t="e">
        <f>FIND("@", SUBSTITUTE(tblPassengerNames[[#This Row],[InParenthesesCleaned]], " ", "@", tblPassengerNames[[#This Row],[P_NSpaces]]))</f>
        <v>#VALUE!</v>
      </c>
      <c r="O712" t="e">
        <f>IF(tblPassengerNames[[#This Row],[P_NSpaces]] = 0,
    tblPassengerNames[[#This Row],[InParenthesesCleaned]],
    LEFT(tblPassengerNames[[#This Row],[InParenthesesCleaned]], tblPassengerNames[[#This Row],[P_FinalSpacePos]] - 1)
)</f>
        <v>#VALUE!</v>
      </c>
      <c r="P712" t="str">
        <f>IFERROR(tblPassengerNames[[#This Row],[P_Forenames]], tblPassengerNames[[#This Row],[ConvForenames]])</f>
        <v>Helen 'Ellen'</v>
      </c>
      <c r="Q712" t="str">
        <f>MID(tblPassengerNames[[#This Row],[Name]], tblPassengerNames[[#This Row],[CommaPos]] + 2, tblPassengerNames[[#This Row],[DotPos]] - tblPassengerNames[[#This Row],[CommaPos]] - 1)</f>
        <v>Miss.</v>
      </c>
      <c r="R712" t="str">
        <f>LEFT(tblPassengerNames[[#This Row],[Name]], tblPassengerNames[[#This Row],[CommaPos]] - 1)</f>
        <v>Carr</v>
      </c>
    </row>
    <row r="713" spans="2:18" x14ac:dyDescent="0.25">
      <c r="B713" s="21">
        <v>711</v>
      </c>
      <c r="C713" s="21" t="s">
        <v>847</v>
      </c>
      <c r="D713" s="21" t="s">
        <v>136</v>
      </c>
      <c r="E713">
        <f>FIND(",", tblPassengerNames[[#This Row],[Name]])</f>
        <v>5</v>
      </c>
      <c r="F713">
        <f>FIND(".", tblPassengerNames[[#This Row],[Name]])</f>
        <v>11</v>
      </c>
      <c r="G713" t="e">
        <f>FIND("(", tblPassengerNames[[#This Row],[Name]])</f>
        <v>#VALUE!</v>
      </c>
      <c r="H713" t="e">
        <f>FIND(")", tblPassengerNames[[#This Row],[Name]])</f>
        <v>#VALUE!</v>
      </c>
      <c r="I713">
        <f>IFERROR(tblPassengerNames[[#This Row],[OpenParPos]] - 2, LEN(tblPassengerNames[[#This Row],[Name]]))</f>
        <v>19</v>
      </c>
      <c r="J713" t="str">
        <f>MID(tblPassengerNames[[#This Row],[Name]], tblPassengerNames[[#This Row],[DotPos]] + 2, tblPassengerNames[[#This Row],[EndOfConvFNPos]] - tblPassengerNames[[#This Row],[DotPos]] - 1)</f>
        <v>Jeannie</v>
      </c>
      <c r="K713" t="e">
        <f>MID(tblPassengerNames[[#This Row],[Name]], tblPassengerNames[[#This Row],[OpenParPos]] + 1, tblPassengerNames[[#This Row],[CloseParPos]] - tblPassengerNames[[#This Row],[OpenParPos]] - 1)</f>
        <v>#VALUE!</v>
      </c>
      <c r="L713" t="e">
        <f>IF(AND(LEFT(tblPassengerNames[[#This Row],[InParentheses]], 1) = "'", RIGHT(tblPassengerNames[[#This Row],[InParentheses]], 1) = "'"),
    #VALUE!,
    tblPassengerNames[[#This Row],[InParentheses]]
)</f>
        <v>#VALUE!</v>
      </c>
      <c r="M713" t="e">
        <f>LEN(tblPassengerNames[[#This Row],[InParenthesesCleaned]]) - LEN(SUBSTITUTE(tblPassengerNames[[#This Row],[InParenthesesCleaned]], " ", ""))</f>
        <v>#VALUE!</v>
      </c>
      <c r="N713" t="e">
        <f>FIND("@", SUBSTITUTE(tblPassengerNames[[#This Row],[InParenthesesCleaned]], " ", "@", tblPassengerNames[[#This Row],[P_NSpaces]]))</f>
        <v>#VALUE!</v>
      </c>
      <c r="O713" t="e">
        <f>IF(tblPassengerNames[[#This Row],[P_NSpaces]] = 0,
    tblPassengerNames[[#This Row],[InParenthesesCleaned]],
    LEFT(tblPassengerNames[[#This Row],[InParenthesesCleaned]], tblPassengerNames[[#This Row],[P_FinalSpacePos]] - 1)
)</f>
        <v>#VALUE!</v>
      </c>
      <c r="P713" t="str">
        <f>IFERROR(tblPassengerNames[[#This Row],[P_Forenames]], tblPassengerNames[[#This Row],[ConvForenames]])</f>
        <v>Jeannie</v>
      </c>
      <c r="Q713" t="str">
        <f>MID(tblPassengerNames[[#This Row],[Name]], tblPassengerNames[[#This Row],[CommaPos]] + 2, tblPassengerNames[[#This Row],[DotPos]] - tblPassengerNames[[#This Row],[CommaPos]] - 1)</f>
        <v>Miss.</v>
      </c>
      <c r="R713" t="str">
        <f>LEFT(tblPassengerNames[[#This Row],[Name]], tblPassengerNames[[#This Row],[CommaPos]] - 1)</f>
        <v>Carr</v>
      </c>
    </row>
    <row r="714" spans="2:18" x14ac:dyDescent="0.25">
      <c r="B714" s="21">
        <v>712</v>
      </c>
      <c r="C714" s="21" t="s">
        <v>848</v>
      </c>
      <c r="D714" s="21" t="s">
        <v>138</v>
      </c>
      <c r="E714">
        <f>FIND(",", tblPassengerNames[[#This Row],[Name]])</f>
        <v>7</v>
      </c>
      <c r="F714">
        <f>FIND(".", tblPassengerNames[[#This Row],[Name]])</f>
        <v>11</v>
      </c>
      <c r="G714" t="e">
        <f>FIND("(", tblPassengerNames[[#This Row],[Name]])</f>
        <v>#VALUE!</v>
      </c>
      <c r="H714" t="e">
        <f>FIND(")", tblPassengerNames[[#This Row],[Name]])</f>
        <v>#VALUE!</v>
      </c>
      <c r="I714">
        <f>IFERROR(tblPassengerNames[[#This Row],[OpenParPos]] - 2, LEN(tblPassengerNames[[#This Row],[Name]]))</f>
        <v>23</v>
      </c>
      <c r="J714" t="str">
        <f>MID(tblPassengerNames[[#This Row],[Name]], tblPassengerNames[[#This Row],[DotPos]] + 2, tblPassengerNames[[#This Row],[EndOfConvFNPos]] - tblPassengerNames[[#This Row],[DotPos]] - 1)</f>
        <v>Alfred John</v>
      </c>
      <c r="K714" t="e">
        <f>MID(tblPassengerNames[[#This Row],[Name]], tblPassengerNames[[#This Row],[OpenParPos]] + 1, tblPassengerNames[[#This Row],[CloseParPos]] - tblPassengerNames[[#This Row],[OpenParPos]] - 1)</f>
        <v>#VALUE!</v>
      </c>
      <c r="L714" t="e">
        <f>IF(AND(LEFT(tblPassengerNames[[#This Row],[InParentheses]], 1) = "'", RIGHT(tblPassengerNames[[#This Row],[InParentheses]], 1) = "'"),
    #VALUE!,
    tblPassengerNames[[#This Row],[InParentheses]]
)</f>
        <v>#VALUE!</v>
      </c>
      <c r="M714" t="e">
        <f>LEN(tblPassengerNames[[#This Row],[InParenthesesCleaned]]) - LEN(SUBSTITUTE(tblPassengerNames[[#This Row],[InParenthesesCleaned]], " ", ""))</f>
        <v>#VALUE!</v>
      </c>
      <c r="N714" t="e">
        <f>FIND("@", SUBSTITUTE(tblPassengerNames[[#This Row],[InParenthesesCleaned]], " ", "@", tblPassengerNames[[#This Row],[P_NSpaces]]))</f>
        <v>#VALUE!</v>
      </c>
      <c r="O714" t="e">
        <f>IF(tblPassengerNames[[#This Row],[P_NSpaces]] = 0,
    tblPassengerNames[[#This Row],[InParenthesesCleaned]],
    LEFT(tblPassengerNames[[#This Row],[InParenthesesCleaned]], tblPassengerNames[[#This Row],[P_FinalSpacePos]] - 1)
)</f>
        <v>#VALUE!</v>
      </c>
      <c r="P714" t="str">
        <f>IFERROR(tblPassengerNames[[#This Row],[P_Forenames]], tblPassengerNames[[#This Row],[ConvForenames]])</f>
        <v>Alfred John</v>
      </c>
      <c r="Q714" t="str">
        <f>MID(tblPassengerNames[[#This Row],[Name]], tblPassengerNames[[#This Row],[CommaPos]] + 2, tblPassengerNames[[#This Row],[DotPos]] - tblPassengerNames[[#This Row],[CommaPos]] - 1)</f>
        <v>Mr.</v>
      </c>
      <c r="R714" t="str">
        <f>LEFT(tblPassengerNames[[#This Row],[Name]], tblPassengerNames[[#This Row],[CommaPos]] - 1)</f>
        <v>Carver</v>
      </c>
    </row>
    <row r="715" spans="2:18" x14ac:dyDescent="0.25">
      <c r="B715" s="21">
        <v>713</v>
      </c>
      <c r="C715" s="21" t="s">
        <v>849</v>
      </c>
      <c r="D715" s="21" t="s">
        <v>138</v>
      </c>
      <c r="E715">
        <f>FIND(",", tblPassengerNames[[#This Row],[Name]])</f>
        <v>8</v>
      </c>
      <c r="F715">
        <f>FIND(".", tblPassengerNames[[#This Row],[Name]])</f>
        <v>12</v>
      </c>
      <c r="G715" t="e">
        <f>FIND("(", tblPassengerNames[[#This Row],[Name]])</f>
        <v>#VALUE!</v>
      </c>
      <c r="H715" t="e">
        <f>FIND(")", tblPassengerNames[[#This Row],[Name]])</f>
        <v>#VALUE!</v>
      </c>
      <c r="I715">
        <f>IFERROR(tblPassengerNames[[#This Row],[OpenParPos]] - 2, LEN(tblPassengerNames[[#This Row],[Name]]))</f>
        <v>22</v>
      </c>
      <c r="J715" t="str">
        <f>MID(tblPassengerNames[[#This Row],[Name]], tblPassengerNames[[#This Row],[DotPos]] + 2, tblPassengerNames[[#This Row],[EndOfConvFNPos]] - tblPassengerNames[[#This Row],[DotPos]] - 1)</f>
        <v>Francesco</v>
      </c>
      <c r="K715" t="e">
        <f>MID(tblPassengerNames[[#This Row],[Name]], tblPassengerNames[[#This Row],[OpenParPos]] + 1, tblPassengerNames[[#This Row],[CloseParPos]] - tblPassengerNames[[#This Row],[OpenParPos]] - 1)</f>
        <v>#VALUE!</v>
      </c>
      <c r="L715" t="e">
        <f>IF(AND(LEFT(tblPassengerNames[[#This Row],[InParentheses]], 1) = "'", RIGHT(tblPassengerNames[[#This Row],[InParentheses]], 1) = "'"),
    #VALUE!,
    tblPassengerNames[[#This Row],[InParentheses]]
)</f>
        <v>#VALUE!</v>
      </c>
      <c r="M715" t="e">
        <f>LEN(tblPassengerNames[[#This Row],[InParenthesesCleaned]]) - LEN(SUBSTITUTE(tblPassengerNames[[#This Row],[InParenthesesCleaned]], " ", ""))</f>
        <v>#VALUE!</v>
      </c>
      <c r="N715" t="e">
        <f>FIND("@", SUBSTITUTE(tblPassengerNames[[#This Row],[InParenthesesCleaned]], " ", "@", tblPassengerNames[[#This Row],[P_NSpaces]]))</f>
        <v>#VALUE!</v>
      </c>
      <c r="O715" t="e">
        <f>IF(tblPassengerNames[[#This Row],[P_NSpaces]] = 0,
    tblPassengerNames[[#This Row],[InParenthesesCleaned]],
    LEFT(tblPassengerNames[[#This Row],[InParenthesesCleaned]], tblPassengerNames[[#This Row],[P_FinalSpacePos]] - 1)
)</f>
        <v>#VALUE!</v>
      </c>
      <c r="P715" t="str">
        <f>IFERROR(tblPassengerNames[[#This Row],[P_Forenames]], tblPassengerNames[[#This Row],[ConvForenames]])</f>
        <v>Francesco</v>
      </c>
      <c r="Q715" t="str">
        <f>MID(tblPassengerNames[[#This Row],[Name]], tblPassengerNames[[#This Row],[CommaPos]] + 2, tblPassengerNames[[#This Row],[DotPos]] - tblPassengerNames[[#This Row],[CommaPos]] - 1)</f>
        <v>Mr.</v>
      </c>
      <c r="R715" t="str">
        <f>LEFT(tblPassengerNames[[#This Row],[Name]], tblPassengerNames[[#This Row],[CommaPos]] - 1)</f>
        <v>Celotti</v>
      </c>
    </row>
    <row r="716" spans="2:18" x14ac:dyDescent="0.25">
      <c r="B716" s="21">
        <v>714</v>
      </c>
      <c r="C716" s="21" t="s">
        <v>850</v>
      </c>
      <c r="D716" s="21" t="s">
        <v>138</v>
      </c>
      <c r="E716">
        <f>FIND(",", tblPassengerNames[[#This Row],[Name]])</f>
        <v>9</v>
      </c>
      <c r="F716">
        <f>FIND(".", tblPassengerNames[[#This Row],[Name]])</f>
        <v>13</v>
      </c>
      <c r="G716" t="e">
        <f>FIND("(", tblPassengerNames[[#This Row],[Name]])</f>
        <v>#VALUE!</v>
      </c>
      <c r="H716" t="e">
        <f>FIND(")", tblPassengerNames[[#This Row],[Name]])</f>
        <v>#VALUE!</v>
      </c>
      <c r="I716">
        <f>IFERROR(tblPassengerNames[[#This Row],[OpenParPos]] - 2, LEN(tblPassengerNames[[#This Row],[Name]]))</f>
        <v>19</v>
      </c>
      <c r="J716" t="str">
        <f>MID(tblPassengerNames[[#This Row],[Name]], tblPassengerNames[[#This Row],[DotPos]] + 2, tblPassengerNames[[#This Row],[EndOfConvFNPos]] - tblPassengerNames[[#This Row],[DotPos]] - 1)</f>
        <v>David</v>
      </c>
      <c r="K716" t="e">
        <f>MID(tblPassengerNames[[#This Row],[Name]], tblPassengerNames[[#This Row],[OpenParPos]] + 1, tblPassengerNames[[#This Row],[CloseParPos]] - tblPassengerNames[[#This Row],[OpenParPos]] - 1)</f>
        <v>#VALUE!</v>
      </c>
      <c r="L716" t="e">
        <f>IF(AND(LEFT(tblPassengerNames[[#This Row],[InParentheses]], 1) = "'", RIGHT(tblPassengerNames[[#This Row],[InParentheses]], 1) = "'"),
    #VALUE!,
    tblPassengerNames[[#This Row],[InParentheses]]
)</f>
        <v>#VALUE!</v>
      </c>
      <c r="M716" t="e">
        <f>LEN(tblPassengerNames[[#This Row],[InParenthesesCleaned]]) - LEN(SUBSTITUTE(tblPassengerNames[[#This Row],[InParenthesesCleaned]], " ", ""))</f>
        <v>#VALUE!</v>
      </c>
      <c r="N716" t="e">
        <f>FIND("@", SUBSTITUTE(tblPassengerNames[[#This Row],[InParenthesesCleaned]], " ", "@", tblPassengerNames[[#This Row],[P_NSpaces]]))</f>
        <v>#VALUE!</v>
      </c>
      <c r="O716" t="e">
        <f>IF(tblPassengerNames[[#This Row],[P_NSpaces]] = 0,
    tblPassengerNames[[#This Row],[InParenthesesCleaned]],
    LEFT(tblPassengerNames[[#This Row],[InParenthesesCleaned]], tblPassengerNames[[#This Row],[P_FinalSpacePos]] - 1)
)</f>
        <v>#VALUE!</v>
      </c>
      <c r="P716" t="str">
        <f>IFERROR(tblPassengerNames[[#This Row],[P_Forenames]], tblPassengerNames[[#This Row],[ConvForenames]])</f>
        <v>David</v>
      </c>
      <c r="Q716" t="str">
        <f>MID(tblPassengerNames[[#This Row],[Name]], tblPassengerNames[[#This Row],[CommaPos]] + 2, tblPassengerNames[[#This Row],[DotPos]] - tblPassengerNames[[#This Row],[CommaPos]] - 1)</f>
        <v>Mr.</v>
      </c>
      <c r="R716" t="str">
        <f>LEFT(tblPassengerNames[[#This Row],[Name]], tblPassengerNames[[#This Row],[CommaPos]] - 1)</f>
        <v>Charters</v>
      </c>
    </row>
    <row r="717" spans="2:18" x14ac:dyDescent="0.25">
      <c r="B717" s="21">
        <v>715</v>
      </c>
      <c r="C717" s="21" t="s">
        <v>851</v>
      </c>
      <c r="D717" s="21" t="s">
        <v>138</v>
      </c>
      <c r="E717">
        <f>FIND(",", tblPassengerNames[[#This Row],[Name]])</f>
        <v>5</v>
      </c>
      <c r="F717">
        <f>FIND(".", tblPassengerNames[[#This Row],[Name]])</f>
        <v>9</v>
      </c>
      <c r="G717" t="e">
        <f>FIND("(", tblPassengerNames[[#This Row],[Name]])</f>
        <v>#VALUE!</v>
      </c>
      <c r="H717" t="e">
        <f>FIND(")", tblPassengerNames[[#This Row],[Name]])</f>
        <v>#VALUE!</v>
      </c>
      <c r="I717">
        <f>IFERROR(tblPassengerNames[[#This Row],[OpenParPos]] - 2, LEN(tblPassengerNames[[#This Row],[Name]]))</f>
        <v>15</v>
      </c>
      <c r="J717" t="str">
        <f>MID(tblPassengerNames[[#This Row],[Name]], tblPassengerNames[[#This Row],[DotPos]] + 2, tblPassengerNames[[#This Row],[EndOfConvFNPos]] - tblPassengerNames[[#This Row],[DotPos]] - 1)</f>
        <v>Chang</v>
      </c>
      <c r="K717" t="e">
        <f>MID(tblPassengerNames[[#This Row],[Name]], tblPassengerNames[[#This Row],[OpenParPos]] + 1, tblPassengerNames[[#This Row],[CloseParPos]] - tblPassengerNames[[#This Row],[OpenParPos]] - 1)</f>
        <v>#VALUE!</v>
      </c>
      <c r="L717" t="e">
        <f>IF(AND(LEFT(tblPassengerNames[[#This Row],[InParentheses]], 1) = "'", RIGHT(tblPassengerNames[[#This Row],[InParentheses]], 1) = "'"),
    #VALUE!,
    tblPassengerNames[[#This Row],[InParentheses]]
)</f>
        <v>#VALUE!</v>
      </c>
      <c r="M717" t="e">
        <f>LEN(tblPassengerNames[[#This Row],[InParenthesesCleaned]]) - LEN(SUBSTITUTE(tblPassengerNames[[#This Row],[InParenthesesCleaned]], " ", ""))</f>
        <v>#VALUE!</v>
      </c>
      <c r="N717" t="e">
        <f>FIND("@", SUBSTITUTE(tblPassengerNames[[#This Row],[InParenthesesCleaned]], " ", "@", tblPassengerNames[[#This Row],[P_NSpaces]]))</f>
        <v>#VALUE!</v>
      </c>
      <c r="O717" t="e">
        <f>IF(tblPassengerNames[[#This Row],[P_NSpaces]] = 0,
    tblPassengerNames[[#This Row],[InParenthesesCleaned]],
    LEFT(tblPassengerNames[[#This Row],[InParenthesesCleaned]], tblPassengerNames[[#This Row],[P_FinalSpacePos]] - 1)
)</f>
        <v>#VALUE!</v>
      </c>
      <c r="P717" t="str">
        <f>IFERROR(tblPassengerNames[[#This Row],[P_Forenames]], tblPassengerNames[[#This Row],[ConvForenames]])</f>
        <v>Chang</v>
      </c>
      <c r="Q717" t="str">
        <f>MID(tblPassengerNames[[#This Row],[Name]], tblPassengerNames[[#This Row],[CommaPos]] + 2, tblPassengerNames[[#This Row],[DotPos]] - tblPassengerNames[[#This Row],[CommaPos]] - 1)</f>
        <v>Mr.</v>
      </c>
      <c r="R717" t="str">
        <f>LEFT(tblPassengerNames[[#This Row],[Name]], tblPassengerNames[[#This Row],[CommaPos]] - 1)</f>
        <v>Chip</v>
      </c>
    </row>
    <row r="718" spans="2:18" x14ac:dyDescent="0.25">
      <c r="B718" s="21">
        <v>716</v>
      </c>
      <c r="C718" s="21" t="s">
        <v>852</v>
      </c>
      <c r="D718" s="21" t="s">
        <v>138</v>
      </c>
      <c r="E718">
        <f>FIND(",", tblPassengerNames[[#This Row],[Name]])</f>
        <v>11</v>
      </c>
      <c r="F718">
        <f>FIND(".", tblPassengerNames[[#This Row],[Name]])</f>
        <v>15</v>
      </c>
      <c r="G718" t="e">
        <f>FIND("(", tblPassengerNames[[#This Row],[Name]])</f>
        <v>#VALUE!</v>
      </c>
      <c r="H718" t="e">
        <f>FIND(")", tblPassengerNames[[#This Row],[Name]])</f>
        <v>#VALUE!</v>
      </c>
      <c r="I718">
        <f>IFERROR(tblPassengerNames[[#This Row],[OpenParPos]] - 2, LEN(tblPassengerNames[[#This Row],[Name]]))</f>
        <v>20</v>
      </c>
      <c r="J718" t="str">
        <f>MID(tblPassengerNames[[#This Row],[Name]], tblPassengerNames[[#This Row],[DotPos]] + 2, tblPassengerNames[[#This Row],[EndOfConvFNPos]] - tblPassengerNames[[#This Row],[DotPos]] - 1)</f>
        <v>Emil</v>
      </c>
      <c r="K718" t="e">
        <f>MID(tblPassengerNames[[#This Row],[Name]], tblPassengerNames[[#This Row],[OpenParPos]] + 1, tblPassengerNames[[#This Row],[CloseParPos]] - tblPassengerNames[[#This Row],[OpenParPos]] - 1)</f>
        <v>#VALUE!</v>
      </c>
      <c r="L718" t="e">
        <f>IF(AND(LEFT(tblPassengerNames[[#This Row],[InParentheses]], 1) = "'", RIGHT(tblPassengerNames[[#This Row],[InParentheses]], 1) = "'"),
    #VALUE!,
    tblPassengerNames[[#This Row],[InParentheses]]
)</f>
        <v>#VALUE!</v>
      </c>
      <c r="M718" t="e">
        <f>LEN(tblPassengerNames[[#This Row],[InParenthesesCleaned]]) - LEN(SUBSTITUTE(tblPassengerNames[[#This Row],[InParenthesesCleaned]], " ", ""))</f>
        <v>#VALUE!</v>
      </c>
      <c r="N718" t="e">
        <f>FIND("@", SUBSTITUTE(tblPassengerNames[[#This Row],[InParenthesesCleaned]], " ", "@", tblPassengerNames[[#This Row],[P_NSpaces]]))</f>
        <v>#VALUE!</v>
      </c>
      <c r="O718" t="e">
        <f>IF(tblPassengerNames[[#This Row],[P_NSpaces]] = 0,
    tblPassengerNames[[#This Row],[InParenthesesCleaned]],
    LEFT(tblPassengerNames[[#This Row],[InParenthesesCleaned]], tblPassengerNames[[#This Row],[P_FinalSpacePos]] - 1)
)</f>
        <v>#VALUE!</v>
      </c>
      <c r="P718" t="str">
        <f>IFERROR(tblPassengerNames[[#This Row],[P_Forenames]], tblPassengerNames[[#This Row],[ConvForenames]])</f>
        <v>Emil</v>
      </c>
      <c r="Q718" t="str">
        <f>MID(tblPassengerNames[[#This Row],[Name]], tblPassengerNames[[#This Row],[CommaPos]] + 2, tblPassengerNames[[#This Row],[DotPos]] - tblPassengerNames[[#This Row],[CommaPos]] - 1)</f>
        <v>Mr.</v>
      </c>
      <c r="R718" t="str">
        <f>LEFT(tblPassengerNames[[#This Row],[Name]], tblPassengerNames[[#This Row],[CommaPos]] - 1)</f>
        <v>Christmann</v>
      </c>
    </row>
    <row r="719" spans="2:18" x14ac:dyDescent="0.25">
      <c r="B719" s="21">
        <v>717</v>
      </c>
      <c r="C719" s="21" t="s">
        <v>853</v>
      </c>
      <c r="D719" s="21" t="s">
        <v>138</v>
      </c>
      <c r="E719">
        <f>FIND(",", tblPassengerNames[[#This Row],[Name]])</f>
        <v>13</v>
      </c>
      <c r="F719">
        <f>FIND(".", tblPassengerNames[[#This Row],[Name]])</f>
        <v>17</v>
      </c>
      <c r="G719" t="e">
        <f>FIND("(", tblPassengerNames[[#This Row],[Name]])</f>
        <v>#VALUE!</v>
      </c>
      <c r="H719" t="e">
        <f>FIND(")", tblPassengerNames[[#This Row],[Name]])</f>
        <v>#VALUE!</v>
      </c>
      <c r="I719">
        <f>IFERROR(tblPassengerNames[[#This Row],[OpenParPos]] - 2, LEN(tblPassengerNames[[#This Row],[Name]]))</f>
        <v>27</v>
      </c>
      <c r="J719" t="str">
        <f>MID(tblPassengerNames[[#This Row],[Name]], tblPassengerNames[[#This Row],[DotPos]] + 2, tblPassengerNames[[#This Row],[EndOfConvFNPos]] - tblPassengerNames[[#This Row],[DotPos]] - 1)</f>
        <v>Apostolos</v>
      </c>
      <c r="K719" t="e">
        <f>MID(tblPassengerNames[[#This Row],[Name]], tblPassengerNames[[#This Row],[OpenParPos]] + 1, tblPassengerNames[[#This Row],[CloseParPos]] - tblPassengerNames[[#This Row],[OpenParPos]] - 1)</f>
        <v>#VALUE!</v>
      </c>
      <c r="L719" t="e">
        <f>IF(AND(LEFT(tblPassengerNames[[#This Row],[InParentheses]], 1) = "'", RIGHT(tblPassengerNames[[#This Row],[InParentheses]], 1) = "'"),
    #VALUE!,
    tblPassengerNames[[#This Row],[InParentheses]]
)</f>
        <v>#VALUE!</v>
      </c>
      <c r="M719" t="e">
        <f>LEN(tblPassengerNames[[#This Row],[InParenthesesCleaned]]) - LEN(SUBSTITUTE(tblPassengerNames[[#This Row],[InParenthesesCleaned]], " ", ""))</f>
        <v>#VALUE!</v>
      </c>
      <c r="N719" t="e">
        <f>FIND("@", SUBSTITUTE(tblPassengerNames[[#This Row],[InParenthesesCleaned]], " ", "@", tblPassengerNames[[#This Row],[P_NSpaces]]))</f>
        <v>#VALUE!</v>
      </c>
      <c r="O719" t="e">
        <f>IF(tblPassengerNames[[#This Row],[P_NSpaces]] = 0,
    tblPassengerNames[[#This Row],[InParenthesesCleaned]],
    LEFT(tblPassengerNames[[#This Row],[InParenthesesCleaned]], tblPassengerNames[[#This Row],[P_FinalSpacePos]] - 1)
)</f>
        <v>#VALUE!</v>
      </c>
      <c r="P719" t="str">
        <f>IFERROR(tblPassengerNames[[#This Row],[P_Forenames]], tblPassengerNames[[#This Row],[ConvForenames]])</f>
        <v>Apostolos</v>
      </c>
      <c r="Q719" t="str">
        <f>MID(tblPassengerNames[[#This Row],[Name]], tblPassengerNames[[#This Row],[CommaPos]] + 2, tblPassengerNames[[#This Row],[DotPos]] - tblPassengerNames[[#This Row],[CommaPos]] - 1)</f>
        <v>Mr.</v>
      </c>
      <c r="R719" t="str">
        <f>LEFT(tblPassengerNames[[#This Row],[Name]], tblPassengerNames[[#This Row],[CommaPos]] - 1)</f>
        <v>Chronopoulos</v>
      </c>
    </row>
    <row r="720" spans="2:18" x14ac:dyDescent="0.25">
      <c r="B720" s="21">
        <v>718</v>
      </c>
      <c r="C720" s="21" t="s">
        <v>854</v>
      </c>
      <c r="D720" s="21" t="s">
        <v>138</v>
      </c>
      <c r="E720">
        <f>FIND(",", tblPassengerNames[[#This Row],[Name]])</f>
        <v>13</v>
      </c>
      <c r="F720">
        <f>FIND(".", tblPassengerNames[[#This Row],[Name]])</f>
        <v>17</v>
      </c>
      <c r="G720" t="e">
        <f>FIND("(", tblPassengerNames[[#This Row],[Name]])</f>
        <v>#VALUE!</v>
      </c>
      <c r="H720" t="e">
        <f>FIND(")", tblPassengerNames[[#This Row],[Name]])</f>
        <v>#VALUE!</v>
      </c>
      <c r="I720">
        <f>IFERROR(tblPassengerNames[[#This Row],[OpenParPos]] - 2, LEN(tblPassengerNames[[#This Row],[Name]]))</f>
        <v>27</v>
      </c>
      <c r="J720" t="str">
        <f>MID(tblPassengerNames[[#This Row],[Name]], tblPassengerNames[[#This Row],[DotPos]] + 2, tblPassengerNames[[#This Row],[EndOfConvFNPos]] - tblPassengerNames[[#This Row],[DotPos]] - 1)</f>
        <v>Demetrios</v>
      </c>
      <c r="K720" t="e">
        <f>MID(tblPassengerNames[[#This Row],[Name]], tblPassengerNames[[#This Row],[OpenParPos]] + 1, tblPassengerNames[[#This Row],[CloseParPos]] - tblPassengerNames[[#This Row],[OpenParPos]] - 1)</f>
        <v>#VALUE!</v>
      </c>
      <c r="L720" t="e">
        <f>IF(AND(LEFT(tblPassengerNames[[#This Row],[InParentheses]], 1) = "'", RIGHT(tblPassengerNames[[#This Row],[InParentheses]], 1) = "'"),
    #VALUE!,
    tblPassengerNames[[#This Row],[InParentheses]]
)</f>
        <v>#VALUE!</v>
      </c>
      <c r="M720" t="e">
        <f>LEN(tblPassengerNames[[#This Row],[InParenthesesCleaned]]) - LEN(SUBSTITUTE(tblPassengerNames[[#This Row],[InParenthesesCleaned]], " ", ""))</f>
        <v>#VALUE!</v>
      </c>
      <c r="N720" t="e">
        <f>FIND("@", SUBSTITUTE(tblPassengerNames[[#This Row],[InParenthesesCleaned]], " ", "@", tblPassengerNames[[#This Row],[P_NSpaces]]))</f>
        <v>#VALUE!</v>
      </c>
      <c r="O720" t="e">
        <f>IF(tblPassengerNames[[#This Row],[P_NSpaces]] = 0,
    tblPassengerNames[[#This Row],[InParenthesesCleaned]],
    LEFT(tblPassengerNames[[#This Row],[InParenthesesCleaned]], tblPassengerNames[[#This Row],[P_FinalSpacePos]] - 1)
)</f>
        <v>#VALUE!</v>
      </c>
      <c r="P720" t="str">
        <f>IFERROR(tblPassengerNames[[#This Row],[P_Forenames]], tblPassengerNames[[#This Row],[ConvForenames]])</f>
        <v>Demetrios</v>
      </c>
      <c r="Q720" t="str">
        <f>MID(tblPassengerNames[[#This Row],[Name]], tblPassengerNames[[#This Row],[CommaPos]] + 2, tblPassengerNames[[#This Row],[DotPos]] - tblPassengerNames[[#This Row],[CommaPos]] - 1)</f>
        <v>Mr.</v>
      </c>
      <c r="R720" t="str">
        <f>LEFT(tblPassengerNames[[#This Row],[Name]], tblPassengerNames[[#This Row],[CommaPos]] - 1)</f>
        <v>Chronopoulos</v>
      </c>
    </row>
    <row r="721" spans="2:18" x14ac:dyDescent="0.25">
      <c r="B721" s="21">
        <v>719</v>
      </c>
      <c r="C721" s="21" t="s">
        <v>855</v>
      </c>
      <c r="D721" s="21" t="s">
        <v>138</v>
      </c>
      <c r="E721">
        <f>FIND(",", tblPassengerNames[[#This Row],[Name]])</f>
        <v>7</v>
      </c>
      <c r="F721">
        <f>FIND(".", tblPassengerNames[[#This Row],[Name]])</f>
        <v>11</v>
      </c>
      <c r="G721" t="e">
        <f>FIND("(", tblPassengerNames[[#This Row],[Name]])</f>
        <v>#VALUE!</v>
      </c>
      <c r="H721" t="e">
        <f>FIND(")", tblPassengerNames[[#This Row],[Name]])</f>
        <v>#VALUE!</v>
      </c>
      <c r="I721">
        <f>IFERROR(tblPassengerNames[[#This Row],[OpenParPos]] - 2, LEN(tblPassengerNames[[#This Row],[Name]]))</f>
        <v>30</v>
      </c>
      <c r="J721" t="str">
        <f>MID(tblPassengerNames[[#This Row],[Name]], tblPassengerNames[[#This Row],[DotPos]] + 2, tblPassengerNames[[#This Row],[EndOfConvFNPos]] - tblPassengerNames[[#This Row],[DotPos]] - 1)</f>
        <v>Domingos Fernandeo</v>
      </c>
      <c r="K721" t="e">
        <f>MID(tblPassengerNames[[#This Row],[Name]], tblPassengerNames[[#This Row],[OpenParPos]] + 1, tblPassengerNames[[#This Row],[CloseParPos]] - tblPassengerNames[[#This Row],[OpenParPos]] - 1)</f>
        <v>#VALUE!</v>
      </c>
      <c r="L721" t="e">
        <f>IF(AND(LEFT(tblPassengerNames[[#This Row],[InParentheses]], 1) = "'", RIGHT(tblPassengerNames[[#This Row],[InParentheses]], 1) = "'"),
    #VALUE!,
    tblPassengerNames[[#This Row],[InParentheses]]
)</f>
        <v>#VALUE!</v>
      </c>
      <c r="M721" t="e">
        <f>LEN(tblPassengerNames[[#This Row],[InParenthesesCleaned]]) - LEN(SUBSTITUTE(tblPassengerNames[[#This Row],[InParenthesesCleaned]], " ", ""))</f>
        <v>#VALUE!</v>
      </c>
      <c r="N721" t="e">
        <f>FIND("@", SUBSTITUTE(tblPassengerNames[[#This Row],[InParenthesesCleaned]], " ", "@", tblPassengerNames[[#This Row],[P_NSpaces]]))</f>
        <v>#VALUE!</v>
      </c>
      <c r="O721" t="e">
        <f>IF(tblPassengerNames[[#This Row],[P_NSpaces]] = 0,
    tblPassengerNames[[#This Row],[InParenthesesCleaned]],
    LEFT(tblPassengerNames[[#This Row],[InParenthesesCleaned]], tblPassengerNames[[#This Row],[P_FinalSpacePos]] - 1)
)</f>
        <v>#VALUE!</v>
      </c>
      <c r="P721" t="str">
        <f>IFERROR(tblPassengerNames[[#This Row],[P_Forenames]], tblPassengerNames[[#This Row],[ConvForenames]])</f>
        <v>Domingos Fernandeo</v>
      </c>
      <c r="Q721" t="str">
        <f>MID(tblPassengerNames[[#This Row],[Name]], tblPassengerNames[[#This Row],[CommaPos]] + 2, tblPassengerNames[[#This Row],[DotPos]] - tblPassengerNames[[#This Row],[CommaPos]] - 1)</f>
        <v>Mr.</v>
      </c>
      <c r="R721" t="str">
        <f>LEFT(tblPassengerNames[[#This Row],[Name]], tblPassengerNames[[#This Row],[CommaPos]] - 1)</f>
        <v>Coelho</v>
      </c>
    </row>
    <row r="722" spans="2:18" x14ac:dyDescent="0.25">
      <c r="B722" s="21">
        <v>720</v>
      </c>
      <c r="C722" s="21" t="s">
        <v>856</v>
      </c>
      <c r="D722" s="21" t="s">
        <v>138</v>
      </c>
      <c r="E722">
        <f>FIND(",", tblPassengerNames[[#This Row],[Name]])</f>
        <v>6</v>
      </c>
      <c r="F722">
        <f>FIND(".", tblPassengerNames[[#This Row],[Name]])</f>
        <v>10</v>
      </c>
      <c r="G722" t="e">
        <f>FIND("(", tblPassengerNames[[#This Row],[Name]])</f>
        <v>#VALUE!</v>
      </c>
      <c r="H722" t="e">
        <f>FIND(")", tblPassengerNames[[#This Row],[Name]])</f>
        <v>#VALUE!</v>
      </c>
      <c r="I722">
        <f>IFERROR(tblPassengerNames[[#This Row],[OpenParPos]] - 2, LEN(tblPassengerNames[[#This Row],[Name]]))</f>
        <v>24</v>
      </c>
      <c r="J722" t="str">
        <f>MID(tblPassengerNames[[#This Row],[Name]], tblPassengerNames[[#This Row],[DotPos]] + 2, tblPassengerNames[[#This Row],[EndOfConvFNPos]] - tblPassengerNames[[#This Row],[DotPos]] - 1)</f>
        <v>Gurshon 'Gus'</v>
      </c>
      <c r="K722" t="e">
        <f>MID(tblPassengerNames[[#This Row],[Name]], tblPassengerNames[[#This Row],[OpenParPos]] + 1, tblPassengerNames[[#This Row],[CloseParPos]] - tblPassengerNames[[#This Row],[OpenParPos]] - 1)</f>
        <v>#VALUE!</v>
      </c>
      <c r="L722" t="e">
        <f>IF(AND(LEFT(tblPassengerNames[[#This Row],[InParentheses]], 1) = "'", RIGHT(tblPassengerNames[[#This Row],[InParentheses]], 1) = "'"),
    #VALUE!,
    tblPassengerNames[[#This Row],[InParentheses]]
)</f>
        <v>#VALUE!</v>
      </c>
      <c r="M722" t="e">
        <f>LEN(tblPassengerNames[[#This Row],[InParenthesesCleaned]]) - LEN(SUBSTITUTE(tblPassengerNames[[#This Row],[InParenthesesCleaned]], " ", ""))</f>
        <v>#VALUE!</v>
      </c>
      <c r="N722" t="e">
        <f>FIND("@", SUBSTITUTE(tblPassengerNames[[#This Row],[InParenthesesCleaned]], " ", "@", tblPassengerNames[[#This Row],[P_NSpaces]]))</f>
        <v>#VALUE!</v>
      </c>
      <c r="O722" t="e">
        <f>IF(tblPassengerNames[[#This Row],[P_NSpaces]] = 0,
    tblPassengerNames[[#This Row],[InParenthesesCleaned]],
    LEFT(tblPassengerNames[[#This Row],[InParenthesesCleaned]], tblPassengerNames[[#This Row],[P_FinalSpacePos]] - 1)
)</f>
        <v>#VALUE!</v>
      </c>
      <c r="P722" t="str">
        <f>IFERROR(tblPassengerNames[[#This Row],[P_Forenames]], tblPassengerNames[[#This Row],[ConvForenames]])</f>
        <v>Gurshon 'Gus'</v>
      </c>
      <c r="Q722" t="str">
        <f>MID(tblPassengerNames[[#This Row],[Name]], tblPassengerNames[[#This Row],[CommaPos]] + 2, tblPassengerNames[[#This Row],[DotPos]] - tblPassengerNames[[#This Row],[CommaPos]] - 1)</f>
        <v>Mr.</v>
      </c>
      <c r="R722" t="str">
        <f>LEFT(tblPassengerNames[[#This Row],[Name]], tblPassengerNames[[#This Row],[CommaPos]] - 1)</f>
        <v>Cohen</v>
      </c>
    </row>
    <row r="723" spans="2:18" x14ac:dyDescent="0.25">
      <c r="B723" s="21">
        <v>721</v>
      </c>
      <c r="C723" s="21" t="s">
        <v>857</v>
      </c>
      <c r="D723" s="21" t="s">
        <v>138</v>
      </c>
      <c r="E723">
        <f>FIND(",", tblPassengerNames[[#This Row],[Name]])</f>
        <v>8</v>
      </c>
      <c r="F723">
        <f>FIND(".", tblPassengerNames[[#This Row],[Name]])</f>
        <v>12</v>
      </c>
      <c r="G723" t="e">
        <f>FIND("(", tblPassengerNames[[#This Row],[Name]])</f>
        <v>#VALUE!</v>
      </c>
      <c r="H723" t="e">
        <f>FIND(")", tblPassengerNames[[#This Row],[Name]])</f>
        <v>#VALUE!</v>
      </c>
      <c r="I723">
        <f>IFERROR(tblPassengerNames[[#This Row],[OpenParPos]] - 2, LEN(tblPassengerNames[[#This Row],[Name]]))</f>
        <v>20</v>
      </c>
      <c r="J723" t="str">
        <f>MID(tblPassengerNames[[#This Row],[Name]], tblPassengerNames[[#This Row],[DotPos]] + 2, tblPassengerNames[[#This Row],[EndOfConvFNPos]] - tblPassengerNames[[#This Row],[DotPos]] - 1)</f>
        <v>Patrick</v>
      </c>
      <c r="K723" t="e">
        <f>MID(tblPassengerNames[[#This Row],[Name]], tblPassengerNames[[#This Row],[OpenParPos]] + 1, tblPassengerNames[[#This Row],[CloseParPos]] - tblPassengerNames[[#This Row],[OpenParPos]] - 1)</f>
        <v>#VALUE!</v>
      </c>
      <c r="L723" t="e">
        <f>IF(AND(LEFT(tblPassengerNames[[#This Row],[InParentheses]], 1) = "'", RIGHT(tblPassengerNames[[#This Row],[InParentheses]], 1) = "'"),
    #VALUE!,
    tblPassengerNames[[#This Row],[InParentheses]]
)</f>
        <v>#VALUE!</v>
      </c>
      <c r="M723" t="e">
        <f>LEN(tblPassengerNames[[#This Row],[InParenthesesCleaned]]) - LEN(SUBSTITUTE(tblPassengerNames[[#This Row],[InParenthesesCleaned]], " ", ""))</f>
        <v>#VALUE!</v>
      </c>
      <c r="N723" t="e">
        <f>FIND("@", SUBSTITUTE(tblPassengerNames[[#This Row],[InParenthesesCleaned]], " ", "@", tblPassengerNames[[#This Row],[P_NSpaces]]))</f>
        <v>#VALUE!</v>
      </c>
      <c r="O723" t="e">
        <f>IF(tblPassengerNames[[#This Row],[P_NSpaces]] = 0,
    tblPassengerNames[[#This Row],[InParenthesesCleaned]],
    LEFT(tblPassengerNames[[#This Row],[InParenthesesCleaned]], tblPassengerNames[[#This Row],[P_FinalSpacePos]] - 1)
)</f>
        <v>#VALUE!</v>
      </c>
      <c r="P723" t="str">
        <f>IFERROR(tblPassengerNames[[#This Row],[P_Forenames]], tblPassengerNames[[#This Row],[ConvForenames]])</f>
        <v>Patrick</v>
      </c>
      <c r="Q723" t="str">
        <f>MID(tblPassengerNames[[#This Row],[Name]], tblPassengerNames[[#This Row],[CommaPos]] + 2, tblPassengerNames[[#This Row],[DotPos]] - tblPassengerNames[[#This Row],[CommaPos]] - 1)</f>
        <v>Mr.</v>
      </c>
      <c r="R723" t="str">
        <f>LEFT(tblPassengerNames[[#This Row],[Name]], tblPassengerNames[[#This Row],[CommaPos]] - 1)</f>
        <v>Colbert</v>
      </c>
    </row>
    <row r="724" spans="2:18" x14ac:dyDescent="0.25">
      <c r="B724" s="21">
        <v>722</v>
      </c>
      <c r="C724" s="21" t="s">
        <v>858</v>
      </c>
      <c r="D724" s="21" t="s">
        <v>138</v>
      </c>
      <c r="E724">
        <f>FIND(",", tblPassengerNames[[#This Row],[Name]])</f>
        <v>7</v>
      </c>
      <c r="F724">
        <f>FIND(".", tblPassengerNames[[#This Row],[Name]])</f>
        <v>11</v>
      </c>
      <c r="G724" t="e">
        <f>FIND("(", tblPassengerNames[[#This Row],[Name]])</f>
        <v>#VALUE!</v>
      </c>
      <c r="H724" t="e">
        <f>FIND(")", tblPassengerNames[[#This Row],[Name]])</f>
        <v>#VALUE!</v>
      </c>
      <c r="I724">
        <f>IFERROR(tblPassengerNames[[#This Row],[OpenParPos]] - 2, LEN(tblPassengerNames[[#This Row],[Name]]))</f>
        <v>16</v>
      </c>
      <c r="J724" t="str">
        <f>MID(tblPassengerNames[[#This Row],[Name]], tblPassengerNames[[#This Row],[DotPos]] + 2, tblPassengerNames[[#This Row],[EndOfConvFNPos]] - tblPassengerNames[[#This Row],[DotPos]] - 1)</f>
        <v>Peju</v>
      </c>
      <c r="K724" t="e">
        <f>MID(tblPassengerNames[[#This Row],[Name]], tblPassengerNames[[#This Row],[OpenParPos]] + 1, tblPassengerNames[[#This Row],[CloseParPos]] - tblPassengerNames[[#This Row],[OpenParPos]] - 1)</f>
        <v>#VALUE!</v>
      </c>
      <c r="L724" t="e">
        <f>IF(AND(LEFT(tblPassengerNames[[#This Row],[InParentheses]], 1) = "'", RIGHT(tblPassengerNames[[#This Row],[InParentheses]], 1) = "'"),
    #VALUE!,
    tblPassengerNames[[#This Row],[InParentheses]]
)</f>
        <v>#VALUE!</v>
      </c>
      <c r="M724" t="e">
        <f>LEN(tblPassengerNames[[#This Row],[InParenthesesCleaned]]) - LEN(SUBSTITUTE(tblPassengerNames[[#This Row],[InParenthesesCleaned]], " ", ""))</f>
        <v>#VALUE!</v>
      </c>
      <c r="N724" t="e">
        <f>FIND("@", SUBSTITUTE(tblPassengerNames[[#This Row],[InParenthesesCleaned]], " ", "@", tblPassengerNames[[#This Row],[P_NSpaces]]))</f>
        <v>#VALUE!</v>
      </c>
      <c r="O724" t="e">
        <f>IF(tblPassengerNames[[#This Row],[P_NSpaces]] = 0,
    tblPassengerNames[[#This Row],[InParenthesesCleaned]],
    LEFT(tblPassengerNames[[#This Row],[InParenthesesCleaned]], tblPassengerNames[[#This Row],[P_FinalSpacePos]] - 1)
)</f>
        <v>#VALUE!</v>
      </c>
      <c r="P724" t="str">
        <f>IFERROR(tblPassengerNames[[#This Row],[P_Forenames]], tblPassengerNames[[#This Row],[ConvForenames]])</f>
        <v>Peju</v>
      </c>
      <c r="Q724" t="str">
        <f>MID(tblPassengerNames[[#This Row],[Name]], tblPassengerNames[[#This Row],[CommaPos]] + 2, tblPassengerNames[[#This Row],[DotPos]] - tblPassengerNames[[#This Row],[CommaPos]] - 1)</f>
        <v>Mr.</v>
      </c>
      <c r="R724" t="str">
        <f>LEFT(tblPassengerNames[[#This Row],[Name]], tblPassengerNames[[#This Row],[CommaPos]] - 1)</f>
        <v>Coleff</v>
      </c>
    </row>
    <row r="725" spans="2:18" x14ac:dyDescent="0.25">
      <c r="B725" s="21">
        <v>723</v>
      </c>
      <c r="C725" s="21" t="s">
        <v>859</v>
      </c>
      <c r="D725" s="21" t="s">
        <v>138</v>
      </c>
      <c r="E725">
        <f>FIND(",", tblPassengerNames[[#This Row],[Name]])</f>
        <v>7</v>
      </c>
      <c r="F725">
        <f>FIND(".", tblPassengerNames[[#This Row],[Name]])</f>
        <v>11</v>
      </c>
      <c r="G725" t="e">
        <f>FIND("(", tblPassengerNames[[#This Row],[Name]])</f>
        <v>#VALUE!</v>
      </c>
      <c r="H725" t="e">
        <f>FIND(")", tblPassengerNames[[#This Row],[Name]])</f>
        <v>#VALUE!</v>
      </c>
      <c r="I725">
        <f>IFERROR(tblPassengerNames[[#This Row],[OpenParPos]] - 2, LEN(tblPassengerNames[[#This Row],[Name]]))</f>
        <v>17</v>
      </c>
      <c r="J725" t="str">
        <f>MID(tblPassengerNames[[#This Row],[Name]], tblPassengerNames[[#This Row],[DotPos]] + 2, tblPassengerNames[[#This Row],[EndOfConvFNPos]] - tblPassengerNames[[#This Row],[DotPos]] - 1)</f>
        <v>Satio</v>
      </c>
      <c r="K725" t="e">
        <f>MID(tblPassengerNames[[#This Row],[Name]], tblPassengerNames[[#This Row],[OpenParPos]] + 1, tblPassengerNames[[#This Row],[CloseParPos]] - tblPassengerNames[[#This Row],[OpenParPos]] - 1)</f>
        <v>#VALUE!</v>
      </c>
      <c r="L725" t="e">
        <f>IF(AND(LEFT(tblPassengerNames[[#This Row],[InParentheses]], 1) = "'", RIGHT(tblPassengerNames[[#This Row],[InParentheses]], 1) = "'"),
    #VALUE!,
    tblPassengerNames[[#This Row],[InParentheses]]
)</f>
        <v>#VALUE!</v>
      </c>
      <c r="M725" t="e">
        <f>LEN(tblPassengerNames[[#This Row],[InParenthesesCleaned]]) - LEN(SUBSTITUTE(tblPassengerNames[[#This Row],[InParenthesesCleaned]], " ", ""))</f>
        <v>#VALUE!</v>
      </c>
      <c r="N725" t="e">
        <f>FIND("@", SUBSTITUTE(tblPassengerNames[[#This Row],[InParenthesesCleaned]], " ", "@", tblPassengerNames[[#This Row],[P_NSpaces]]))</f>
        <v>#VALUE!</v>
      </c>
      <c r="O725" t="e">
        <f>IF(tblPassengerNames[[#This Row],[P_NSpaces]] = 0,
    tblPassengerNames[[#This Row],[InParenthesesCleaned]],
    LEFT(tblPassengerNames[[#This Row],[InParenthesesCleaned]], tblPassengerNames[[#This Row],[P_FinalSpacePos]] - 1)
)</f>
        <v>#VALUE!</v>
      </c>
      <c r="P725" t="str">
        <f>IFERROR(tblPassengerNames[[#This Row],[P_Forenames]], tblPassengerNames[[#This Row],[ConvForenames]])</f>
        <v>Satio</v>
      </c>
      <c r="Q725" t="str">
        <f>MID(tblPassengerNames[[#This Row],[Name]], tblPassengerNames[[#This Row],[CommaPos]] + 2, tblPassengerNames[[#This Row],[DotPos]] - tblPassengerNames[[#This Row],[CommaPos]] - 1)</f>
        <v>Mr.</v>
      </c>
      <c r="R725" t="str">
        <f>LEFT(tblPassengerNames[[#This Row],[Name]], tblPassengerNames[[#This Row],[CommaPos]] - 1)</f>
        <v>Coleff</v>
      </c>
    </row>
    <row r="726" spans="2:18" x14ac:dyDescent="0.25">
      <c r="B726" s="21">
        <v>724</v>
      </c>
      <c r="C726" s="21" t="s">
        <v>860</v>
      </c>
      <c r="D726" s="21" t="s">
        <v>138</v>
      </c>
      <c r="E726">
        <f>FIND(",", tblPassengerNames[[#This Row],[Name]])</f>
        <v>7</v>
      </c>
      <c r="F726">
        <f>FIND(".", tblPassengerNames[[#This Row],[Name]])</f>
        <v>11</v>
      </c>
      <c r="G726" t="e">
        <f>FIND("(", tblPassengerNames[[#This Row],[Name]])</f>
        <v>#VALUE!</v>
      </c>
      <c r="H726" t="e">
        <f>FIND(")", tblPassengerNames[[#This Row],[Name]])</f>
        <v>#VALUE!</v>
      </c>
      <c r="I726">
        <f>IFERROR(tblPassengerNames[[#This Row],[OpenParPos]] - 2, LEN(tblPassengerNames[[#This Row],[Name]]))</f>
        <v>24</v>
      </c>
      <c r="J726" t="str">
        <f>MID(tblPassengerNames[[#This Row],[Name]], tblPassengerNames[[#This Row],[DotPos]] + 2, tblPassengerNames[[#This Row],[EndOfConvFNPos]] - tblPassengerNames[[#This Row],[DotPos]] - 1)</f>
        <v>Thomas Henry</v>
      </c>
      <c r="K726" t="e">
        <f>MID(tblPassengerNames[[#This Row],[Name]], tblPassengerNames[[#This Row],[OpenParPos]] + 1, tblPassengerNames[[#This Row],[CloseParPos]] - tblPassengerNames[[#This Row],[OpenParPos]] - 1)</f>
        <v>#VALUE!</v>
      </c>
      <c r="L726" t="e">
        <f>IF(AND(LEFT(tblPassengerNames[[#This Row],[InParentheses]], 1) = "'", RIGHT(tblPassengerNames[[#This Row],[InParentheses]], 1) = "'"),
    #VALUE!,
    tblPassengerNames[[#This Row],[InParentheses]]
)</f>
        <v>#VALUE!</v>
      </c>
      <c r="M726" t="e">
        <f>LEN(tblPassengerNames[[#This Row],[InParenthesesCleaned]]) - LEN(SUBSTITUTE(tblPassengerNames[[#This Row],[InParenthesesCleaned]], " ", ""))</f>
        <v>#VALUE!</v>
      </c>
      <c r="N726" t="e">
        <f>FIND("@", SUBSTITUTE(tblPassengerNames[[#This Row],[InParenthesesCleaned]], " ", "@", tblPassengerNames[[#This Row],[P_NSpaces]]))</f>
        <v>#VALUE!</v>
      </c>
      <c r="O726" t="e">
        <f>IF(tblPassengerNames[[#This Row],[P_NSpaces]] = 0,
    tblPassengerNames[[#This Row],[InParenthesesCleaned]],
    LEFT(tblPassengerNames[[#This Row],[InParenthesesCleaned]], tblPassengerNames[[#This Row],[P_FinalSpacePos]] - 1)
)</f>
        <v>#VALUE!</v>
      </c>
      <c r="P726" t="str">
        <f>IFERROR(tblPassengerNames[[#This Row],[P_Forenames]], tblPassengerNames[[#This Row],[ConvForenames]])</f>
        <v>Thomas Henry</v>
      </c>
      <c r="Q726" t="str">
        <f>MID(tblPassengerNames[[#This Row],[Name]], tblPassengerNames[[#This Row],[CommaPos]] + 2, tblPassengerNames[[#This Row],[DotPos]] - tblPassengerNames[[#This Row],[CommaPos]] - 1)</f>
        <v>Mr.</v>
      </c>
      <c r="R726" t="str">
        <f>LEFT(tblPassengerNames[[#This Row],[Name]], tblPassengerNames[[#This Row],[CommaPos]] - 1)</f>
        <v>Conlon</v>
      </c>
    </row>
    <row r="727" spans="2:18" x14ac:dyDescent="0.25">
      <c r="B727" s="21">
        <v>725</v>
      </c>
      <c r="C727" s="21" t="s">
        <v>861</v>
      </c>
      <c r="D727" s="21" t="s">
        <v>138</v>
      </c>
      <c r="E727">
        <f>FIND(",", tblPassengerNames[[#This Row],[Name]])</f>
        <v>11</v>
      </c>
      <c r="F727">
        <f>FIND(".", tblPassengerNames[[#This Row],[Name]])</f>
        <v>15</v>
      </c>
      <c r="G727" t="e">
        <f>FIND("(", tblPassengerNames[[#This Row],[Name]])</f>
        <v>#VALUE!</v>
      </c>
      <c r="H727" t="e">
        <f>FIND(")", tblPassengerNames[[#This Row],[Name]])</f>
        <v>#VALUE!</v>
      </c>
      <c r="I727">
        <f>IFERROR(tblPassengerNames[[#This Row],[OpenParPos]] - 2, LEN(tblPassengerNames[[#This Row],[Name]]))</f>
        <v>23</v>
      </c>
      <c r="J727" t="str">
        <f>MID(tblPassengerNames[[#This Row],[Name]], tblPassengerNames[[#This Row],[DotPos]] + 2, tblPassengerNames[[#This Row],[EndOfConvFNPos]] - tblPassengerNames[[#This Row],[DotPos]] - 1)</f>
        <v>Michael</v>
      </c>
      <c r="K727" t="e">
        <f>MID(tblPassengerNames[[#This Row],[Name]], tblPassengerNames[[#This Row],[OpenParPos]] + 1, tblPassengerNames[[#This Row],[CloseParPos]] - tblPassengerNames[[#This Row],[OpenParPos]] - 1)</f>
        <v>#VALUE!</v>
      </c>
      <c r="L727" t="e">
        <f>IF(AND(LEFT(tblPassengerNames[[#This Row],[InParentheses]], 1) = "'", RIGHT(tblPassengerNames[[#This Row],[InParentheses]], 1) = "'"),
    #VALUE!,
    tblPassengerNames[[#This Row],[InParentheses]]
)</f>
        <v>#VALUE!</v>
      </c>
      <c r="M727" t="e">
        <f>LEN(tblPassengerNames[[#This Row],[InParenthesesCleaned]]) - LEN(SUBSTITUTE(tblPassengerNames[[#This Row],[InParenthesesCleaned]], " ", ""))</f>
        <v>#VALUE!</v>
      </c>
      <c r="N727" t="e">
        <f>FIND("@", SUBSTITUTE(tblPassengerNames[[#This Row],[InParenthesesCleaned]], " ", "@", tblPassengerNames[[#This Row],[P_NSpaces]]))</f>
        <v>#VALUE!</v>
      </c>
      <c r="O727" t="e">
        <f>IF(tblPassengerNames[[#This Row],[P_NSpaces]] = 0,
    tblPassengerNames[[#This Row],[InParenthesesCleaned]],
    LEFT(tblPassengerNames[[#This Row],[InParenthesesCleaned]], tblPassengerNames[[#This Row],[P_FinalSpacePos]] - 1)
)</f>
        <v>#VALUE!</v>
      </c>
      <c r="P727" t="str">
        <f>IFERROR(tblPassengerNames[[#This Row],[P_Forenames]], tblPassengerNames[[#This Row],[ConvForenames]])</f>
        <v>Michael</v>
      </c>
      <c r="Q727" t="str">
        <f>MID(tblPassengerNames[[#This Row],[Name]], tblPassengerNames[[#This Row],[CommaPos]] + 2, tblPassengerNames[[#This Row],[DotPos]] - tblPassengerNames[[#This Row],[CommaPos]] - 1)</f>
        <v>Mr.</v>
      </c>
      <c r="R727" t="str">
        <f>LEFT(tblPassengerNames[[#This Row],[Name]], tblPassengerNames[[#This Row],[CommaPos]] - 1)</f>
        <v>Connaghton</v>
      </c>
    </row>
    <row r="728" spans="2:18" x14ac:dyDescent="0.25">
      <c r="B728" s="21">
        <v>726</v>
      </c>
      <c r="C728" s="21" t="s">
        <v>862</v>
      </c>
      <c r="D728" s="21" t="s">
        <v>136</v>
      </c>
      <c r="E728">
        <f>FIND(",", tblPassengerNames[[#This Row],[Name]])</f>
        <v>9</v>
      </c>
      <c r="F728">
        <f>FIND(".", tblPassengerNames[[#This Row],[Name]])</f>
        <v>15</v>
      </c>
      <c r="G728" t="e">
        <f>FIND("(", tblPassengerNames[[#This Row],[Name]])</f>
        <v>#VALUE!</v>
      </c>
      <c r="H728" t="e">
        <f>FIND(")", tblPassengerNames[[#This Row],[Name]])</f>
        <v>#VALUE!</v>
      </c>
      <c r="I728">
        <f>IFERROR(tblPassengerNames[[#This Row],[OpenParPos]] - 2, LEN(tblPassengerNames[[#This Row],[Name]]))</f>
        <v>20</v>
      </c>
      <c r="J728" t="str">
        <f>MID(tblPassengerNames[[#This Row],[Name]], tblPassengerNames[[#This Row],[DotPos]] + 2, tblPassengerNames[[#This Row],[EndOfConvFNPos]] - tblPassengerNames[[#This Row],[DotPos]] - 1)</f>
        <v>Kate</v>
      </c>
      <c r="K728" t="e">
        <f>MID(tblPassengerNames[[#This Row],[Name]], tblPassengerNames[[#This Row],[OpenParPos]] + 1, tblPassengerNames[[#This Row],[CloseParPos]] - tblPassengerNames[[#This Row],[OpenParPos]] - 1)</f>
        <v>#VALUE!</v>
      </c>
      <c r="L728" t="e">
        <f>IF(AND(LEFT(tblPassengerNames[[#This Row],[InParentheses]], 1) = "'", RIGHT(tblPassengerNames[[#This Row],[InParentheses]], 1) = "'"),
    #VALUE!,
    tblPassengerNames[[#This Row],[InParentheses]]
)</f>
        <v>#VALUE!</v>
      </c>
      <c r="M728" t="e">
        <f>LEN(tblPassengerNames[[#This Row],[InParenthesesCleaned]]) - LEN(SUBSTITUTE(tblPassengerNames[[#This Row],[InParenthesesCleaned]], " ", ""))</f>
        <v>#VALUE!</v>
      </c>
      <c r="N728" t="e">
        <f>FIND("@", SUBSTITUTE(tblPassengerNames[[#This Row],[InParenthesesCleaned]], " ", "@", tblPassengerNames[[#This Row],[P_NSpaces]]))</f>
        <v>#VALUE!</v>
      </c>
      <c r="O728" t="e">
        <f>IF(tblPassengerNames[[#This Row],[P_NSpaces]] = 0,
    tblPassengerNames[[#This Row],[InParenthesesCleaned]],
    LEFT(tblPassengerNames[[#This Row],[InParenthesesCleaned]], tblPassengerNames[[#This Row],[P_FinalSpacePos]] - 1)
)</f>
        <v>#VALUE!</v>
      </c>
      <c r="P728" t="str">
        <f>IFERROR(tblPassengerNames[[#This Row],[P_Forenames]], tblPassengerNames[[#This Row],[ConvForenames]])</f>
        <v>Kate</v>
      </c>
      <c r="Q728" t="str">
        <f>MID(tblPassengerNames[[#This Row],[Name]], tblPassengerNames[[#This Row],[CommaPos]] + 2, tblPassengerNames[[#This Row],[DotPos]] - tblPassengerNames[[#This Row],[CommaPos]] - 1)</f>
        <v>Miss.</v>
      </c>
      <c r="R728" t="str">
        <f>LEFT(tblPassengerNames[[#This Row],[Name]], tblPassengerNames[[#This Row],[CommaPos]] - 1)</f>
        <v>Connolly</v>
      </c>
    </row>
    <row r="729" spans="2:18" x14ac:dyDescent="0.25">
      <c r="B729" s="21">
        <v>727</v>
      </c>
      <c r="C729" s="21" t="s">
        <v>862</v>
      </c>
      <c r="D729" s="21" t="s">
        <v>136</v>
      </c>
      <c r="E729">
        <f>FIND(",", tblPassengerNames[[#This Row],[Name]])</f>
        <v>9</v>
      </c>
      <c r="F729">
        <f>FIND(".", tblPassengerNames[[#This Row],[Name]])</f>
        <v>15</v>
      </c>
      <c r="G729" t="e">
        <f>FIND("(", tblPassengerNames[[#This Row],[Name]])</f>
        <v>#VALUE!</v>
      </c>
      <c r="H729" t="e">
        <f>FIND(")", tblPassengerNames[[#This Row],[Name]])</f>
        <v>#VALUE!</v>
      </c>
      <c r="I729">
        <f>IFERROR(tblPassengerNames[[#This Row],[OpenParPos]] - 2, LEN(tblPassengerNames[[#This Row],[Name]]))</f>
        <v>20</v>
      </c>
      <c r="J729" t="str">
        <f>MID(tblPassengerNames[[#This Row],[Name]], tblPassengerNames[[#This Row],[DotPos]] + 2, tblPassengerNames[[#This Row],[EndOfConvFNPos]] - tblPassengerNames[[#This Row],[DotPos]] - 1)</f>
        <v>Kate</v>
      </c>
      <c r="K729" t="e">
        <f>MID(tblPassengerNames[[#This Row],[Name]], tblPassengerNames[[#This Row],[OpenParPos]] + 1, tblPassengerNames[[#This Row],[CloseParPos]] - tblPassengerNames[[#This Row],[OpenParPos]] - 1)</f>
        <v>#VALUE!</v>
      </c>
      <c r="L729" t="e">
        <f>IF(AND(LEFT(tblPassengerNames[[#This Row],[InParentheses]], 1) = "'", RIGHT(tblPassengerNames[[#This Row],[InParentheses]], 1) = "'"),
    #VALUE!,
    tblPassengerNames[[#This Row],[InParentheses]]
)</f>
        <v>#VALUE!</v>
      </c>
      <c r="M729" t="e">
        <f>LEN(tblPassengerNames[[#This Row],[InParenthesesCleaned]]) - LEN(SUBSTITUTE(tblPassengerNames[[#This Row],[InParenthesesCleaned]], " ", ""))</f>
        <v>#VALUE!</v>
      </c>
      <c r="N729" t="e">
        <f>FIND("@", SUBSTITUTE(tblPassengerNames[[#This Row],[InParenthesesCleaned]], " ", "@", tblPassengerNames[[#This Row],[P_NSpaces]]))</f>
        <v>#VALUE!</v>
      </c>
      <c r="O729" t="e">
        <f>IF(tblPassengerNames[[#This Row],[P_NSpaces]] = 0,
    tblPassengerNames[[#This Row],[InParenthesesCleaned]],
    LEFT(tblPassengerNames[[#This Row],[InParenthesesCleaned]], tblPassengerNames[[#This Row],[P_FinalSpacePos]] - 1)
)</f>
        <v>#VALUE!</v>
      </c>
      <c r="P729" t="str">
        <f>IFERROR(tblPassengerNames[[#This Row],[P_Forenames]], tblPassengerNames[[#This Row],[ConvForenames]])</f>
        <v>Kate</v>
      </c>
      <c r="Q729" t="str">
        <f>MID(tblPassengerNames[[#This Row],[Name]], tblPassengerNames[[#This Row],[CommaPos]] + 2, tblPassengerNames[[#This Row],[DotPos]] - tblPassengerNames[[#This Row],[CommaPos]] - 1)</f>
        <v>Miss.</v>
      </c>
      <c r="R729" t="str">
        <f>LEFT(tblPassengerNames[[#This Row],[Name]], tblPassengerNames[[#This Row],[CommaPos]] - 1)</f>
        <v>Connolly</v>
      </c>
    </row>
    <row r="730" spans="2:18" x14ac:dyDescent="0.25">
      <c r="B730" s="21">
        <v>728</v>
      </c>
      <c r="C730" s="21" t="s">
        <v>863</v>
      </c>
      <c r="D730" s="21" t="s">
        <v>138</v>
      </c>
      <c r="E730">
        <f>FIND(",", tblPassengerNames[[#This Row],[Name]])</f>
        <v>8</v>
      </c>
      <c r="F730">
        <f>FIND(".", tblPassengerNames[[#This Row],[Name]])</f>
        <v>12</v>
      </c>
      <c r="G730" t="e">
        <f>FIND("(", tblPassengerNames[[#This Row],[Name]])</f>
        <v>#VALUE!</v>
      </c>
      <c r="H730" t="e">
        <f>FIND(")", tblPassengerNames[[#This Row],[Name]])</f>
        <v>#VALUE!</v>
      </c>
      <c r="I730">
        <f>IFERROR(tblPassengerNames[[#This Row],[OpenParPos]] - 2, LEN(tblPassengerNames[[#This Row],[Name]]))</f>
        <v>20</v>
      </c>
      <c r="J730" t="str">
        <f>MID(tblPassengerNames[[#This Row],[Name]], tblPassengerNames[[#This Row],[DotPos]] + 2, tblPassengerNames[[#This Row],[EndOfConvFNPos]] - tblPassengerNames[[#This Row],[DotPos]] - 1)</f>
        <v>Patrick</v>
      </c>
      <c r="K730" t="e">
        <f>MID(tblPassengerNames[[#This Row],[Name]], tblPassengerNames[[#This Row],[OpenParPos]] + 1, tblPassengerNames[[#This Row],[CloseParPos]] - tblPassengerNames[[#This Row],[OpenParPos]] - 1)</f>
        <v>#VALUE!</v>
      </c>
      <c r="L730" t="e">
        <f>IF(AND(LEFT(tblPassengerNames[[#This Row],[InParentheses]], 1) = "'", RIGHT(tblPassengerNames[[#This Row],[InParentheses]], 1) = "'"),
    #VALUE!,
    tblPassengerNames[[#This Row],[InParentheses]]
)</f>
        <v>#VALUE!</v>
      </c>
      <c r="M730" t="e">
        <f>LEN(tblPassengerNames[[#This Row],[InParenthesesCleaned]]) - LEN(SUBSTITUTE(tblPassengerNames[[#This Row],[InParenthesesCleaned]], " ", ""))</f>
        <v>#VALUE!</v>
      </c>
      <c r="N730" t="e">
        <f>FIND("@", SUBSTITUTE(tblPassengerNames[[#This Row],[InParenthesesCleaned]], " ", "@", tblPassengerNames[[#This Row],[P_NSpaces]]))</f>
        <v>#VALUE!</v>
      </c>
      <c r="O730" t="e">
        <f>IF(tblPassengerNames[[#This Row],[P_NSpaces]] = 0,
    tblPassengerNames[[#This Row],[InParenthesesCleaned]],
    LEFT(tblPassengerNames[[#This Row],[InParenthesesCleaned]], tblPassengerNames[[#This Row],[P_FinalSpacePos]] - 1)
)</f>
        <v>#VALUE!</v>
      </c>
      <c r="P730" t="str">
        <f>IFERROR(tblPassengerNames[[#This Row],[P_Forenames]], tblPassengerNames[[#This Row],[ConvForenames]])</f>
        <v>Patrick</v>
      </c>
      <c r="Q730" t="str">
        <f>MID(tblPassengerNames[[#This Row],[Name]], tblPassengerNames[[#This Row],[CommaPos]] + 2, tblPassengerNames[[#This Row],[DotPos]] - tblPassengerNames[[#This Row],[CommaPos]] - 1)</f>
        <v>Mr.</v>
      </c>
      <c r="R730" t="str">
        <f>LEFT(tblPassengerNames[[#This Row],[Name]], tblPassengerNames[[#This Row],[CommaPos]] - 1)</f>
        <v>Connors</v>
      </c>
    </row>
    <row r="731" spans="2:18" x14ac:dyDescent="0.25">
      <c r="B731" s="21">
        <v>729</v>
      </c>
      <c r="C731" s="21" t="s">
        <v>864</v>
      </c>
      <c r="D731" s="21" t="s">
        <v>138</v>
      </c>
      <c r="E731">
        <f>FIND(",", tblPassengerNames[[#This Row],[Name]])</f>
        <v>5</v>
      </c>
      <c r="F731">
        <f>FIND(".", tblPassengerNames[[#This Row],[Name]])</f>
        <v>9</v>
      </c>
      <c r="G731" t="e">
        <f>FIND("(", tblPassengerNames[[#This Row],[Name]])</f>
        <v>#VALUE!</v>
      </c>
      <c r="H731" t="e">
        <f>FIND(")", tblPassengerNames[[#This Row],[Name]])</f>
        <v>#VALUE!</v>
      </c>
      <c r="I731">
        <f>IFERROR(tblPassengerNames[[#This Row],[OpenParPos]] - 2, LEN(tblPassengerNames[[#This Row],[Name]]))</f>
        <v>15</v>
      </c>
      <c r="J731" t="str">
        <f>MID(tblPassengerNames[[#This Row],[Name]], tblPassengerNames[[#This Row],[DotPos]] + 2, tblPassengerNames[[#This Row],[EndOfConvFNPos]] - tblPassengerNames[[#This Row],[DotPos]] - 1)</f>
        <v>Jacob</v>
      </c>
      <c r="K731" t="e">
        <f>MID(tblPassengerNames[[#This Row],[Name]], tblPassengerNames[[#This Row],[OpenParPos]] + 1, tblPassengerNames[[#This Row],[CloseParPos]] - tblPassengerNames[[#This Row],[OpenParPos]] - 1)</f>
        <v>#VALUE!</v>
      </c>
      <c r="L731" t="e">
        <f>IF(AND(LEFT(tblPassengerNames[[#This Row],[InParentheses]], 1) = "'", RIGHT(tblPassengerNames[[#This Row],[InParentheses]], 1) = "'"),
    #VALUE!,
    tblPassengerNames[[#This Row],[InParentheses]]
)</f>
        <v>#VALUE!</v>
      </c>
      <c r="M731" t="e">
        <f>LEN(tblPassengerNames[[#This Row],[InParenthesesCleaned]]) - LEN(SUBSTITUTE(tblPassengerNames[[#This Row],[InParenthesesCleaned]], " ", ""))</f>
        <v>#VALUE!</v>
      </c>
      <c r="N731" t="e">
        <f>FIND("@", SUBSTITUTE(tblPassengerNames[[#This Row],[InParenthesesCleaned]], " ", "@", tblPassengerNames[[#This Row],[P_NSpaces]]))</f>
        <v>#VALUE!</v>
      </c>
      <c r="O731" t="e">
        <f>IF(tblPassengerNames[[#This Row],[P_NSpaces]] = 0,
    tblPassengerNames[[#This Row],[InParenthesesCleaned]],
    LEFT(tblPassengerNames[[#This Row],[InParenthesesCleaned]], tblPassengerNames[[#This Row],[P_FinalSpacePos]] - 1)
)</f>
        <v>#VALUE!</v>
      </c>
      <c r="P731" t="str">
        <f>IFERROR(tblPassengerNames[[#This Row],[P_Forenames]], tblPassengerNames[[#This Row],[ConvForenames]])</f>
        <v>Jacob</v>
      </c>
      <c r="Q731" t="str">
        <f>MID(tblPassengerNames[[#This Row],[Name]], tblPassengerNames[[#This Row],[CommaPos]] + 2, tblPassengerNames[[#This Row],[DotPos]] - tblPassengerNames[[#This Row],[CommaPos]] - 1)</f>
        <v>Mr.</v>
      </c>
      <c r="R731" t="str">
        <f>LEFT(tblPassengerNames[[#This Row],[Name]], tblPassengerNames[[#This Row],[CommaPos]] - 1)</f>
        <v>Cook</v>
      </c>
    </row>
    <row r="732" spans="2:18" x14ac:dyDescent="0.25">
      <c r="B732" s="21">
        <v>730</v>
      </c>
      <c r="C732" s="21" t="s">
        <v>865</v>
      </c>
      <c r="D732" s="21" t="s">
        <v>138</v>
      </c>
      <c r="E732">
        <f>FIND(",", tblPassengerNames[[#This Row],[Name]])</f>
        <v>4</v>
      </c>
      <c r="F732">
        <f>FIND(".", tblPassengerNames[[#This Row],[Name]])</f>
        <v>8</v>
      </c>
      <c r="G732" t="e">
        <f>FIND("(", tblPassengerNames[[#This Row],[Name]])</f>
        <v>#VALUE!</v>
      </c>
      <c r="H732" t="e">
        <f>FIND(")", tblPassengerNames[[#This Row],[Name]])</f>
        <v>#VALUE!</v>
      </c>
      <c r="I732">
        <f>IFERROR(tblPassengerNames[[#This Row],[OpenParPos]] - 2, LEN(tblPassengerNames[[#This Row],[Name]]))</f>
        <v>15</v>
      </c>
      <c r="J732" t="str">
        <f>MID(tblPassengerNames[[#This Row],[Name]], tblPassengerNames[[#This Row],[DotPos]] + 2, tblPassengerNames[[#This Row],[EndOfConvFNPos]] - tblPassengerNames[[#This Row],[DotPos]] - 1)</f>
        <v>Bartol</v>
      </c>
      <c r="K732" t="e">
        <f>MID(tblPassengerNames[[#This Row],[Name]], tblPassengerNames[[#This Row],[OpenParPos]] + 1, tblPassengerNames[[#This Row],[CloseParPos]] - tblPassengerNames[[#This Row],[OpenParPos]] - 1)</f>
        <v>#VALUE!</v>
      </c>
      <c r="L732" t="e">
        <f>IF(AND(LEFT(tblPassengerNames[[#This Row],[InParentheses]], 1) = "'", RIGHT(tblPassengerNames[[#This Row],[InParentheses]], 1) = "'"),
    #VALUE!,
    tblPassengerNames[[#This Row],[InParentheses]]
)</f>
        <v>#VALUE!</v>
      </c>
      <c r="M732" t="e">
        <f>LEN(tblPassengerNames[[#This Row],[InParenthesesCleaned]]) - LEN(SUBSTITUTE(tblPassengerNames[[#This Row],[InParenthesesCleaned]], " ", ""))</f>
        <v>#VALUE!</v>
      </c>
      <c r="N732" t="e">
        <f>FIND("@", SUBSTITUTE(tblPassengerNames[[#This Row],[InParenthesesCleaned]], " ", "@", tblPassengerNames[[#This Row],[P_NSpaces]]))</f>
        <v>#VALUE!</v>
      </c>
      <c r="O732" t="e">
        <f>IF(tblPassengerNames[[#This Row],[P_NSpaces]] = 0,
    tblPassengerNames[[#This Row],[InParenthesesCleaned]],
    LEFT(tblPassengerNames[[#This Row],[InParenthesesCleaned]], tblPassengerNames[[#This Row],[P_FinalSpacePos]] - 1)
)</f>
        <v>#VALUE!</v>
      </c>
      <c r="P732" t="str">
        <f>IFERROR(tblPassengerNames[[#This Row],[P_Forenames]], tblPassengerNames[[#This Row],[ConvForenames]])</f>
        <v>Bartol</v>
      </c>
      <c r="Q732" t="str">
        <f>MID(tblPassengerNames[[#This Row],[Name]], tblPassengerNames[[#This Row],[CommaPos]] + 2, tblPassengerNames[[#This Row],[DotPos]] - tblPassengerNames[[#This Row],[CommaPos]] - 1)</f>
        <v>Mr.</v>
      </c>
      <c r="R732" t="str">
        <f>LEFT(tblPassengerNames[[#This Row],[Name]], tblPassengerNames[[#This Row],[CommaPos]] - 1)</f>
        <v>Cor</v>
      </c>
    </row>
    <row r="733" spans="2:18" x14ac:dyDescent="0.25">
      <c r="B733" s="21">
        <v>731</v>
      </c>
      <c r="C733" s="21" t="s">
        <v>866</v>
      </c>
      <c r="D733" s="21" t="s">
        <v>138</v>
      </c>
      <c r="E733">
        <f>FIND(",", tblPassengerNames[[#This Row],[Name]])</f>
        <v>4</v>
      </c>
      <c r="F733">
        <f>FIND(".", tblPassengerNames[[#This Row],[Name]])</f>
        <v>8</v>
      </c>
      <c r="G733" t="e">
        <f>FIND("(", tblPassengerNames[[#This Row],[Name]])</f>
        <v>#VALUE!</v>
      </c>
      <c r="H733" t="e">
        <f>FIND(")", tblPassengerNames[[#This Row],[Name]])</f>
        <v>#VALUE!</v>
      </c>
      <c r="I733">
        <f>IFERROR(tblPassengerNames[[#This Row],[OpenParPos]] - 2, LEN(tblPassengerNames[[#This Row],[Name]]))</f>
        <v>13</v>
      </c>
      <c r="J733" t="str">
        <f>MID(tblPassengerNames[[#This Row],[Name]], tblPassengerNames[[#This Row],[DotPos]] + 2, tblPassengerNames[[#This Row],[EndOfConvFNPos]] - tblPassengerNames[[#This Row],[DotPos]] - 1)</f>
        <v>Ivan</v>
      </c>
      <c r="K733" t="e">
        <f>MID(tblPassengerNames[[#This Row],[Name]], tblPassengerNames[[#This Row],[OpenParPos]] + 1, tblPassengerNames[[#This Row],[CloseParPos]] - tblPassengerNames[[#This Row],[OpenParPos]] - 1)</f>
        <v>#VALUE!</v>
      </c>
      <c r="L733" t="e">
        <f>IF(AND(LEFT(tblPassengerNames[[#This Row],[InParentheses]], 1) = "'", RIGHT(tblPassengerNames[[#This Row],[InParentheses]], 1) = "'"),
    #VALUE!,
    tblPassengerNames[[#This Row],[InParentheses]]
)</f>
        <v>#VALUE!</v>
      </c>
      <c r="M733" t="e">
        <f>LEN(tblPassengerNames[[#This Row],[InParenthesesCleaned]]) - LEN(SUBSTITUTE(tblPassengerNames[[#This Row],[InParenthesesCleaned]], " ", ""))</f>
        <v>#VALUE!</v>
      </c>
      <c r="N733" t="e">
        <f>FIND("@", SUBSTITUTE(tblPassengerNames[[#This Row],[InParenthesesCleaned]], " ", "@", tblPassengerNames[[#This Row],[P_NSpaces]]))</f>
        <v>#VALUE!</v>
      </c>
      <c r="O733" t="e">
        <f>IF(tblPassengerNames[[#This Row],[P_NSpaces]] = 0,
    tblPassengerNames[[#This Row],[InParenthesesCleaned]],
    LEFT(tblPassengerNames[[#This Row],[InParenthesesCleaned]], tblPassengerNames[[#This Row],[P_FinalSpacePos]] - 1)
)</f>
        <v>#VALUE!</v>
      </c>
      <c r="P733" t="str">
        <f>IFERROR(tblPassengerNames[[#This Row],[P_Forenames]], tblPassengerNames[[#This Row],[ConvForenames]])</f>
        <v>Ivan</v>
      </c>
      <c r="Q733" t="str">
        <f>MID(tblPassengerNames[[#This Row],[Name]], tblPassengerNames[[#This Row],[CommaPos]] + 2, tblPassengerNames[[#This Row],[DotPos]] - tblPassengerNames[[#This Row],[CommaPos]] - 1)</f>
        <v>Mr.</v>
      </c>
      <c r="R733" t="str">
        <f>LEFT(tblPassengerNames[[#This Row],[Name]], tblPassengerNames[[#This Row],[CommaPos]] - 1)</f>
        <v>Cor</v>
      </c>
    </row>
    <row r="734" spans="2:18" x14ac:dyDescent="0.25">
      <c r="B734" s="21">
        <v>732</v>
      </c>
      <c r="C734" s="21" t="s">
        <v>867</v>
      </c>
      <c r="D734" s="21" t="s">
        <v>138</v>
      </c>
      <c r="E734">
        <f>FIND(",", tblPassengerNames[[#This Row],[Name]])</f>
        <v>4</v>
      </c>
      <c r="F734">
        <f>FIND(".", tblPassengerNames[[#This Row],[Name]])</f>
        <v>8</v>
      </c>
      <c r="G734" t="e">
        <f>FIND("(", tblPassengerNames[[#This Row],[Name]])</f>
        <v>#VALUE!</v>
      </c>
      <c r="H734" t="e">
        <f>FIND(")", tblPassengerNames[[#This Row],[Name]])</f>
        <v>#VALUE!</v>
      </c>
      <c r="I734">
        <f>IFERROR(tblPassengerNames[[#This Row],[OpenParPos]] - 2, LEN(tblPassengerNames[[#This Row],[Name]]))</f>
        <v>17</v>
      </c>
      <c r="J734" t="str">
        <f>MID(tblPassengerNames[[#This Row],[Name]], tblPassengerNames[[#This Row],[DotPos]] + 2, tblPassengerNames[[#This Row],[EndOfConvFNPos]] - tblPassengerNames[[#This Row],[DotPos]] - 1)</f>
        <v>Liudevit</v>
      </c>
      <c r="K734" t="e">
        <f>MID(tblPassengerNames[[#This Row],[Name]], tblPassengerNames[[#This Row],[OpenParPos]] + 1, tblPassengerNames[[#This Row],[CloseParPos]] - tblPassengerNames[[#This Row],[OpenParPos]] - 1)</f>
        <v>#VALUE!</v>
      </c>
      <c r="L734" t="e">
        <f>IF(AND(LEFT(tblPassengerNames[[#This Row],[InParentheses]], 1) = "'", RIGHT(tblPassengerNames[[#This Row],[InParentheses]], 1) = "'"),
    #VALUE!,
    tblPassengerNames[[#This Row],[InParentheses]]
)</f>
        <v>#VALUE!</v>
      </c>
      <c r="M734" t="e">
        <f>LEN(tblPassengerNames[[#This Row],[InParenthesesCleaned]]) - LEN(SUBSTITUTE(tblPassengerNames[[#This Row],[InParenthesesCleaned]], " ", ""))</f>
        <v>#VALUE!</v>
      </c>
      <c r="N734" t="e">
        <f>FIND("@", SUBSTITUTE(tblPassengerNames[[#This Row],[InParenthesesCleaned]], " ", "@", tblPassengerNames[[#This Row],[P_NSpaces]]))</f>
        <v>#VALUE!</v>
      </c>
      <c r="O734" t="e">
        <f>IF(tblPassengerNames[[#This Row],[P_NSpaces]] = 0,
    tblPassengerNames[[#This Row],[InParenthesesCleaned]],
    LEFT(tblPassengerNames[[#This Row],[InParenthesesCleaned]], tblPassengerNames[[#This Row],[P_FinalSpacePos]] - 1)
)</f>
        <v>#VALUE!</v>
      </c>
      <c r="P734" t="str">
        <f>IFERROR(tblPassengerNames[[#This Row],[P_Forenames]], tblPassengerNames[[#This Row],[ConvForenames]])</f>
        <v>Liudevit</v>
      </c>
      <c r="Q734" t="str">
        <f>MID(tblPassengerNames[[#This Row],[Name]], tblPassengerNames[[#This Row],[CommaPos]] + 2, tblPassengerNames[[#This Row],[DotPos]] - tblPassengerNames[[#This Row],[CommaPos]] - 1)</f>
        <v>Mr.</v>
      </c>
      <c r="R734" t="str">
        <f>LEFT(tblPassengerNames[[#This Row],[Name]], tblPassengerNames[[#This Row],[CommaPos]] - 1)</f>
        <v>Cor</v>
      </c>
    </row>
    <row r="735" spans="2:18" x14ac:dyDescent="0.25">
      <c r="B735" s="21">
        <v>733</v>
      </c>
      <c r="C735" s="21" t="s">
        <v>868</v>
      </c>
      <c r="D735" s="21" t="s">
        <v>138</v>
      </c>
      <c r="E735">
        <f>FIND(",", tblPassengerNames[[#This Row],[Name]])</f>
        <v>5</v>
      </c>
      <c r="F735">
        <f>FIND(".", tblPassengerNames[[#This Row],[Name]])</f>
        <v>9</v>
      </c>
      <c r="G735" t="e">
        <f>FIND("(", tblPassengerNames[[#This Row],[Name]])</f>
        <v>#VALUE!</v>
      </c>
      <c r="H735" t="e">
        <f>FIND(")", tblPassengerNames[[#This Row],[Name]])</f>
        <v>#VALUE!</v>
      </c>
      <c r="I735">
        <f>IFERROR(tblPassengerNames[[#This Row],[OpenParPos]] - 2, LEN(tblPassengerNames[[#This Row],[Name]]))</f>
        <v>15</v>
      </c>
      <c r="J735" t="str">
        <f>MID(tblPassengerNames[[#This Row],[Name]], tblPassengerNames[[#This Row],[DotPos]] + 2, tblPassengerNames[[#This Row],[EndOfConvFNPos]] - tblPassengerNames[[#This Row],[DotPos]] - 1)</f>
        <v>Harry</v>
      </c>
      <c r="K735" t="e">
        <f>MID(tblPassengerNames[[#This Row],[Name]], tblPassengerNames[[#This Row],[OpenParPos]] + 1, tblPassengerNames[[#This Row],[CloseParPos]] - tblPassengerNames[[#This Row],[OpenParPos]] - 1)</f>
        <v>#VALUE!</v>
      </c>
      <c r="L735" t="e">
        <f>IF(AND(LEFT(tblPassengerNames[[#This Row],[InParentheses]], 1) = "'", RIGHT(tblPassengerNames[[#This Row],[InParentheses]], 1) = "'"),
    #VALUE!,
    tblPassengerNames[[#This Row],[InParentheses]]
)</f>
        <v>#VALUE!</v>
      </c>
      <c r="M735" t="e">
        <f>LEN(tblPassengerNames[[#This Row],[InParenthesesCleaned]]) - LEN(SUBSTITUTE(tblPassengerNames[[#This Row],[InParenthesesCleaned]], " ", ""))</f>
        <v>#VALUE!</v>
      </c>
      <c r="N735" t="e">
        <f>FIND("@", SUBSTITUTE(tblPassengerNames[[#This Row],[InParenthesesCleaned]], " ", "@", tblPassengerNames[[#This Row],[P_NSpaces]]))</f>
        <v>#VALUE!</v>
      </c>
      <c r="O735" t="e">
        <f>IF(tblPassengerNames[[#This Row],[P_NSpaces]] = 0,
    tblPassengerNames[[#This Row],[InParenthesesCleaned]],
    LEFT(tblPassengerNames[[#This Row],[InParenthesesCleaned]], tblPassengerNames[[#This Row],[P_FinalSpacePos]] - 1)
)</f>
        <v>#VALUE!</v>
      </c>
      <c r="P735" t="str">
        <f>IFERROR(tblPassengerNames[[#This Row],[P_Forenames]], tblPassengerNames[[#This Row],[ConvForenames]])</f>
        <v>Harry</v>
      </c>
      <c r="Q735" t="str">
        <f>MID(tblPassengerNames[[#This Row],[Name]], tblPassengerNames[[#This Row],[CommaPos]] + 2, tblPassengerNames[[#This Row],[DotPos]] - tblPassengerNames[[#This Row],[CommaPos]] - 1)</f>
        <v>Mr.</v>
      </c>
      <c r="R735" t="str">
        <f>LEFT(tblPassengerNames[[#This Row],[Name]], tblPassengerNames[[#This Row],[CommaPos]] - 1)</f>
        <v>Corn</v>
      </c>
    </row>
    <row r="736" spans="2:18" x14ac:dyDescent="0.25">
      <c r="B736" s="21">
        <v>734</v>
      </c>
      <c r="C736" s="21" t="s">
        <v>869</v>
      </c>
      <c r="D736" s="21" t="s">
        <v>138</v>
      </c>
      <c r="E736">
        <f>FIND(",", tblPassengerNames[[#This Row],[Name]])</f>
        <v>7</v>
      </c>
      <c r="F736">
        <f>FIND(".", tblPassengerNames[[#This Row],[Name]])</f>
        <v>15</v>
      </c>
      <c r="G736" t="e">
        <f>FIND("(", tblPassengerNames[[#This Row],[Name]])</f>
        <v>#VALUE!</v>
      </c>
      <c r="H736" t="e">
        <f>FIND(")", tblPassengerNames[[#This Row],[Name]])</f>
        <v>#VALUE!</v>
      </c>
      <c r="I736">
        <f>IFERROR(tblPassengerNames[[#This Row],[OpenParPos]] - 2, LEN(tblPassengerNames[[#This Row],[Name]]))</f>
        <v>37</v>
      </c>
      <c r="J736" t="str">
        <f>MID(tblPassengerNames[[#This Row],[Name]], tblPassengerNames[[#This Row],[DotPos]] + 2, tblPassengerNames[[#This Row],[EndOfConvFNPos]] - tblPassengerNames[[#This Row],[DotPos]] - 1)</f>
        <v>Eden Leslie 'Neville'</v>
      </c>
      <c r="K736" t="e">
        <f>MID(tblPassengerNames[[#This Row],[Name]], tblPassengerNames[[#This Row],[OpenParPos]] + 1, tblPassengerNames[[#This Row],[CloseParPos]] - tblPassengerNames[[#This Row],[OpenParPos]] - 1)</f>
        <v>#VALUE!</v>
      </c>
      <c r="L736" t="e">
        <f>IF(AND(LEFT(tblPassengerNames[[#This Row],[InParentheses]], 1) = "'", RIGHT(tblPassengerNames[[#This Row],[InParentheses]], 1) = "'"),
    #VALUE!,
    tblPassengerNames[[#This Row],[InParentheses]]
)</f>
        <v>#VALUE!</v>
      </c>
      <c r="M736" t="e">
        <f>LEN(tblPassengerNames[[#This Row],[InParenthesesCleaned]]) - LEN(SUBSTITUTE(tblPassengerNames[[#This Row],[InParenthesesCleaned]], " ", ""))</f>
        <v>#VALUE!</v>
      </c>
      <c r="N736" t="e">
        <f>FIND("@", SUBSTITUTE(tblPassengerNames[[#This Row],[InParenthesesCleaned]], " ", "@", tblPassengerNames[[#This Row],[P_NSpaces]]))</f>
        <v>#VALUE!</v>
      </c>
      <c r="O736" t="e">
        <f>IF(tblPassengerNames[[#This Row],[P_NSpaces]] = 0,
    tblPassengerNames[[#This Row],[InParenthesesCleaned]],
    LEFT(tblPassengerNames[[#This Row],[InParenthesesCleaned]], tblPassengerNames[[#This Row],[P_FinalSpacePos]] - 1)
)</f>
        <v>#VALUE!</v>
      </c>
      <c r="P736" t="str">
        <f>IFERROR(tblPassengerNames[[#This Row],[P_Forenames]], tblPassengerNames[[#This Row],[ConvForenames]])</f>
        <v>Eden Leslie 'Neville'</v>
      </c>
      <c r="Q736" t="str">
        <f>MID(tblPassengerNames[[#This Row],[Name]], tblPassengerNames[[#This Row],[CommaPos]] + 2, tblPassengerNames[[#This Row],[DotPos]] - tblPassengerNames[[#This Row],[CommaPos]] - 1)</f>
        <v>Master.</v>
      </c>
      <c r="R736" t="str">
        <f>LEFT(tblPassengerNames[[#This Row],[Name]], tblPassengerNames[[#This Row],[CommaPos]] - 1)</f>
        <v>Coutts</v>
      </c>
    </row>
    <row r="737" spans="2:18" x14ac:dyDescent="0.25">
      <c r="B737" s="21">
        <v>735</v>
      </c>
      <c r="C737" s="21" t="s">
        <v>870</v>
      </c>
      <c r="D737" s="21" t="s">
        <v>138</v>
      </c>
      <c r="E737">
        <f>FIND(",", tblPassengerNames[[#This Row],[Name]])</f>
        <v>7</v>
      </c>
      <c r="F737">
        <f>FIND(".", tblPassengerNames[[#This Row],[Name]])</f>
        <v>15</v>
      </c>
      <c r="G737" t="e">
        <f>FIND("(", tblPassengerNames[[#This Row],[Name]])</f>
        <v>#VALUE!</v>
      </c>
      <c r="H737" t="e">
        <f>FIND(")", tblPassengerNames[[#This Row],[Name]])</f>
        <v>#VALUE!</v>
      </c>
      <c r="I737">
        <f>IFERROR(tblPassengerNames[[#This Row],[OpenParPos]] - 2, LEN(tblPassengerNames[[#This Row],[Name]]))</f>
        <v>38</v>
      </c>
      <c r="J737" t="str">
        <f>MID(tblPassengerNames[[#This Row],[Name]], tblPassengerNames[[#This Row],[DotPos]] + 2, tblPassengerNames[[#This Row],[EndOfConvFNPos]] - tblPassengerNames[[#This Row],[DotPos]] - 1)</f>
        <v>William Loch 'William'</v>
      </c>
      <c r="K737" t="e">
        <f>MID(tblPassengerNames[[#This Row],[Name]], tblPassengerNames[[#This Row],[OpenParPos]] + 1, tblPassengerNames[[#This Row],[CloseParPos]] - tblPassengerNames[[#This Row],[OpenParPos]] - 1)</f>
        <v>#VALUE!</v>
      </c>
      <c r="L737" t="e">
        <f>IF(AND(LEFT(tblPassengerNames[[#This Row],[InParentheses]], 1) = "'", RIGHT(tblPassengerNames[[#This Row],[InParentheses]], 1) = "'"),
    #VALUE!,
    tblPassengerNames[[#This Row],[InParentheses]]
)</f>
        <v>#VALUE!</v>
      </c>
      <c r="M737" t="e">
        <f>LEN(tblPassengerNames[[#This Row],[InParenthesesCleaned]]) - LEN(SUBSTITUTE(tblPassengerNames[[#This Row],[InParenthesesCleaned]], " ", ""))</f>
        <v>#VALUE!</v>
      </c>
      <c r="N737" t="e">
        <f>FIND("@", SUBSTITUTE(tblPassengerNames[[#This Row],[InParenthesesCleaned]], " ", "@", tblPassengerNames[[#This Row],[P_NSpaces]]))</f>
        <v>#VALUE!</v>
      </c>
      <c r="O737" t="e">
        <f>IF(tblPassengerNames[[#This Row],[P_NSpaces]] = 0,
    tblPassengerNames[[#This Row],[InParenthesesCleaned]],
    LEFT(tblPassengerNames[[#This Row],[InParenthesesCleaned]], tblPassengerNames[[#This Row],[P_FinalSpacePos]] - 1)
)</f>
        <v>#VALUE!</v>
      </c>
      <c r="P737" t="str">
        <f>IFERROR(tblPassengerNames[[#This Row],[P_Forenames]], tblPassengerNames[[#This Row],[ConvForenames]])</f>
        <v>William Loch 'William'</v>
      </c>
      <c r="Q737" t="str">
        <f>MID(tblPassengerNames[[#This Row],[Name]], tblPassengerNames[[#This Row],[CommaPos]] + 2, tblPassengerNames[[#This Row],[DotPos]] - tblPassengerNames[[#This Row],[CommaPos]] - 1)</f>
        <v>Master.</v>
      </c>
      <c r="R737" t="str">
        <f>LEFT(tblPassengerNames[[#This Row],[Name]], tblPassengerNames[[#This Row],[CommaPos]] - 1)</f>
        <v>Coutts</v>
      </c>
    </row>
    <row r="738" spans="2:18" x14ac:dyDescent="0.25">
      <c r="B738" s="21">
        <v>736</v>
      </c>
      <c r="C738" s="21" t="s">
        <v>871</v>
      </c>
      <c r="D738" s="21" t="s">
        <v>136</v>
      </c>
      <c r="E738">
        <f>FIND(",", tblPassengerNames[[#This Row],[Name]])</f>
        <v>7</v>
      </c>
      <c r="F738">
        <f>FIND(".", tblPassengerNames[[#This Row],[Name]])</f>
        <v>12</v>
      </c>
      <c r="G738">
        <f>FIND("(", tblPassengerNames[[#This Row],[Name]])</f>
        <v>22</v>
      </c>
      <c r="H738">
        <f>FIND(")", tblPassengerNames[[#This Row],[Name]])</f>
        <v>46</v>
      </c>
      <c r="I738">
        <f>IFERROR(tblPassengerNames[[#This Row],[OpenParPos]] - 2, LEN(tblPassengerNames[[#This Row],[Name]]))</f>
        <v>20</v>
      </c>
      <c r="J738" t="str">
        <f>MID(tblPassengerNames[[#This Row],[Name]], tblPassengerNames[[#This Row],[DotPos]] + 2, tblPassengerNames[[#This Row],[EndOfConvFNPos]] - tblPassengerNames[[#This Row],[DotPos]] - 1)</f>
        <v>William</v>
      </c>
      <c r="K738" t="str">
        <f>MID(tblPassengerNames[[#This Row],[Name]], tblPassengerNames[[#This Row],[OpenParPos]] + 1, tblPassengerNames[[#This Row],[CloseParPos]] - tblPassengerNames[[#This Row],[OpenParPos]] - 1)</f>
        <v>Winnie 'Minnie' Treanor</v>
      </c>
      <c r="L738" t="str">
        <f>IF(AND(LEFT(tblPassengerNames[[#This Row],[InParentheses]], 1) = "'", RIGHT(tblPassengerNames[[#This Row],[InParentheses]], 1) = "'"),
    #VALUE!,
    tblPassengerNames[[#This Row],[InParentheses]]
)</f>
        <v>Winnie 'Minnie' Treanor</v>
      </c>
      <c r="M738">
        <f>LEN(tblPassengerNames[[#This Row],[InParenthesesCleaned]]) - LEN(SUBSTITUTE(tblPassengerNames[[#This Row],[InParenthesesCleaned]], " ", ""))</f>
        <v>2</v>
      </c>
      <c r="N738">
        <f>FIND("@", SUBSTITUTE(tblPassengerNames[[#This Row],[InParenthesesCleaned]], " ", "@", tblPassengerNames[[#This Row],[P_NSpaces]]))</f>
        <v>16</v>
      </c>
      <c r="O738" t="str">
        <f>IF(tblPassengerNames[[#This Row],[P_NSpaces]] = 0,
    tblPassengerNames[[#This Row],[InParenthesesCleaned]],
    LEFT(tblPassengerNames[[#This Row],[InParenthesesCleaned]], tblPassengerNames[[#This Row],[P_FinalSpacePos]] - 1)
)</f>
        <v>Winnie 'Minnie'</v>
      </c>
      <c r="P738" t="str">
        <f>IFERROR(tblPassengerNames[[#This Row],[P_Forenames]], tblPassengerNames[[#This Row],[ConvForenames]])</f>
        <v>Winnie 'Minnie'</v>
      </c>
      <c r="Q738" t="str">
        <f>MID(tblPassengerNames[[#This Row],[Name]], tblPassengerNames[[#This Row],[CommaPos]] + 2, tblPassengerNames[[#This Row],[DotPos]] - tblPassengerNames[[#This Row],[CommaPos]] - 1)</f>
        <v>Mrs.</v>
      </c>
      <c r="R738" t="str">
        <f>LEFT(tblPassengerNames[[#This Row],[Name]], tblPassengerNames[[#This Row],[CommaPos]] - 1)</f>
        <v>Coutts</v>
      </c>
    </row>
    <row r="739" spans="2:18" x14ac:dyDescent="0.25">
      <c r="B739" s="21">
        <v>737</v>
      </c>
      <c r="C739" s="21" t="s">
        <v>872</v>
      </c>
      <c r="D739" s="21" t="s">
        <v>138</v>
      </c>
      <c r="E739">
        <f>FIND(",", tblPassengerNames[[#This Row],[Name]])</f>
        <v>6</v>
      </c>
      <c r="F739">
        <f>FIND(".", tblPassengerNames[[#This Row],[Name]])</f>
        <v>10</v>
      </c>
      <c r="G739" t="e">
        <f>FIND("(", tblPassengerNames[[#This Row],[Name]])</f>
        <v>#VALUE!</v>
      </c>
      <c r="H739" t="e">
        <f>FIND(")", tblPassengerNames[[#This Row],[Name]])</f>
        <v>#VALUE!</v>
      </c>
      <c r="I739">
        <f>IFERROR(tblPassengerNames[[#This Row],[OpenParPos]] - 2, LEN(tblPassengerNames[[#This Row],[Name]]))</f>
        <v>17</v>
      </c>
      <c r="J739" t="str">
        <f>MID(tblPassengerNames[[#This Row],[Name]], tblPassengerNames[[#This Row],[DotPos]] + 2, tblPassengerNames[[#This Row],[EndOfConvFNPos]] - tblPassengerNames[[#This Row],[DotPos]] - 1)</f>
        <v>Daniel</v>
      </c>
      <c r="K739" t="e">
        <f>MID(tblPassengerNames[[#This Row],[Name]], tblPassengerNames[[#This Row],[OpenParPos]] + 1, tblPassengerNames[[#This Row],[CloseParPos]] - tblPassengerNames[[#This Row],[OpenParPos]] - 1)</f>
        <v>#VALUE!</v>
      </c>
      <c r="L739" t="e">
        <f>IF(AND(LEFT(tblPassengerNames[[#This Row],[InParentheses]], 1) = "'", RIGHT(tblPassengerNames[[#This Row],[InParentheses]], 1) = "'"),
    #VALUE!,
    tblPassengerNames[[#This Row],[InParentheses]]
)</f>
        <v>#VALUE!</v>
      </c>
      <c r="M739" t="e">
        <f>LEN(tblPassengerNames[[#This Row],[InParenthesesCleaned]]) - LEN(SUBSTITUTE(tblPassengerNames[[#This Row],[InParenthesesCleaned]], " ", ""))</f>
        <v>#VALUE!</v>
      </c>
      <c r="N739" t="e">
        <f>FIND("@", SUBSTITUTE(tblPassengerNames[[#This Row],[InParenthesesCleaned]], " ", "@", tblPassengerNames[[#This Row],[P_NSpaces]]))</f>
        <v>#VALUE!</v>
      </c>
      <c r="O739" t="e">
        <f>IF(tblPassengerNames[[#This Row],[P_NSpaces]] = 0,
    tblPassengerNames[[#This Row],[InParenthesesCleaned]],
    LEFT(tblPassengerNames[[#This Row],[InParenthesesCleaned]], tblPassengerNames[[#This Row],[P_FinalSpacePos]] - 1)
)</f>
        <v>#VALUE!</v>
      </c>
      <c r="P739" t="str">
        <f>IFERROR(tblPassengerNames[[#This Row],[P_Forenames]], tblPassengerNames[[#This Row],[ConvForenames]])</f>
        <v>Daniel</v>
      </c>
      <c r="Q739" t="str">
        <f>MID(tblPassengerNames[[#This Row],[Name]], tblPassengerNames[[#This Row],[CommaPos]] + 2, tblPassengerNames[[#This Row],[DotPos]] - tblPassengerNames[[#This Row],[CommaPos]] - 1)</f>
        <v>Mr.</v>
      </c>
      <c r="R739" t="str">
        <f>LEFT(tblPassengerNames[[#This Row],[Name]], tblPassengerNames[[#This Row],[CommaPos]] - 1)</f>
        <v>Coxon</v>
      </c>
    </row>
    <row r="740" spans="2:18" x14ac:dyDescent="0.25">
      <c r="B740" s="21">
        <v>738</v>
      </c>
      <c r="C740" s="21" t="s">
        <v>873</v>
      </c>
      <c r="D740" s="21" t="s">
        <v>138</v>
      </c>
      <c r="E740">
        <f>FIND(",", tblPassengerNames[[#This Row],[Name]])</f>
        <v>7</v>
      </c>
      <c r="F740">
        <f>FIND(".", tblPassengerNames[[#This Row],[Name]])</f>
        <v>11</v>
      </c>
      <c r="G740" t="e">
        <f>FIND("(", tblPassengerNames[[#This Row],[Name]])</f>
        <v>#VALUE!</v>
      </c>
      <c r="H740" t="e">
        <f>FIND(")", tblPassengerNames[[#This Row],[Name]])</f>
        <v>#VALUE!</v>
      </c>
      <c r="I740">
        <f>IFERROR(tblPassengerNames[[#This Row],[OpenParPos]] - 2, LEN(tblPassengerNames[[#This Row],[Name]]))</f>
        <v>24</v>
      </c>
      <c r="J740" t="str">
        <f>MID(tblPassengerNames[[#This Row],[Name]], tblPassengerNames[[#This Row],[DotPos]] + 2, tblPassengerNames[[#This Row],[EndOfConvFNPos]] - tblPassengerNames[[#This Row],[DotPos]] - 1)</f>
        <v>Ernest James</v>
      </c>
      <c r="K740" t="e">
        <f>MID(tblPassengerNames[[#This Row],[Name]], tblPassengerNames[[#This Row],[OpenParPos]] + 1, tblPassengerNames[[#This Row],[CloseParPos]] - tblPassengerNames[[#This Row],[OpenParPos]] - 1)</f>
        <v>#VALUE!</v>
      </c>
      <c r="L740" t="e">
        <f>IF(AND(LEFT(tblPassengerNames[[#This Row],[InParentheses]], 1) = "'", RIGHT(tblPassengerNames[[#This Row],[InParentheses]], 1) = "'"),
    #VALUE!,
    tblPassengerNames[[#This Row],[InParentheses]]
)</f>
        <v>#VALUE!</v>
      </c>
      <c r="M740" t="e">
        <f>LEN(tblPassengerNames[[#This Row],[InParenthesesCleaned]]) - LEN(SUBSTITUTE(tblPassengerNames[[#This Row],[InParenthesesCleaned]], " ", ""))</f>
        <v>#VALUE!</v>
      </c>
      <c r="N740" t="e">
        <f>FIND("@", SUBSTITUTE(tblPassengerNames[[#This Row],[InParenthesesCleaned]], " ", "@", tblPassengerNames[[#This Row],[P_NSpaces]]))</f>
        <v>#VALUE!</v>
      </c>
      <c r="O740" t="e">
        <f>IF(tblPassengerNames[[#This Row],[P_NSpaces]] = 0,
    tblPassengerNames[[#This Row],[InParenthesesCleaned]],
    LEFT(tblPassengerNames[[#This Row],[InParenthesesCleaned]], tblPassengerNames[[#This Row],[P_FinalSpacePos]] - 1)
)</f>
        <v>#VALUE!</v>
      </c>
      <c r="P740" t="str">
        <f>IFERROR(tblPassengerNames[[#This Row],[P_Forenames]], tblPassengerNames[[#This Row],[ConvForenames]])</f>
        <v>Ernest James</v>
      </c>
      <c r="Q740" t="str">
        <f>MID(tblPassengerNames[[#This Row],[Name]], tblPassengerNames[[#This Row],[CommaPos]] + 2, tblPassengerNames[[#This Row],[DotPos]] - tblPassengerNames[[#This Row],[CommaPos]] - 1)</f>
        <v>Mr.</v>
      </c>
      <c r="R740" t="str">
        <f>LEFT(tblPassengerNames[[#This Row],[Name]], tblPassengerNames[[#This Row],[CommaPos]] - 1)</f>
        <v>Crease</v>
      </c>
    </row>
    <row r="741" spans="2:18" x14ac:dyDescent="0.25">
      <c r="B741" s="21">
        <v>739</v>
      </c>
      <c r="C741" s="21" t="s">
        <v>874</v>
      </c>
      <c r="D741" s="21" t="s">
        <v>136</v>
      </c>
      <c r="E741">
        <f>FIND(",", tblPassengerNames[[#This Row],[Name]])</f>
        <v>6</v>
      </c>
      <c r="F741">
        <f>FIND(".", tblPassengerNames[[#This Row],[Name]])</f>
        <v>12</v>
      </c>
      <c r="G741" t="e">
        <f>FIND("(", tblPassengerNames[[#This Row],[Name]])</f>
        <v>#VALUE!</v>
      </c>
      <c r="H741" t="e">
        <f>FIND(")", tblPassengerNames[[#This Row],[Name]])</f>
        <v>#VALUE!</v>
      </c>
      <c r="I741">
        <f>IFERROR(tblPassengerNames[[#This Row],[OpenParPos]] - 2, LEN(tblPassengerNames[[#This Row],[Name]]))</f>
        <v>24</v>
      </c>
      <c r="J741" t="str">
        <f>MID(tblPassengerNames[[#This Row],[Name]], tblPassengerNames[[#This Row],[DotPos]] + 2, tblPassengerNames[[#This Row],[EndOfConvFNPos]] - tblPassengerNames[[#This Row],[DotPos]] - 1)</f>
        <v>Laura Alice</v>
      </c>
      <c r="K741" t="e">
        <f>MID(tblPassengerNames[[#This Row],[Name]], tblPassengerNames[[#This Row],[OpenParPos]] + 1, tblPassengerNames[[#This Row],[CloseParPos]] - tblPassengerNames[[#This Row],[OpenParPos]] - 1)</f>
        <v>#VALUE!</v>
      </c>
      <c r="L741" t="e">
        <f>IF(AND(LEFT(tblPassengerNames[[#This Row],[InParentheses]], 1) = "'", RIGHT(tblPassengerNames[[#This Row],[InParentheses]], 1) = "'"),
    #VALUE!,
    tblPassengerNames[[#This Row],[InParentheses]]
)</f>
        <v>#VALUE!</v>
      </c>
      <c r="M741" t="e">
        <f>LEN(tblPassengerNames[[#This Row],[InParenthesesCleaned]]) - LEN(SUBSTITUTE(tblPassengerNames[[#This Row],[InParenthesesCleaned]], " ", ""))</f>
        <v>#VALUE!</v>
      </c>
      <c r="N741" t="e">
        <f>FIND("@", SUBSTITUTE(tblPassengerNames[[#This Row],[InParenthesesCleaned]], " ", "@", tblPassengerNames[[#This Row],[P_NSpaces]]))</f>
        <v>#VALUE!</v>
      </c>
      <c r="O741" t="e">
        <f>IF(tblPassengerNames[[#This Row],[P_NSpaces]] = 0,
    tblPassengerNames[[#This Row],[InParenthesesCleaned]],
    LEFT(tblPassengerNames[[#This Row],[InParenthesesCleaned]], tblPassengerNames[[#This Row],[P_FinalSpacePos]] - 1)
)</f>
        <v>#VALUE!</v>
      </c>
      <c r="P741" t="str">
        <f>IFERROR(tblPassengerNames[[#This Row],[P_Forenames]], tblPassengerNames[[#This Row],[ConvForenames]])</f>
        <v>Laura Alice</v>
      </c>
      <c r="Q741" t="str">
        <f>MID(tblPassengerNames[[#This Row],[Name]], tblPassengerNames[[#This Row],[CommaPos]] + 2, tblPassengerNames[[#This Row],[DotPos]] - tblPassengerNames[[#This Row],[CommaPos]] - 1)</f>
        <v>Miss.</v>
      </c>
      <c r="R741" t="str">
        <f>LEFT(tblPassengerNames[[#This Row],[Name]], tblPassengerNames[[#This Row],[CommaPos]] - 1)</f>
        <v>Cribb</v>
      </c>
    </row>
    <row r="742" spans="2:18" x14ac:dyDescent="0.25">
      <c r="B742" s="21">
        <v>740</v>
      </c>
      <c r="C742" s="21" t="s">
        <v>875</v>
      </c>
      <c r="D742" s="21" t="s">
        <v>138</v>
      </c>
      <c r="E742">
        <f>FIND(",", tblPassengerNames[[#This Row],[Name]])</f>
        <v>6</v>
      </c>
      <c r="F742">
        <f>FIND(".", tblPassengerNames[[#This Row],[Name]])</f>
        <v>10</v>
      </c>
      <c r="G742" t="e">
        <f>FIND("(", tblPassengerNames[[#This Row],[Name]])</f>
        <v>#VALUE!</v>
      </c>
      <c r="H742" t="e">
        <f>FIND(")", tblPassengerNames[[#This Row],[Name]])</f>
        <v>#VALUE!</v>
      </c>
      <c r="I742">
        <f>IFERROR(tblPassengerNames[[#This Row],[OpenParPos]] - 2, LEN(tblPassengerNames[[#This Row],[Name]]))</f>
        <v>24</v>
      </c>
      <c r="J742" t="str">
        <f>MID(tblPassengerNames[[#This Row],[Name]], tblPassengerNames[[#This Row],[DotPos]] + 2, tblPassengerNames[[#This Row],[EndOfConvFNPos]] - tblPassengerNames[[#This Row],[DotPos]] - 1)</f>
        <v>John Hatfield</v>
      </c>
      <c r="K742" t="e">
        <f>MID(tblPassengerNames[[#This Row],[Name]], tblPassengerNames[[#This Row],[OpenParPos]] + 1, tblPassengerNames[[#This Row],[CloseParPos]] - tblPassengerNames[[#This Row],[OpenParPos]] - 1)</f>
        <v>#VALUE!</v>
      </c>
      <c r="L742" t="e">
        <f>IF(AND(LEFT(tblPassengerNames[[#This Row],[InParentheses]], 1) = "'", RIGHT(tblPassengerNames[[#This Row],[InParentheses]], 1) = "'"),
    #VALUE!,
    tblPassengerNames[[#This Row],[InParentheses]]
)</f>
        <v>#VALUE!</v>
      </c>
      <c r="M742" t="e">
        <f>LEN(tblPassengerNames[[#This Row],[InParenthesesCleaned]]) - LEN(SUBSTITUTE(tblPassengerNames[[#This Row],[InParenthesesCleaned]], " ", ""))</f>
        <v>#VALUE!</v>
      </c>
      <c r="N742" t="e">
        <f>FIND("@", SUBSTITUTE(tblPassengerNames[[#This Row],[InParenthesesCleaned]], " ", "@", tblPassengerNames[[#This Row],[P_NSpaces]]))</f>
        <v>#VALUE!</v>
      </c>
      <c r="O742" t="e">
        <f>IF(tblPassengerNames[[#This Row],[P_NSpaces]] = 0,
    tblPassengerNames[[#This Row],[InParenthesesCleaned]],
    LEFT(tblPassengerNames[[#This Row],[InParenthesesCleaned]], tblPassengerNames[[#This Row],[P_FinalSpacePos]] - 1)
)</f>
        <v>#VALUE!</v>
      </c>
      <c r="P742" t="str">
        <f>IFERROR(tblPassengerNames[[#This Row],[P_Forenames]], tblPassengerNames[[#This Row],[ConvForenames]])</f>
        <v>John Hatfield</v>
      </c>
      <c r="Q742" t="str">
        <f>MID(tblPassengerNames[[#This Row],[Name]], tblPassengerNames[[#This Row],[CommaPos]] + 2, tblPassengerNames[[#This Row],[DotPos]] - tblPassengerNames[[#This Row],[CommaPos]] - 1)</f>
        <v>Mr.</v>
      </c>
      <c r="R742" t="str">
        <f>LEFT(tblPassengerNames[[#This Row],[Name]], tblPassengerNames[[#This Row],[CommaPos]] - 1)</f>
        <v>Cribb</v>
      </c>
    </row>
    <row r="743" spans="2:18" x14ac:dyDescent="0.25">
      <c r="B743" s="21">
        <v>741</v>
      </c>
      <c r="C743" s="21" t="s">
        <v>876</v>
      </c>
      <c r="D743" s="21" t="s">
        <v>138</v>
      </c>
      <c r="E743">
        <f>FIND(",", tblPassengerNames[[#This Row],[Name]])</f>
        <v>10</v>
      </c>
      <c r="F743">
        <f>FIND(".", tblPassengerNames[[#This Row],[Name]])</f>
        <v>14</v>
      </c>
      <c r="G743" t="e">
        <f>FIND("(", tblPassengerNames[[#This Row],[Name]])</f>
        <v>#VALUE!</v>
      </c>
      <c r="H743" t="e">
        <f>FIND(")", tblPassengerNames[[#This Row],[Name]])</f>
        <v>#VALUE!</v>
      </c>
      <c r="I743">
        <f>IFERROR(tblPassengerNames[[#This Row],[OpenParPos]] - 2, LEN(tblPassengerNames[[#This Row],[Name]]))</f>
        <v>19</v>
      </c>
      <c r="J743" t="str">
        <f>MID(tblPassengerNames[[#This Row],[Name]], tblPassengerNames[[#This Row],[DotPos]] + 2, tblPassengerNames[[#This Row],[EndOfConvFNPos]] - tblPassengerNames[[#This Row],[DotPos]] - 1)</f>
        <v>Jeso</v>
      </c>
      <c r="K743" t="e">
        <f>MID(tblPassengerNames[[#This Row],[Name]], tblPassengerNames[[#This Row],[OpenParPos]] + 1, tblPassengerNames[[#This Row],[CloseParPos]] - tblPassengerNames[[#This Row],[OpenParPos]] - 1)</f>
        <v>#VALUE!</v>
      </c>
      <c r="L743" t="e">
        <f>IF(AND(LEFT(tblPassengerNames[[#This Row],[InParentheses]], 1) = "'", RIGHT(tblPassengerNames[[#This Row],[InParentheses]], 1) = "'"),
    #VALUE!,
    tblPassengerNames[[#This Row],[InParentheses]]
)</f>
        <v>#VALUE!</v>
      </c>
      <c r="M743" t="e">
        <f>LEN(tblPassengerNames[[#This Row],[InParenthesesCleaned]]) - LEN(SUBSTITUTE(tblPassengerNames[[#This Row],[InParenthesesCleaned]], " ", ""))</f>
        <v>#VALUE!</v>
      </c>
      <c r="N743" t="e">
        <f>FIND("@", SUBSTITUTE(tblPassengerNames[[#This Row],[InParenthesesCleaned]], " ", "@", tblPassengerNames[[#This Row],[P_NSpaces]]))</f>
        <v>#VALUE!</v>
      </c>
      <c r="O743" t="e">
        <f>IF(tblPassengerNames[[#This Row],[P_NSpaces]] = 0,
    tblPassengerNames[[#This Row],[InParenthesesCleaned]],
    LEFT(tblPassengerNames[[#This Row],[InParenthesesCleaned]], tblPassengerNames[[#This Row],[P_FinalSpacePos]] - 1)
)</f>
        <v>#VALUE!</v>
      </c>
      <c r="P743" t="str">
        <f>IFERROR(tblPassengerNames[[#This Row],[P_Forenames]], tblPassengerNames[[#This Row],[ConvForenames]])</f>
        <v>Jeso</v>
      </c>
      <c r="Q743" t="str">
        <f>MID(tblPassengerNames[[#This Row],[Name]], tblPassengerNames[[#This Row],[CommaPos]] + 2, tblPassengerNames[[#This Row],[DotPos]] - tblPassengerNames[[#This Row],[CommaPos]] - 1)</f>
        <v>Mr.</v>
      </c>
      <c r="R743" t="str">
        <f>LEFT(tblPassengerNames[[#This Row],[Name]], tblPassengerNames[[#This Row],[CommaPos]] - 1)</f>
        <v>Culumovic</v>
      </c>
    </row>
    <row r="744" spans="2:18" x14ac:dyDescent="0.25">
      <c r="B744" s="21">
        <v>742</v>
      </c>
      <c r="C744" s="21" t="s">
        <v>877</v>
      </c>
      <c r="D744" s="21" t="s">
        <v>138</v>
      </c>
      <c r="E744">
        <f>FIND(",", tblPassengerNames[[#This Row],[Name]])</f>
        <v>6</v>
      </c>
      <c r="F744">
        <f>FIND(".", tblPassengerNames[[#This Row],[Name]])</f>
        <v>10</v>
      </c>
      <c r="G744" t="e">
        <f>FIND("(", tblPassengerNames[[#This Row],[Name]])</f>
        <v>#VALUE!</v>
      </c>
      <c r="H744" t="e">
        <f>FIND(")", tblPassengerNames[[#This Row],[Name]])</f>
        <v>#VALUE!</v>
      </c>
      <c r="I744">
        <f>IFERROR(tblPassengerNames[[#This Row],[OpenParPos]] - 2, LEN(tblPassengerNames[[#This Row],[Name]]))</f>
        <v>17</v>
      </c>
      <c r="J744" t="str">
        <f>MID(tblPassengerNames[[#This Row],[Name]], tblPassengerNames[[#This Row],[DotPos]] + 2, tblPassengerNames[[#This Row],[EndOfConvFNPos]] - tblPassengerNames[[#This Row],[DotPos]] - 1)</f>
        <v>Shedid</v>
      </c>
      <c r="K744" t="e">
        <f>MID(tblPassengerNames[[#This Row],[Name]], tblPassengerNames[[#This Row],[OpenParPos]] + 1, tblPassengerNames[[#This Row],[CloseParPos]] - tblPassengerNames[[#This Row],[OpenParPos]] - 1)</f>
        <v>#VALUE!</v>
      </c>
      <c r="L744" t="e">
        <f>IF(AND(LEFT(tblPassengerNames[[#This Row],[InParentheses]], 1) = "'", RIGHT(tblPassengerNames[[#This Row],[InParentheses]], 1) = "'"),
    #VALUE!,
    tblPassengerNames[[#This Row],[InParentheses]]
)</f>
        <v>#VALUE!</v>
      </c>
      <c r="M744" t="e">
        <f>LEN(tblPassengerNames[[#This Row],[InParenthesesCleaned]]) - LEN(SUBSTITUTE(tblPassengerNames[[#This Row],[InParenthesesCleaned]], " ", ""))</f>
        <v>#VALUE!</v>
      </c>
      <c r="N744" t="e">
        <f>FIND("@", SUBSTITUTE(tblPassengerNames[[#This Row],[InParenthesesCleaned]], " ", "@", tblPassengerNames[[#This Row],[P_NSpaces]]))</f>
        <v>#VALUE!</v>
      </c>
      <c r="O744" t="e">
        <f>IF(tblPassengerNames[[#This Row],[P_NSpaces]] = 0,
    tblPassengerNames[[#This Row],[InParenthesesCleaned]],
    LEFT(tblPassengerNames[[#This Row],[InParenthesesCleaned]], tblPassengerNames[[#This Row],[P_FinalSpacePos]] - 1)
)</f>
        <v>#VALUE!</v>
      </c>
      <c r="P744" t="str">
        <f>IFERROR(tblPassengerNames[[#This Row],[P_Forenames]], tblPassengerNames[[#This Row],[ConvForenames]])</f>
        <v>Shedid</v>
      </c>
      <c r="Q744" t="str">
        <f>MID(tblPassengerNames[[#This Row],[Name]], tblPassengerNames[[#This Row],[CommaPos]] + 2, tblPassengerNames[[#This Row],[DotPos]] - tblPassengerNames[[#This Row],[CommaPos]] - 1)</f>
        <v>Mr.</v>
      </c>
      <c r="R744" t="str">
        <f>LEFT(tblPassengerNames[[#This Row],[Name]], tblPassengerNames[[#This Row],[CommaPos]] - 1)</f>
        <v>Daher</v>
      </c>
    </row>
    <row r="745" spans="2:18" x14ac:dyDescent="0.25">
      <c r="B745" s="21">
        <v>743</v>
      </c>
      <c r="C745" s="21" t="s">
        <v>878</v>
      </c>
      <c r="D745" s="21" t="s">
        <v>138</v>
      </c>
      <c r="E745">
        <f>FIND(",", tblPassengerNames[[#This Row],[Name]])</f>
        <v>5</v>
      </c>
      <c r="F745">
        <f>FIND(".", tblPassengerNames[[#This Row],[Name]])</f>
        <v>9</v>
      </c>
      <c r="G745" t="e">
        <f>FIND("(", tblPassengerNames[[#This Row],[Name]])</f>
        <v>#VALUE!</v>
      </c>
      <c r="H745" t="e">
        <f>FIND(")", tblPassengerNames[[#This Row],[Name]])</f>
        <v>#VALUE!</v>
      </c>
      <c r="I745">
        <f>IFERROR(tblPassengerNames[[#This Row],[OpenParPos]] - 2, LEN(tblPassengerNames[[#This Row],[Name]]))</f>
        <v>21</v>
      </c>
      <c r="J745" t="str">
        <f>MID(tblPassengerNames[[#This Row],[Name]], tblPassengerNames[[#This Row],[DotPos]] + 2, tblPassengerNames[[#This Row],[EndOfConvFNPos]] - tblPassengerNames[[#This Row],[DotPos]] - 1)</f>
        <v>Karl Edwart</v>
      </c>
      <c r="K745" t="e">
        <f>MID(tblPassengerNames[[#This Row],[Name]], tblPassengerNames[[#This Row],[OpenParPos]] + 1, tblPassengerNames[[#This Row],[CloseParPos]] - tblPassengerNames[[#This Row],[OpenParPos]] - 1)</f>
        <v>#VALUE!</v>
      </c>
      <c r="L745" t="e">
        <f>IF(AND(LEFT(tblPassengerNames[[#This Row],[InParentheses]], 1) = "'", RIGHT(tblPassengerNames[[#This Row],[InParentheses]], 1) = "'"),
    #VALUE!,
    tblPassengerNames[[#This Row],[InParentheses]]
)</f>
        <v>#VALUE!</v>
      </c>
      <c r="M745" t="e">
        <f>LEN(tblPassengerNames[[#This Row],[InParenthesesCleaned]]) - LEN(SUBSTITUTE(tblPassengerNames[[#This Row],[InParenthesesCleaned]], " ", ""))</f>
        <v>#VALUE!</v>
      </c>
      <c r="N745" t="e">
        <f>FIND("@", SUBSTITUTE(tblPassengerNames[[#This Row],[InParenthesesCleaned]], " ", "@", tblPassengerNames[[#This Row],[P_NSpaces]]))</f>
        <v>#VALUE!</v>
      </c>
      <c r="O745" t="e">
        <f>IF(tblPassengerNames[[#This Row],[P_NSpaces]] = 0,
    tblPassengerNames[[#This Row],[InParenthesesCleaned]],
    LEFT(tblPassengerNames[[#This Row],[InParenthesesCleaned]], tblPassengerNames[[#This Row],[P_FinalSpacePos]] - 1)
)</f>
        <v>#VALUE!</v>
      </c>
      <c r="P745" t="str">
        <f>IFERROR(tblPassengerNames[[#This Row],[P_Forenames]], tblPassengerNames[[#This Row],[ConvForenames]])</f>
        <v>Karl Edwart</v>
      </c>
      <c r="Q745" t="str">
        <f>MID(tblPassengerNames[[#This Row],[Name]], tblPassengerNames[[#This Row],[CommaPos]] + 2, tblPassengerNames[[#This Row],[DotPos]] - tblPassengerNames[[#This Row],[CommaPos]] - 1)</f>
        <v>Mr.</v>
      </c>
      <c r="R745" t="str">
        <f>LEFT(tblPassengerNames[[#This Row],[Name]], tblPassengerNames[[#This Row],[CommaPos]] - 1)</f>
        <v>Dahl</v>
      </c>
    </row>
    <row r="746" spans="2:18" x14ac:dyDescent="0.25">
      <c r="B746" s="21">
        <v>744</v>
      </c>
      <c r="C746" s="21" t="s">
        <v>879</v>
      </c>
      <c r="D746" s="21" t="s">
        <v>136</v>
      </c>
      <c r="E746">
        <f>FIND(",", tblPassengerNames[[#This Row],[Name]])</f>
        <v>9</v>
      </c>
      <c r="F746">
        <f>FIND(".", tblPassengerNames[[#This Row],[Name]])</f>
        <v>15</v>
      </c>
      <c r="G746" t="e">
        <f>FIND("(", tblPassengerNames[[#This Row],[Name]])</f>
        <v>#VALUE!</v>
      </c>
      <c r="H746" t="e">
        <f>FIND(")", tblPassengerNames[[#This Row],[Name]])</f>
        <v>#VALUE!</v>
      </c>
      <c r="I746">
        <f>IFERROR(tblPassengerNames[[#This Row],[OpenParPos]] - 2, LEN(tblPassengerNames[[#This Row],[Name]]))</f>
        <v>28</v>
      </c>
      <c r="J746" t="str">
        <f>MID(tblPassengerNames[[#This Row],[Name]], tblPassengerNames[[#This Row],[DotPos]] + 2, tblPassengerNames[[#This Row],[EndOfConvFNPos]] - tblPassengerNames[[#This Row],[DotPos]] - 1)</f>
        <v>Gerda Ulrika</v>
      </c>
      <c r="K746" t="e">
        <f>MID(tblPassengerNames[[#This Row],[Name]], tblPassengerNames[[#This Row],[OpenParPos]] + 1, tblPassengerNames[[#This Row],[CloseParPos]] - tblPassengerNames[[#This Row],[OpenParPos]] - 1)</f>
        <v>#VALUE!</v>
      </c>
      <c r="L746" t="e">
        <f>IF(AND(LEFT(tblPassengerNames[[#This Row],[InParentheses]], 1) = "'", RIGHT(tblPassengerNames[[#This Row],[InParentheses]], 1) = "'"),
    #VALUE!,
    tblPassengerNames[[#This Row],[InParentheses]]
)</f>
        <v>#VALUE!</v>
      </c>
      <c r="M746" t="e">
        <f>LEN(tblPassengerNames[[#This Row],[InParenthesesCleaned]]) - LEN(SUBSTITUTE(tblPassengerNames[[#This Row],[InParenthesesCleaned]], " ", ""))</f>
        <v>#VALUE!</v>
      </c>
      <c r="N746" t="e">
        <f>FIND("@", SUBSTITUTE(tblPassengerNames[[#This Row],[InParenthesesCleaned]], " ", "@", tblPassengerNames[[#This Row],[P_NSpaces]]))</f>
        <v>#VALUE!</v>
      </c>
      <c r="O746" t="e">
        <f>IF(tblPassengerNames[[#This Row],[P_NSpaces]] = 0,
    tblPassengerNames[[#This Row],[InParenthesesCleaned]],
    LEFT(tblPassengerNames[[#This Row],[InParenthesesCleaned]], tblPassengerNames[[#This Row],[P_FinalSpacePos]] - 1)
)</f>
        <v>#VALUE!</v>
      </c>
      <c r="P746" t="str">
        <f>IFERROR(tblPassengerNames[[#This Row],[P_Forenames]], tblPassengerNames[[#This Row],[ConvForenames]])</f>
        <v>Gerda Ulrika</v>
      </c>
      <c r="Q746" t="str">
        <f>MID(tblPassengerNames[[#This Row],[Name]], tblPassengerNames[[#This Row],[CommaPos]] + 2, tblPassengerNames[[#This Row],[DotPos]] - tblPassengerNames[[#This Row],[CommaPos]] - 1)</f>
        <v>Miss.</v>
      </c>
      <c r="R746" t="str">
        <f>LEFT(tblPassengerNames[[#This Row],[Name]], tblPassengerNames[[#This Row],[CommaPos]] - 1)</f>
        <v>Dahlberg</v>
      </c>
    </row>
    <row r="747" spans="2:18" x14ac:dyDescent="0.25">
      <c r="B747" s="21">
        <v>745</v>
      </c>
      <c r="C747" s="21" t="s">
        <v>880</v>
      </c>
      <c r="D747" s="21" t="s">
        <v>138</v>
      </c>
      <c r="E747">
        <f>FIND(",", tblPassengerNames[[#This Row],[Name]])</f>
        <v>6</v>
      </c>
      <c r="F747">
        <f>FIND(".", tblPassengerNames[[#This Row],[Name]])</f>
        <v>10</v>
      </c>
      <c r="G747" t="e">
        <f>FIND("(", tblPassengerNames[[#This Row],[Name]])</f>
        <v>#VALUE!</v>
      </c>
      <c r="H747" t="e">
        <f>FIND(")", tblPassengerNames[[#This Row],[Name]])</f>
        <v>#VALUE!</v>
      </c>
      <c r="I747">
        <f>IFERROR(tblPassengerNames[[#This Row],[OpenParPos]] - 2, LEN(tblPassengerNames[[#This Row],[Name]]))</f>
        <v>17</v>
      </c>
      <c r="J747" t="str">
        <f>MID(tblPassengerNames[[#This Row],[Name]], tblPassengerNames[[#This Row],[DotPos]] + 2, tblPassengerNames[[#This Row],[EndOfConvFNPos]] - tblPassengerNames[[#This Row],[DotPos]] - 1)</f>
        <v>Branko</v>
      </c>
      <c r="K747" t="e">
        <f>MID(tblPassengerNames[[#This Row],[Name]], tblPassengerNames[[#This Row],[OpenParPos]] + 1, tblPassengerNames[[#This Row],[CloseParPos]] - tblPassengerNames[[#This Row],[OpenParPos]] - 1)</f>
        <v>#VALUE!</v>
      </c>
      <c r="L747" t="e">
        <f>IF(AND(LEFT(tblPassengerNames[[#This Row],[InParentheses]], 1) = "'", RIGHT(tblPassengerNames[[#This Row],[InParentheses]], 1) = "'"),
    #VALUE!,
    tblPassengerNames[[#This Row],[InParentheses]]
)</f>
        <v>#VALUE!</v>
      </c>
      <c r="M747" t="e">
        <f>LEN(tblPassengerNames[[#This Row],[InParenthesesCleaned]]) - LEN(SUBSTITUTE(tblPassengerNames[[#This Row],[InParenthesesCleaned]], " ", ""))</f>
        <v>#VALUE!</v>
      </c>
      <c r="N747" t="e">
        <f>FIND("@", SUBSTITUTE(tblPassengerNames[[#This Row],[InParenthesesCleaned]], " ", "@", tblPassengerNames[[#This Row],[P_NSpaces]]))</f>
        <v>#VALUE!</v>
      </c>
      <c r="O747" t="e">
        <f>IF(tblPassengerNames[[#This Row],[P_NSpaces]] = 0,
    tblPassengerNames[[#This Row],[InParenthesesCleaned]],
    LEFT(tblPassengerNames[[#This Row],[InParenthesesCleaned]], tblPassengerNames[[#This Row],[P_FinalSpacePos]] - 1)
)</f>
        <v>#VALUE!</v>
      </c>
      <c r="P747" t="str">
        <f>IFERROR(tblPassengerNames[[#This Row],[P_Forenames]], tblPassengerNames[[#This Row],[ConvForenames]])</f>
        <v>Branko</v>
      </c>
      <c r="Q747" t="str">
        <f>MID(tblPassengerNames[[#This Row],[Name]], tblPassengerNames[[#This Row],[CommaPos]] + 2, tblPassengerNames[[#This Row],[DotPos]] - tblPassengerNames[[#This Row],[CommaPos]] - 1)</f>
        <v>Mr.</v>
      </c>
      <c r="R747" t="str">
        <f>LEFT(tblPassengerNames[[#This Row],[Name]], tblPassengerNames[[#This Row],[CommaPos]] - 1)</f>
        <v>Dakic</v>
      </c>
    </row>
    <row r="748" spans="2:18" x14ac:dyDescent="0.25">
      <c r="B748" s="21">
        <v>746</v>
      </c>
      <c r="C748" s="21" t="s">
        <v>881</v>
      </c>
      <c r="D748" s="21" t="s">
        <v>136</v>
      </c>
      <c r="E748">
        <f>FIND(",", tblPassengerNames[[#This Row],[Name]])</f>
        <v>5</v>
      </c>
      <c r="F748">
        <f>FIND(".", tblPassengerNames[[#This Row],[Name]])</f>
        <v>11</v>
      </c>
      <c r="G748" t="e">
        <f>FIND("(", tblPassengerNames[[#This Row],[Name]])</f>
        <v>#VALUE!</v>
      </c>
      <c r="H748" t="e">
        <f>FIND(")", tblPassengerNames[[#This Row],[Name]])</f>
        <v>#VALUE!</v>
      </c>
      <c r="I748">
        <f>IFERROR(tblPassengerNames[[#This Row],[OpenParPos]] - 2, LEN(tblPassengerNames[[#This Row],[Name]]))</f>
        <v>38</v>
      </c>
      <c r="J748" t="str">
        <f>MID(tblPassengerNames[[#This Row],[Name]], tblPassengerNames[[#This Row],[DotPos]] + 2, tblPassengerNames[[#This Row],[EndOfConvFNPos]] - tblPassengerNames[[#This Row],[DotPos]] - 1)</f>
        <v>Margaret Marcella 'Maggie'</v>
      </c>
      <c r="K748" t="e">
        <f>MID(tblPassengerNames[[#This Row],[Name]], tblPassengerNames[[#This Row],[OpenParPos]] + 1, tblPassengerNames[[#This Row],[CloseParPos]] - tblPassengerNames[[#This Row],[OpenParPos]] - 1)</f>
        <v>#VALUE!</v>
      </c>
      <c r="L748" t="e">
        <f>IF(AND(LEFT(tblPassengerNames[[#This Row],[InParentheses]], 1) = "'", RIGHT(tblPassengerNames[[#This Row],[InParentheses]], 1) = "'"),
    #VALUE!,
    tblPassengerNames[[#This Row],[InParentheses]]
)</f>
        <v>#VALUE!</v>
      </c>
      <c r="M748" t="e">
        <f>LEN(tblPassengerNames[[#This Row],[InParenthesesCleaned]]) - LEN(SUBSTITUTE(tblPassengerNames[[#This Row],[InParenthesesCleaned]], " ", ""))</f>
        <v>#VALUE!</v>
      </c>
      <c r="N748" t="e">
        <f>FIND("@", SUBSTITUTE(tblPassengerNames[[#This Row],[InParenthesesCleaned]], " ", "@", tblPassengerNames[[#This Row],[P_NSpaces]]))</f>
        <v>#VALUE!</v>
      </c>
      <c r="O748" t="e">
        <f>IF(tblPassengerNames[[#This Row],[P_NSpaces]] = 0,
    tblPassengerNames[[#This Row],[InParenthesesCleaned]],
    LEFT(tblPassengerNames[[#This Row],[InParenthesesCleaned]], tblPassengerNames[[#This Row],[P_FinalSpacePos]] - 1)
)</f>
        <v>#VALUE!</v>
      </c>
      <c r="P748" t="str">
        <f>IFERROR(tblPassengerNames[[#This Row],[P_Forenames]], tblPassengerNames[[#This Row],[ConvForenames]])</f>
        <v>Margaret Marcella 'Maggie'</v>
      </c>
      <c r="Q748" t="str">
        <f>MID(tblPassengerNames[[#This Row],[Name]], tblPassengerNames[[#This Row],[CommaPos]] + 2, tblPassengerNames[[#This Row],[DotPos]] - tblPassengerNames[[#This Row],[CommaPos]] - 1)</f>
        <v>Miss.</v>
      </c>
      <c r="R748" t="str">
        <f>LEFT(tblPassengerNames[[#This Row],[Name]], tblPassengerNames[[#This Row],[CommaPos]] - 1)</f>
        <v>Daly</v>
      </c>
    </row>
    <row r="749" spans="2:18" x14ac:dyDescent="0.25">
      <c r="B749" s="21">
        <v>747</v>
      </c>
      <c r="C749" s="21" t="s">
        <v>882</v>
      </c>
      <c r="D749" s="21" t="s">
        <v>138</v>
      </c>
      <c r="E749">
        <f>FIND(",", tblPassengerNames[[#This Row],[Name]])</f>
        <v>5</v>
      </c>
      <c r="F749">
        <f>FIND(".", tblPassengerNames[[#This Row],[Name]])</f>
        <v>9</v>
      </c>
      <c r="G749" t="e">
        <f>FIND("(", tblPassengerNames[[#This Row],[Name]])</f>
        <v>#VALUE!</v>
      </c>
      <c r="H749" t="e">
        <f>FIND(")", tblPassengerNames[[#This Row],[Name]])</f>
        <v>#VALUE!</v>
      </c>
      <c r="I749">
        <f>IFERROR(tblPassengerNames[[#This Row],[OpenParPos]] - 2, LEN(tblPassengerNames[[#This Row],[Name]]))</f>
        <v>24</v>
      </c>
      <c r="J749" t="str">
        <f>MID(tblPassengerNames[[#This Row],[Name]], tblPassengerNames[[#This Row],[DotPos]] + 2, tblPassengerNames[[#This Row],[EndOfConvFNPos]] - tblPassengerNames[[#This Row],[DotPos]] - 1)</f>
        <v>Eugene Patrick</v>
      </c>
      <c r="K749" t="e">
        <f>MID(tblPassengerNames[[#This Row],[Name]], tblPassengerNames[[#This Row],[OpenParPos]] + 1, tblPassengerNames[[#This Row],[CloseParPos]] - tblPassengerNames[[#This Row],[OpenParPos]] - 1)</f>
        <v>#VALUE!</v>
      </c>
      <c r="L749" t="e">
        <f>IF(AND(LEFT(tblPassengerNames[[#This Row],[InParentheses]], 1) = "'", RIGHT(tblPassengerNames[[#This Row],[InParentheses]], 1) = "'"),
    #VALUE!,
    tblPassengerNames[[#This Row],[InParentheses]]
)</f>
        <v>#VALUE!</v>
      </c>
      <c r="M749" t="e">
        <f>LEN(tblPassengerNames[[#This Row],[InParenthesesCleaned]]) - LEN(SUBSTITUTE(tblPassengerNames[[#This Row],[InParenthesesCleaned]], " ", ""))</f>
        <v>#VALUE!</v>
      </c>
      <c r="N749" t="e">
        <f>FIND("@", SUBSTITUTE(tblPassengerNames[[#This Row],[InParenthesesCleaned]], " ", "@", tblPassengerNames[[#This Row],[P_NSpaces]]))</f>
        <v>#VALUE!</v>
      </c>
      <c r="O749" t="e">
        <f>IF(tblPassengerNames[[#This Row],[P_NSpaces]] = 0,
    tblPassengerNames[[#This Row],[InParenthesesCleaned]],
    LEFT(tblPassengerNames[[#This Row],[InParenthesesCleaned]], tblPassengerNames[[#This Row],[P_FinalSpacePos]] - 1)
)</f>
        <v>#VALUE!</v>
      </c>
      <c r="P749" t="str">
        <f>IFERROR(tblPassengerNames[[#This Row],[P_Forenames]], tblPassengerNames[[#This Row],[ConvForenames]])</f>
        <v>Eugene Patrick</v>
      </c>
      <c r="Q749" t="str">
        <f>MID(tblPassengerNames[[#This Row],[Name]], tblPassengerNames[[#This Row],[CommaPos]] + 2, tblPassengerNames[[#This Row],[DotPos]] - tblPassengerNames[[#This Row],[CommaPos]] - 1)</f>
        <v>Mr.</v>
      </c>
      <c r="R749" t="str">
        <f>LEFT(tblPassengerNames[[#This Row],[Name]], tblPassengerNames[[#This Row],[CommaPos]] - 1)</f>
        <v>Daly</v>
      </c>
    </row>
    <row r="750" spans="2:18" x14ac:dyDescent="0.25">
      <c r="B750" s="21">
        <v>748</v>
      </c>
      <c r="C750" s="21" t="s">
        <v>883</v>
      </c>
      <c r="D750" s="21" t="s">
        <v>138</v>
      </c>
      <c r="E750">
        <f>FIND(",", tblPassengerNames[[#This Row],[Name]])</f>
        <v>7</v>
      </c>
      <c r="F750">
        <f>FIND(".", tblPassengerNames[[#This Row],[Name]])</f>
        <v>15</v>
      </c>
      <c r="G750" t="e">
        <f>FIND("(", tblPassengerNames[[#This Row],[Name]])</f>
        <v>#VALUE!</v>
      </c>
      <c r="H750" t="e">
        <f>FIND(")", tblPassengerNames[[#This Row],[Name]])</f>
        <v>#VALUE!</v>
      </c>
      <c r="I750">
        <f>IFERROR(tblPassengerNames[[#This Row],[OpenParPos]] - 2, LEN(tblPassengerNames[[#This Row],[Name]]))</f>
        <v>39</v>
      </c>
      <c r="J750" t="str">
        <f>MID(tblPassengerNames[[#This Row],[Name]], tblPassengerNames[[#This Row],[DotPos]] + 2, tblPassengerNames[[#This Row],[EndOfConvFNPos]] - tblPassengerNames[[#This Row],[DotPos]] - 1)</f>
        <v>Gilbert Sigvard Emanuel</v>
      </c>
      <c r="K750" t="e">
        <f>MID(tblPassengerNames[[#This Row],[Name]], tblPassengerNames[[#This Row],[OpenParPos]] + 1, tblPassengerNames[[#This Row],[CloseParPos]] - tblPassengerNames[[#This Row],[OpenParPos]] - 1)</f>
        <v>#VALUE!</v>
      </c>
      <c r="L750" t="e">
        <f>IF(AND(LEFT(tblPassengerNames[[#This Row],[InParentheses]], 1) = "'", RIGHT(tblPassengerNames[[#This Row],[InParentheses]], 1) = "'"),
    #VALUE!,
    tblPassengerNames[[#This Row],[InParentheses]]
)</f>
        <v>#VALUE!</v>
      </c>
      <c r="M750" t="e">
        <f>LEN(tblPassengerNames[[#This Row],[InParenthesesCleaned]]) - LEN(SUBSTITUTE(tblPassengerNames[[#This Row],[InParenthesesCleaned]], " ", ""))</f>
        <v>#VALUE!</v>
      </c>
      <c r="N750" t="e">
        <f>FIND("@", SUBSTITUTE(tblPassengerNames[[#This Row],[InParenthesesCleaned]], " ", "@", tblPassengerNames[[#This Row],[P_NSpaces]]))</f>
        <v>#VALUE!</v>
      </c>
      <c r="O750" t="e">
        <f>IF(tblPassengerNames[[#This Row],[P_NSpaces]] = 0,
    tblPassengerNames[[#This Row],[InParenthesesCleaned]],
    LEFT(tblPassengerNames[[#This Row],[InParenthesesCleaned]], tblPassengerNames[[#This Row],[P_FinalSpacePos]] - 1)
)</f>
        <v>#VALUE!</v>
      </c>
      <c r="P750" t="str">
        <f>IFERROR(tblPassengerNames[[#This Row],[P_Forenames]], tblPassengerNames[[#This Row],[ConvForenames]])</f>
        <v>Gilbert Sigvard Emanuel</v>
      </c>
      <c r="Q750" t="str">
        <f>MID(tblPassengerNames[[#This Row],[Name]], tblPassengerNames[[#This Row],[CommaPos]] + 2, tblPassengerNames[[#This Row],[DotPos]] - tblPassengerNames[[#This Row],[CommaPos]] - 1)</f>
        <v>Master.</v>
      </c>
      <c r="R750" t="str">
        <f>LEFT(tblPassengerNames[[#This Row],[Name]], tblPassengerNames[[#This Row],[CommaPos]] - 1)</f>
        <v>Danbom</v>
      </c>
    </row>
    <row r="751" spans="2:18" x14ac:dyDescent="0.25">
      <c r="B751" s="21">
        <v>749</v>
      </c>
      <c r="C751" s="21" t="s">
        <v>884</v>
      </c>
      <c r="D751" s="21" t="s">
        <v>138</v>
      </c>
      <c r="E751">
        <f>FIND(",", tblPassengerNames[[#This Row],[Name]])</f>
        <v>7</v>
      </c>
      <c r="F751">
        <f>FIND(".", tblPassengerNames[[#This Row],[Name]])</f>
        <v>11</v>
      </c>
      <c r="G751" t="e">
        <f>FIND("(", tblPassengerNames[[#This Row],[Name]])</f>
        <v>#VALUE!</v>
      </c>
      <c r="H751" t="e">
        <f>FIND(")", tblPassengerNames[[#This Row],[Name]])</f>
        <v>#VALUE!</v>
      </c>
      <c r="I751">
        <f>IFERROR(tblPassengerNames[[#This Row],[OpenParPos]] - 2, LEN(tblPassengerNames[[#This Row],[Name]]))</f>
        <v>25</v>
      </c>
      <c r="J751" t="str">
        <f>MID(tblPassengerNames[[#This Row],[Name]], tblPassengerNames[[#This Row],[DotPos]] + 2, tblPassengerNames[[#This Row],[EndOfConvFNPos]] - tblPassengerNames[[#This Row],[DotPos]] - 1)</f>
        <v>Ernst Gilbert</v>
      </c>
      <c r="K751" t="e">
        <f>MID(tblPassengerNames[[#This Row],[Name]], tblPassengerNames[[#This Row],[OpenParPos]] + 1, tblPassengerNames[[#This Row],[CloseParPos]] - tblPassengerNames[[#This Row],[OpenParPos]] - 1)</f>
        <v>#VALUE!</v>
      </c>
      <c r="L751" t="e">
        <f>IF(AND(LEFT(tblPassengerNames[[#This Row],[InParentheses]], 1) = "'", RIGHT(tblPassengerNames[[#This Row],[InParentheses]], 1) = "'"),
    #VALUE!,
    tblPassengerNames[[#This Row],[InParentheses]]
)</f>
        <v>#VALUE!</v>
      </c>
      <c r="M751" t="e">
        <f>LEN(tblPassengerNames[[#This Row],[InParenthesesCleaned]]) - LEN(SUBSTITUTE(tblPassengerNames[[#This Row],[InParenthesesCleaned]], " ", ""))</f>
        <v>#VALUE!</v>
      </c>
      <c r="N751" t="e">
        <f>FIND("@", SUBSTITUTE(tblPassengerNames[[#This Row],[InParenthesesCleaned]], " ", "@", tblPassengerNames[[#This Row],[P_NSpaces]]))</f>
        <v>#VALUE!</v>
      </c>
      <c r="O751" t="e">
        <f>IF(tblPassengerNames[[#This Row],[P_NSpaces]] = 0,
    tblPassengerNames[[#This Row],[InParenthesesCleaned]],
    LEFT(tblPassengerNames[[#This Row],[InParenthesesCleaned]], tblPassengerNames[[#This Row],[P_FinalSpacePos]] - 1)
)</f>
        <v>#VALUE!</v>
      </c>
      <c r="P751" t="str">
        <f>IFERROR(tblPassengerNames[[#This Row],[P_Forenames]], tblPassengerNames[[#This Row],[ConvForenames]])</f>
        <v>Ernst Gilbert</v>
      </c>
      <c r="Q751" t="str">
        <f>MID(tblPassengerNames[[#This Row],[Name]], tblPassengerNames[[#This Row],[CommaPos]] + 2, tblPassengerNames[[#This Row],[DotPos]] - tblPassengerNames[[#This Row],[CommaPos]] - 1)</f>
        <v>Mr.</v>
      </c>
      <c r="R751" t="str">
        <f>LEFT(tblPassengerNames[[#This Row],[Name]], tblPassengerNames[[#This Row],[CommaPos]] - 1)</f>
        <v>Danbom</v>
      </c>
    </row>
    <row r="752" spans="2:18" x14ac:dyDescent="0.25">
      <c r="B752" s="21">
        <v>750</v>
      </c>
      <c r="C752" s="21" t="s">
        <v>885</v>
      </c>
      <c r="D752" s="21" t="s">
        <v>136</v>
      </c>
      <c r="E752">
        <f>FIND(",", tblPassengerNames[[#This Row],[Name]])</f>
        <v>7</v>
      </c>
      <c r="F752">
        <f>FIND(".", tblPassengerNames[[#This Row],[Name]])</f>
        <v>12</v>
      </c>
      <c r="G752">
        <f>FIND("(", tblPassengerNames[[#This Row],[Name]])</f>
        <v>28</v>
      </c>
      <c r="H752">
        <f>FIND(")", tblPassengerNames[[#This Row],[Name]])</f>
        <v>54</v>
      </c>
      <c r="I752">
        <f>IFERROR(tblPassengerNames[[#This Row],[OpenParPos]] - 2, LEN(tblPassengerNames[[#This Row],[Name]]))</f>
        <v>26</v>
      </c>
      <c r="J752" t="str">
        <f>MID(tblPassengerNames[[#This Row],[Name]], tblPassengerNames[[#This Row],[DotPos]] + 2, tblPassengerNames[[#This Row],[EndOfConvFNPos]] - tblPassengerNames[[#This Row],[DotPos]] - 1)</f>
        <v>Ernst Gilbert</v>
      </c>
      <c r="K752" t="str">
        <f>MID(tblPassengerNames[[#This Row],[Name]], tblPassengerNames[[#This Row],[OpenParPos]] + 1, tblPassengerNames[[#This Row],[CloseParPos]] - tblPassengerNames[[#This Row],[OpenParPos]] - 1)</f>
        <v>Anna Sigrid Maria Brogren</v>
      </c>
      <c r="L752" t="str">
        <f>IF(AND(LEFT(tblPassengerNames[[#This Row],[InParentheses]], 1) = "'", RIGHT(tblPassengerNames[[#This Row],[InParentheses]], 1) = "'"),
    #VALUE!,
    tblPassengerNames[[#This Row],[InParentheses]]
)</f>
        <v>Anna Sigrid Maria Brogren</v>
      </c>
      <c r="M752">
        <f>LEN(tblPassengerNames[[#This Row],[InParenthesesCleaned]]) - LEN(SUBSTITUTE(tblPassengerNames[[#This Row],[InParenthesesCleaned]], " ", ""))</f>
        <v>3</v>
      </c>
      <c r="N752">
        <f>FIND("@", SUBSTITUTE(tblPassengerNames[[#This Row],[InParenthesesCleaned]], " ", "@", tblPassengerNames[[#This Row],[P_NSpaces]]))</f>
        <v>18</v>
      </c>
      <c r="O752" t="str">
        <f>IF(tblPassengerNames[[#This Row],[P_NSpaces]] = 0,
    tblPassengerNames[[#This Row],[InParenthesesCleaned]],
    LEFT(tblPassengerNames[[#This Row],[InParenthesesCleaned]], tblPassengerNames[[#This Row],[P_FinalSpacePos]] - 1)
)</f>
        <v>Anna Sigrid Maria</v>
      </c>
      <c r="P752" t="str">
        <f>IFERROR(tblPassengerNames[[#This Row],[P_Forenames]], tblPassengerNames[[#This Row],[ConvForenames]])</f>
        <v>Anna Sigrid Maria</v>
      </c>
      <c r="Q752" t="str">
        <f>MID(tblPassengerNames[[#This Row],[Name]], tblPassengerNames[[#This Row],[CommaPos]] + 2, tblPassengerNames[[#This Row],[DotPos]] - tblPassengerNames[[#This Row],[CommaPos]] - 1)</f>
        <v>Mrs.</v>
      </c>
      <c r="R752" t="str">
        <f>LEFT(tblPassengerNames[[#This Row],[Name]], tblPassengerNames[[#This Row],[CommaPos]] - 1)</f>
        <v>Danbom</v>
      </c>
    </row>
    <row r="753" spans="2:18" x14ac:dyDescent="0.25">
      <c r="B753" s="21">
        <v>751</v>
      </c>
      <c r="C753" s="21" t="s">
        <v>886</v>
      </c>
      <c r="D753" s="21" t="s">
        <v>138</v>
      </c>
      <c r="E753">
        <f>FIND(",", tblPassengerNames[[#This Row],[Name]])</f>
        <v>7</v>
      </c>
      <c r="F753">
        <f>FIND(".", tblPassengerNames[[#This Row],[Name]])</f>
        <v>11</v>
      </c>
      <c r="G753" t="e">
        <f>FIND("(", tblPassengerNames[[#This Row],[Name]])</f>
        <v>#VALUE!</v>
      </c>
      <c r="H753" t="e">
        <f>FIND(")", tblPassengerNames[[#This Row],[Name]])</f>
        <v>#VALUE!</v>
      </c>
      <c r="I753">
        <f>IFERROR(tblPassengerNames[[#This Row],[OpenParPos]] - 2, LEN(tblPassengerNames[[#This Row],[Name]]))</f>
        <v>16</v>
      </c>
      <c r="J753" t="str">
        <f>MID(tblPassengerNames[[#This Row],[Name]], tblPassengerNames[[#This Row],[DotPos]] + 2, tblPassengerNames[[#This Row],[EndOfConvFNPos]] - tblPassengerNames[[#This Row],[DotPos]] - 1)</f>
        <v>Yoto</v>
      </c>
      <c r="K753" t="e">
        <f>MID(tblPassengerNames[[#This Row],[Name]], tblPassengerNames[[#This Row],[OpenParPos]] + 1, tblPassengerNames[[#This Row],[CloseParPos]] - tblPassengerNames[[#This Row],[OpenParPos]] - 1)</f>
        <v>#VALUE!</v>
      </c>
      <c r="L753" t="e">
        <f>IF(AND(LEFT(tblPassengerNames[[#This Row],[InParentheses]], 1) = "'", RIGHT(tblPassengerNames[[#This Row],[InParentheses]], 1) = "'"),
    #VALUE!,
    tblPassengerNames[[#This Row],[InParentheses]]
)</f>
        <v>#VALUE!</v>
      </c>
      <c r="M753" t="e">
        <f>LEN(tblPassengerNames[[#This Row],[InParenthesesCleaned]]) - LEN(SUBSTITUTE(tblPassengerNames[[#This Row],[InParenthesesCleaned]], " ", ""))</f>
        <v>#VALUE!</v>
      </c>
      <c r="N753" t="e">
        <f>FIND("@", SUBSTITUTE(tblPassengerNames[[#This Row],[InParenthesesCleaned]], " ", "@", tblPassengerNames[[#This Row],[P_NSpaces]]))</f>
        <v>#VALUE!</v>
      </c>
      <c r="O753" t="e">
        <f>IF(tblPassengerNames[[#This Row],[P_NSpaces]] = 0,
    tblPassengerNames[[#This Row],[InParenthesesCleaned]],
    LEFT(tblPassengerNames[[#This Row],[InParenthesesCleaned]], tblPassengerNames[[#This Row],[P_FinalSpacePos]] - 1)
)</f>
        <v>#VALUE!</v>
      </c>
      <c r="P753" t="str">
        <f>IFERROR(tblPassengerNames[[#This Row],[P_Forenames]], tblPassengerNames[[#This Row],[ConvForenames]])</f>
        <v>Yoto</v>
      </c>
      <c r="Q753" t="str">
        <f>MID(tblPassengerNames[[#This Row],[Name]], tblPassengerNames[[#This Row],[CommaPos]] + 2, tblPassengerNames[[#This Row],[DotPos]] - tblPassengerNames[[#This Row],[CommaPos]] - 1)</f>
        <v>Mr.</v>
      </c>
      <c r="R753" t="str">
        <f>LEFT(tblPassengerNames[[#This Row],[Name]], tblPassengerNames[[#This Row],[CommaPos]] - 1)</f>
        <v>Danoff</v>
      </c>
    </row>
    <row r="754" spans="2:18" x14ac:dyDescent="0.25">
      <c r="B754" s="21">
        <v>752</v>
      </c>
      <c r="C754" s="21" t="s">
        <v>887</v>
      </c>
      <c r="D754" s="21" t="s">
        <v>138</v>
      </c>
      <c r="E754">
        <f>FIND(",", tblPassengerNames[[#This Row],[Name]])</f>
        <v>10</v>
      </c>
      <c r="F754">
        <f>FIND(".", tblPassengerNames[[#This Row],[Name]])</f>
        <v>14</v>
      </c>
      <c r="G754" t="e">
        <f>FIND("(", tblPassengerNames[[#This Row],[Name]])</f>
        <v>#VALUE!</v>
      </c>
      <c r="H754" t="e">
        <f>FIND(")", tblPassengerNames[[#This Row],[Name]])</f>
        <v>#VALUE!</v>
      </c>
      <c r="I754">
        <f>IFERROR(tblPassengerNames[[#This Row],[OpenParPos]] - 2, LEN(tblPassengerNames[[#This Row],[Name]]))</f>
        <v>21</v>
      </c>
      <c r="J754" t="str">
        <f>MID(tblPassengerNames[[#This Row],[Name]], tblPassengerNames[[#This Row],[DotPos]] + 2, tblPassengerNames[[#This Row],[EndOfConvFNPos]] - tblPassengerNames[[#This Row],[DotPos]] - 1)</f>
        <v>Ristiu</v>
      </c>
      <c r="K754" t="e">
        <f>MID(tblPassengerNames[[#This Row],[Name]], tblPassengerNames[[#This Row],[OpenParPos]] + 1, tblPassengerNames[[#This Row],[CloseParPos]] - tblPassengerNames[[#This Row],[OpenParPos]] - 1)</f>
        <v>#VALUE!</v>
      </c>
      <c r="L754" t="e">
        <f>IF(AND(LEFT(tblPassengerNames[[#This Row],[InParentheses]], 1) = "'", RIGHT(tblPassengerNames[[#This Row],[InParentheses]], 1) = "'"),
    #VALUE!,
    tblPassengerNames[[#This Row],[InParentheses]]
)</f>
        <v>#VALUE!</v>
      </c>
      <c r="M754" t="e">
        <f>LEN(tblPassengerNames[[#This Row],[InParenthesesCleaned]]) - LEN(SUBSTITUTE(tblPassengerNames[[#This Row],[InParenthesesCleaned]], " ", ""))</f>
        <v>#VALUE!</v>
      </c>
      <c r="N754" t="e">
        <f>FIND("@", SUBSTITUTE(tblPassengerNames[[#This Row],[InParenthesesCleaned]], " ", "@", tblPassengerNames[[#This Row],[P_NSpaces]]))</f>
        <v>#VALUE!</v>
      </c>
      <c r="O754" t="e">
        <f>IF(tblPassengerNames[[#This Row],[P_NSpaces]] = 0,
    tblPassengerNames[[#This Row],[InParenthesesCleaned]],
    LEFT(tblPassengerNames[[#This Row],[InParenthesesCleaned]], tblPassengerNames[[#This Row],[P_FinalSpacePos]] - 1)
)</f>
        <v>#VALUE!</v>
      </c>
      <c r="P754" t="str">
        <f>IFERROR(tblPassengerNames[[#This Row],[P_Forenames]], tblPassengerNames[[#This Row],[ConvForenames]])</f>
        <v>Ristiu</v>
      </c>
      <c r="Q754" t="str">
        <f>MID(tblPassengerNames[[#This Row],[Name]], tblPassengerNames[[#This Row],[CommaPos]] + 2, tblPassengerNames[[#This Row],[DotPos]] - tblPassengerNames[[#This Row],[CommaPos]] - 1)</f>
        <v>Mr.</v>
      </c>
      <c r="R754" t="str">
        <f>LEFT(tblPassengerNames[[#This Row],[Name]], tblPassengerNames[[#This Row],[CommaPos]] - 1)</f>
        <v>Dantcheff</v>
      </c>
    </row>
    <row r="755" spans="2:18" x14ac:dyDescent="0.25">
      <c r="B755" s="21">
        <v>753</v>
      </c>
      <c r="C755" s="21" t="s">
        <v>888</v>
      </c>
      <c r="D755" s="21" t="s">
        <v>138</v>
      </c>
      <c r="E755">
        <f>FIND(",", tblPassengerNames[[#This Row],[Name]])</f>
        <v>7</v>
      </c>
      <c r="F755">
        <f>FIND(".", tblPassengerNames[[#This Row],[Name]])</f>
        <v>11</v>
      </c>
      <c r="G755" t="e">
        <f>FIND("(", tblPassengerNames[[#This Row],[Name]])</f>
        <v>#VALUE!</v>
      </c>
      <c r="H755" t="e">
        <f>FIND(")", tblPassengerNames[[#This Row],[Name]])</f>
        <v>#VALUE!</v>
      </c>
      <c r="I755">
        <f>IFERROR(tblPassengerNames[[#This Row],[OpenParPos]] - 2, LEN(tblPassengerNames[[#This Row],[Name]]))</f>
        <v>20</v>
      </c>
      <c r="J755" t="str">
        <f>MID(tblPassengerNames[[#This Row],[Name]], tblPassengerNames[[#This Row],[DotPos]] + 2, tblPassengerNames[[#This Row],[EndOfConvFNPos]] - tblPassengerNames[[#This Row],[DotPos]] - 1)</f>
        <v>Alfred J</v>
      </c>
      <c r="K755" t="e">
        <f>MID(tblPassengerNames[[#This Row],[Name]], tblPassengerNames[[#This Row],[OpenParPos]] + 1, tblPassengerNames[[#This Row],[CloseParPos]] - tblPassengerNames[[#This Row],[OpenParPos]] - 1)</f>
        <v>#VALUE!</v>
      </c>
      <c r="L755" t="e">
        <f>IF(AND(LEFT(tblPassengerNames[[#This Row],[InParentheses]], 1) = "'", RIGHT(tblPassengerNames[[#This Row],[InParentheses]], 1) = "'"),
    #VALUE!,
    tblPassengerNames[[#This Row],[InParentheses]]
)</f>
        <v>#VALUE!</v>
      </c>
      <c r="M755" t="e">
        <f>LEN(tblPassengerNames[[#This Row],[InParenthesesCleaned]]) - LEN(SUBSTITUTE(tblPassengerNames[[#This Row],[InParenthesesCleaned]], " ", ""))</f>
        <v>#VALUE!</v>
      </c>
      <c r="N755" t="e">
        <f>FIND("@", SUBSTITUTE(tblPassengerNames[[#This Row],[InParenthesesCleaned]], " ", "@", tblPassengerNames[[#This Row],[P_NSpaces]]))</f>
        <v>#VALUE!</v>
      </c>
      <c r="O755" t="e">
        <f>IF(tblPassengerNames[[#This Row],[P_NSpaces]] = 0,
    tblPassengerNames[[#This Row],[InParenthesesCleaned]],
    LEFT(tblPassengerNames[[#This Row],[InParenthesesCleaned]], tblPassengerNames[[#This Row],[P_FinalSpacePos]] - 1)
)</f>
        <v>#VALUE!</v>
      </c>
      <c r="P755" t="str">
        <f>IFERROR(tblPassengerNames[[#This Row],[P_Forenames]], tblPassengerNames[[#This Row],[ConvForenames]])</f>
        <v>Alfred J</v>
      </c>
      <c r="Q755" t="str">
        <f>MID(tblPassengerNames[[#This Row],[Name]], tblPassengerNames[[#This Row],[CommaPos]] + 2, tblPassengerNames[[#This Row],[DotPos]] - tblPassengerNames[[#This Row],[CommaPos]] - 1)</f>
        <v>Mr.</v>
      </c>
      <c r="R755" t="str">
        <f>LEFT(tblPassengerNames[[#This Row],[Name]], tblPassengerNames[[#This Row],[CommaPos]] - 1)</f>
        <v>Davies</v>
      </c>
    </row>
    <row r="756" spans="2:18" x14ac:dyDescent="0.25">
      <c r="B756" s="21">
        <v>754</v>
      </c>
      <c r="C756" s="21" t="s">
        <v>889</v>
      </c>
      <c r="D756" s="21" t="s">
        <v>138</v>
      </c>
      <c r="E756">
        <f>FIND(",", tblPassengerNames[[#This Row],[Name]])</f>
        <v>7</v>
      </c>
      <c r="F756">
        <f>FIND(".", tblPassengerNames[[#This Row],[Name]])</f>
        <v>11</v>
      </c>
      <c r="G756" t="e">
        <f>FIND("(", tblPassengerNames[[#This Row],[Name]])</f>
        <v>#VALUE!</v>
      </c>
      <c r="H756" t="e">
        <f>FIND(")", tblPassengerNames[[#This Row],[Name]])</f>
        <v>#VALUE!</v>
      </c>
      <c r="I756">
        <f>IFERROR(tblPassengerNames[[#This Row],[OpenParPos]] - 2, LEN(tblPassengerNames[[#This Row],[Name]]))</f>
        <v>16</v>
      </c>
      <c r="J756" t="str">
        <f>MID(tblPassengerNames[[#This Row],[Name]], tblPassengerNames[[#This Row],[DotPos]] + 2, tblPassengerNames[[#This Row],[EndOfConvFNPos]] - tblPassengerNames[[#This Row],[DotPos]] - 1)</f>
        <v>Evan</v>
      </c>
      <c r="K756" t="e">
        <f>MID(tblPassengerNames[[#This Row],[Name]], tblPassengerNames[[#This Row],[OpenParPos]] + 1, tblPassengerNames[[#This Row],[CloseParPos]] - tblPassengerNames[[#This Row],[OpenParPos]] - 1)</f>
        <v>#VALUE!</v>
      </c>
      <c r="L756" t="e">
        <f>IF(AND(LEFT(tblPassengerNames[[#This Row],[InParentheses]], 1) = "'", RIGHT(tblPassengerNames[[#This Row],[InParentheses]], 1) = "'"),
    #VALUE!,
    tblPassengerNames[[#This Row],[InParentheses]]
)</f>
        <v>#VALUE!</v>
      </c>
      <c r="M756" t="e">
        <f>LEN(tblPassengerNames[[#This Row],[InParenthesesCleaned]]) - LEN(SUBSTITUTE(tblPassengerNames[[#This Row],[InParenthesesCleaned]], " ", ""))</f>
        <v>#VALUE!</v>
      </c>
      <c r="N756" t="e">
        <f>FIND("@", SUBSTITUTE(tblPassengerNames[[#This Row],[InParenthesesCleaned]], " ", "@", tblPassengerNames[[#This Row],[P_NSpaces]]))</f>
        <v>#VALUE!</v>
      </c>
      <c r="O756" t="e">
        <f>IF(tblPassengerNames[[#This Row],[P_NSpaces]] = 0,
    tblPassengerNames[[#This Row],[InParenthesesCleaned]],
    LEFT(tblPassengerNames[[#This Row],[InParenthesesCleaned]], tblPassengerNames[[#This Row],[P_FinalSpacePos]] - 1)
)</f>
        <v>#VALUE!</v>
      </c>
      <c r="P756" t="str">
        <f>IFERROR(tblPassengerNames[[#This Row],[P_Forenames]], tblPassengerNames[[#This Row],[ConvForenames]])</f>
        <v>Evan</v>
      </c>
      <c r="Q756" t="str">
        <f>MID(tblPassengerNames[[#This Row],[Name]], tblPassengerNames[[#This Row],[CommaPos]] + 2, tblPassengerNames[[#This Row],[DotPos]] - tblPassengerNames[[#This Row],[CommaPos]] - 1)</f>
        <v>Mr.</v>
      </c>
      <c r="R756" t="str">
        <f>LEFT(tblPassengerNames[[#This Row],[Name]], tblPassengerNames[[#This Row],[CommaPos]] - 1)</f>
        <v>Davies</v>
      </c>
    </row>
    <row r="757" spans="2:18" x14ac:dyDescent="0.25">
      <c r="B757" s="21">
        <v>755</v>
      </c>
      <c r="C757" s="21" t="s">
        <v>890</v>
      </c>
      <c r="D757" s="21" t="s">
        <v>138</v>
      </c>
      <c r="E757">
        <f>FIND(",", tblPassengerNames[[#This Row],[Name]])</f>
        <v>7</v>
      </c>
      <c r="F757">
        <f>FIND(".", tblPassengerNames[[#This Row],[Name]])</f>
        <v>11</v>
      </c>
      <c r="G757" t="e">
        <f>FIND("(", tblPassengerNames[[#This Row],[Name]])</f>
        <v>#VALUE!</v>
      </c>
      <c r="H757" t="e">
        <f>FIND(")", tblPassengerNames[[#This Row],[Name]])</f>
        <v>#VALUE!</v>
      </c>
      <c r="I757">
        <f>IFERROR(tblPassengerNames[[#This Row],[OpenParPos]] - 2, LEN(tblPassengerNames[[#This Row],[Name]]))</f>
        <v>23</v>
      </c>
      <c r="J757" t="str">
        <f>MID(tblPassengerNames[[#This Row],[Name]], tblPassengerNames[[#This Row],[DotPos]] + 2, tblPassengerNames[[#This Row],[EndOfConvFNPos]] - tblPassengerNames[[#This Row],[DotPos]] - 1)</f>
        <v>John Samuel</v>
      </c>
      <c r="K757" t="e">
        <f>MID(tblPassengerNames[[#This Row],[Name]], tblPassengerNames[[#This Row],[OpenParPos]] + 1, tblPassengerNames[[#This Row],[CloseParPos]] - tblPassengerNames[[#This Row],[OpenParPos]] - 1)</f>
        <v>#VALUE!</v>
      </c>
      <c r="L757" t="e">
        <f>IF(AND(LEFT(tblPassengerNames[[#This Row],[InParentheses]], 1) = "'", RIGHT(tblPassengerNames[[#This Row],[InParentheses]], 1) = "'"),
    #VALUE!,
    tblPassengerNames[[#This Row],[InParentheses]]
)</f>
        <v>#VALUE!</v>
      </c>
      <c r="M757" t="e">
        <f>LEN(tblPassengerNames[[#This Row],[InParenthesesCleaned]]) - LEN(SUBSTITUTE(tblPassengerNames[[#This Row],[InParenthesesCleaned]], " ", ""))</f>
        <v>#VALUE!</v>
      </c>
      <c r="N757" t="e">
        <f>FIND("@", SUBSTITUTE(tblPassengerNames[[#This Row],[InParenthesesCleaned]], " ", "@", tblPassengerNames[[#This Row],[P_NSpaces]]))</f>
        <v>#VALUE!</v>
      </c>
      <c r="O757" t="e">
        <f>IF(tblPassengerNames[[#This Row],[P_NSpaces]] = 0,
    tblPassengerNames[[#This Row],[InParenthesesCleaned]],
    LEFT(tblPassengerNames[[#This Row],[InParenthesesCleaned]], tblPassengerNames[[#This Row],[P_FinalSpacePos]] - 1)
)</f>
        <v>#VALUE!</v>
      </c>
      <c r="P757" t="str">
        <f>IFERROR(tblPassengerNames[[#This Row],[P_Forenames]], tblPassengerNames[[#This Row],[ConvForenames]])</f>
        <v>John Samuel</v>
      </c>
      <c r="Q757" t="str">
        <f>MID(tblPassengerNames[[#This Row],[Name]], tblPassengerNames[[#This Row],[CommaPos]] + 2, tblPassengerNames[[#This Row],[DotPos]] - tblPassengerNames[[#This Row],[CommaPos]] - 1)</f>
        <v>Mr.</v>
      </c>
      <c r="R757" t="str">
        <f>LEFT(tblPassengerNames[[#This Row],[Name]], tblPassengerNames[[#This Row],[CommaPos]] - 1)</f>
        <v>Davies</v>
      </c>
    </row>
    <row r="758" spans="2:18" x14ac:dyDescent="0.25">
      <c r="B758" s="21">
        <v>756</v>
      </c>
      <c r="C758" s="21" t="s">
        <v>891</v>
      </c>
      <c r="D758" s="21" t="s">
        <v>138</v>
      </c>
      <c r="E758">
        <f>FIND(",", tblPassengerNames[[#This Row],[Name]])</f>
        <v>7</v>
      </c>
      <c r="F758">
        <f>FIND(".", tblPassengerNames[[#This Row],[Name]])</f>
        <v>11</v>
      </c>
      <c r="G758" t="e">
        <f>FIND("(", tblPassengerNames[[#This Row],[Name]])</f>
        <v>#VALUE!</v>
      </c>
      <c r="H758" t="e">
        <f>FIND(")", tblPassengerNames[[#This Row],[Name]])</f>
        <v>#VALUE!</v>
      </c>
      <c r="I758">
        <f>IFERROR(tblPassengerNames[[#This Row],[OpenParPos]] - 2, LEN(tblPassengerNames[[#This Row],[Name]]))</f>
        <v>18</v>
      </c>
      <c r="J758" t="str">
        <f>MID(tblPassengerNames[[#This Row],[Name]], tblPassengerNames[[#This Row],[DotPos]] + 2, tblPassengerNames[[#This Row],[EndOfConvFNPos]] - tblPassengerNames[[#This Row],[DotPos]] - 1)</f>
        <v>Joseph</v>
      </c>
      <c r="K758" t="e">
        <f>MID(tblPassengerNames[[#This Row],[Name]], tblPassengerNames[[#This Row],[OpenParPos]] + 1, tblPassengerNames[[#This Row],[CloseParPos]] - tblPassengerNames[[#This Row],[OpenParPos]] - 1)</f>
        <v>#VALUE!</v>
      </c>
      <c r="L758" t="e">
        <f>IF(AND(LEFT(tblPassengerNames[[#This Row],[InParentheses]], 1) = "'", RIGHT(tblPassengerNames[[#This Row],[InParentheses]], 1) = "'"),
    #VALUE!,
    tblPassengerNames[[#This Row],[InParentheses]]
)</f>
        <v>#VALUE!</v>
      </c>
      <c r="M758" t="e">
        <f>LEN(tblPassengerNames[[#This Row],[InParenthesesCleaned]]) - LEN(SUBSTITUTE(tblPassengerNames[[#This Row],[InParenthesesCleaned]], " ", ""))</f>
        <v>#VALUE!</v>
      </c>
      <c r="N758" t="e">
        <f>FIND("@", SUBSTITUTE(tblPassengerNames[[#This Row],[InParenthesesCleaned]], " ", "@", tblPassengerNames[[#This Row],[P_NSpaces]]))</f>
        <v>#VALUE!</v>
      </c>
      <c r="O758" t="e">
        <f>IF(tblPassengerNames[[#This Row],[P_NSpaces]] = 0,
    tblPassengerNames[[#This Row],[InParenthesesCleaned]],
    LEFT(tblPassengerNames[[#This Row],[InParenthesesCleaned]], tblPassengerNames[[#This Row],[P_FinalSpacePos]] - 1)
)</f>
        <v>#VALUE!</v>
      </c>
      <c r="P758" t="str">
        <f>IFERROR(tblPassengerNames[[#This Row],[P_Forenames]], tblPassengerNames[[#This Row],[ConvForenames]])</f>
        <v>Joseph</v>
      </c>
      <c r="Q758" t="str">
        <f>MID(tblPassengerNames[[#This Row],[Name]], tblPassengerNames[[#This Row],[CommaPos]] + 2, tblPassengerNames[[#This Row],[DotPos]] - tblPassengerNames[[#This Row],[CommaPos]] - 1)</f>
        <v>Mr.</v>
      </c>
      <c r="R758" t="str">
        <f>LEFT(tblPassengerNames[[#This Row],[Name]], tblPassengerNames[[#This Row],[CommaPos]] - 1)</f>
        <v>Davies</v>
      </c>
    </row>
    <row r="759" spans="2:18" x14ac:dyDescent="0.25">
      <c r="B759" s="21">
        <v>757</v>
      </c>
      <c r="C759" s="21" t="s">
        <v>892</v>
      </c>
      <c r="D759" s="21" t="s">
        <v>138</v>
      </c>
      <c r="E759">
        <f>FIND(",", tblPassengerNames[[#This Row],[Name]])</f>
        <v>8</v>
      </c>
      <c r="F759">
        <f>FIND(".", tblPassengerNames[[#This Row],[Name]])</f>
        <v>12</v>
      </c>
      <c r="G759" t="e">
        <f>FIND("(", tblPassengerNames[[#This Row],[Name]])</f>
        <v>#VALUE!</v>
      </c>
      <c r="H759" t="e">
        <f>FIND(")", tblPassengerNames[[#This Row],[Name]])</f>
        <v>#VALUE!</v>
      </c>
      <c r="I759">
        <f>IFERROR(tblPassengerNames[[#This Row],[OpenParPos]] - 2, LEN(tblPassengerNames[[#This Row],[Name]]))</f>
        <v>25</v>
      </c>
      <c r="J759" t="str">
        <f>MID(tblPassengerNames[[#This Row],[Name]], tblPassengerNames[[#This Row],[DotPos]] + 2, tblPassengerNames[[#This Row],[EndOfConvFNPos]] - tblPassengerNames[[#This Row],[DotPos]] - 1)</f>
        <v>Thomas Henry</v>
      </c>
      <c r="K759" t="e">
        <f>MID(tblPassengerNames[[#This Row],[Name]], tblPassengerNames[[#This Row],[OpenParPos]] + 1, tblPassengerNames[[#This Row],[CloseParPos]] - tblPassengerNames[[#This Row],[OpenParPos]] - 1)</f>
        <v>#VALUE!</v>
      </c>
      <c r="L759" t="e">
        <f>IF(AND(LEFT(tblPassengerNames[[#This Row],[InParentheses]], 1) = "'", RIGHT(tblPassengerNames[[#This Row],[InParentheses]], 1) = "'"),
    #VALUE!,
    tblPassengerNames[[#This Row],[InParentheses]]
)</f>
        <v>#VALUE!</v>
      </c>
      <c r="M759" t="e">
        <f>LEN(tblPassengerNames[[#This Row],[InParenthesesCleaned]]) - LEN(SUBSTITUTE(tblPassengerNames[[#This Row],[InParenthesesCleaned]], " ", ""))</f>
        <v>#VALUE!</v>
      </c>
      <c r="N759" t="e">
        <f>FIND("@", SUBSTITUTE(tblPassengerNames[[#This Row],[InParenthesesCleaned]], " ", "@", tblPassengerNames[[#This Row],[P_NSpaces]]))</f>
        <v>#VALUE!</v>
      </c>
      <c r="O759" t="e">
        <f>IF(tblPassengerNames[[#This Row],[P_NSpaces]] = 0,
    tblPassengerNames[[#This Row],[InParenthesesCleaned]],
    LEFT(tblPassengerNames[[#This Row],[InParenthesesCleaned]], tblPassengerNames[[#This Row],[P_FinalSpacePos]] - 1)
)</f>
        <v>#VALUE!</v>
      </c>
      <c r="P759" t="str">
        <f>IFERROR(tblPassengerNames[[#This Row],[P_Forenames]], tblPassengerNames[[#This Row],[ConvForenames]])</f>
        <v>Thomas Henry</v>
      </c>
      <c r="Q759" t="str">
        <f>MID(tblPassengerNames[[#This Row],[Name]], tblPassengerNames[[#This Row],[CommaPos]] + 2, tblPassengerNames[[#This Row],[DotPos]] - tblPassengerNames[[#This Row],[CommaPos]] - 1)</f>
        <v>Mr.</v>
      </c>
      <c r="R759" t="str">
        <f>LEFT(tblPassengerNames[[#This Row],[Name]], tblPassengerNames[[#This Row],[CommaPos]] - 1)</f>
        <v>Davison</v>
      </c>
    </row>
    <row r="760" spans="2:18" x14ac:dyDescent="0.25">
      <c r="B760" s="21">
        <v>758</v>
      </c>
      <c r="C760" s="21" t="s">
        <v>893</v>
      </c>
      <c r="D760" s="21" t="s">
        <v>136</v>
      </c>
      <c r="E760">
        <f>FIND(",", tblPassengerNames[[#This Row],[Name]])</f>
        <v>8</v>
      </c>
      <c r="F760">
        <f>FIND(".", tblPassengerNames[[#This Row],[Name]])</f>
        <v>13</v>
      </c>
      <c r="G760">
        <f>FIND("(", tblPassengerNames[[#This Row],[Name]])</f>
        <v>28</v>
      </c>
      <c r="H760">
        <f>FIND(")", tblPassengerNames[[#This Row],[Name]])</f>
        <v>41</v>
      </c>
      <c r="I760">
        <f>IFERROR(tblPassengerNames[[#This Row],[OpenParPos]] - 2, LEN(tblPassengerNames[[#This Row],[Name]]))</f>
        <v>26</v>
      </c>
      <c r="J760" t="str">
        <f>MID(tblPassengerNames[[#This Row],[Name]], tblPassengerNames[[#This Row],[DotPos]] + 2, tblPassengerNames[[#This Row],[EndOfConvFNPos]] - tblPassengerNames[[#This Row],[DotPos]] - 1)</f>
        <v>Thomas Henry</v>
      </c>
      <c r="K760" t="str">
        <f>MID(tblPassengerNames[[#This Row],[Name]], tblPassengerNames[[#This Row],[OpenParPos]] + 1, tblPassengerNames[[#This Row],[CloseParPos]] - tblPassengerNames[[#This Row],[OpenParPos]] - 1)</f>
        <v>Mary E Finck</v>
      </c>
      <c r="L760" t="str">
        <f>IF(AND(LEFT(tblPassengerNames[[#This Row],[InParentheses]], 1) = "'", RIGHT(tblPassengerNames[[#This Row],[InParentheses]], 1) = "'"),
    #VALUE!,
    tblPassengerNames[[#This Row],[InParentheses]]
)</f>
        <v>Mary E Finck</v>
      </c>
      <c r="M760">
        <f>LEN(tblPassengerNames[[#This Row],[InParenthesesCleaned]]) - LEN(SUBSTITUTE(tblPassengerNames[[#This Row],[InParenthesesCleaned]], " ", ""))</f>
        <v>2</v>
      </c>
      <c r="N760">
        <f>FIND("@", SUBSTITUTE(tblPassengerNames[[#This Row],[InParenthesesCleaned]], " ", "@", tblPassengerNames[[#This Row],[P_NSpaces]]))</f>
        <v>7</v>
      </c>
      <c r="O760" t="str">
        <f>IF(tblPassengerNames[[#This Row],[P_NSpaces]] = 0,
    tblPassengerNames[[#This Row],[InParenthesesCleaned]],
    LEFT(tblPassengerNames[[#This Row],[InParenthesesCleaned]], tblPassengerNames[[#This Row],[P_FinalSpacePos]] - 1)
)</f>
        <v>Mary E</v>
      </c>
      <c r="P760" t="str">
        <f>IFERROR(tblPassengerNames[[#This Row],[P_Forenames]], tblPassengerNames[[#This Row],[ConvForenames]])</f>
        <v>Mary E</v>
      </c>
      <c r="Q760" t="str">
        <f>MID(tblPassengerNames[[#This Row],[Name]], tblPassengerNames[[#This Row],[CommaPos]] + 2, tblPassengerNames[[#This Row],[DotPos]] - tblPassengerNames[[#This Row],[CommaPos]] - 1)</f>
        <v>Mrs.</v>
      </c>
      <c r="R760" t="str">
        <f>LEFT(tblPassengerNames[[#This Row],[Name]], tblPassengerNames[[#This Row],[CommaPos]] - 1)</f>
        <v>Davison</v>
      </c>
    </row>
    <row r="761" spans="2:18" x14ac:dyDescent="0.25">
      <c r="B761" s="21">
        <v>759</v>
      </c>
      <c r="C761" s="21" t="s">
        <v>894</v>
      </c>
      <c r="D761" s="21" t="s">
        <v>138</v>
      </c>
      <c r="E761">
        <f>FIND(",", tblPassengerNames[[#This Row],[Name]])</f>
        <v>15</v>
      </c>
      <c r="F761">
        <f>FIND(".", tblPassengerNames[[#This Row],[Name]])</f>
        <v>19</v>
      </c>
      <c r="G761" t="e">
        <f>FIND("(", tblPassengerNames[[#This Row],[Name]])</f>
        <v>#VALUE!</v>
      </c>
      <c r="H761" t="e">
        <f>FIND(")", tblPassengerNames[[#This Row],[Name]])</f>
        <v>#VALUE!</v>
      </c>
      <c r="I761">
        <f>IFERROR(tblPassengerNames[[#This Row],[OpenParPos]] - 2, LEN(tblPassengerNames[[#This Row],[Name]]))</f>
        <v>36</v>
      </c>
      <c r="J761" t="str">
        <f>MID(tblPassengerNames[[#This Row],[Name]], tblPassengerNames[[#This Row],[DotPos]] + 2, tblPassengerNames[[#This Row],[EndOfConvFNPos]] - tblPassengerNames[[#This Row],[DotPos]] - 1)</f>
        <v>Guillaume Joseph</v>
      </c>
      <c r="K761" t="e">
        <f>MID(tblPassengerNames[[#This Row],[Name]], tblPassengerNames[[#This Row],[OpenParPos]] + 1, tblPassengerNames[[#This Row],[CloseParPos]] - tblPassengerNames[[#This Row],[OpenParPos]] - 1)</f>
        <v>#VALUE!</v>
      </c>
      <c r="L761" t="e">
        <f>IF(AND(LEFT(tblPassengerNames[[#This Row],[InParentheses]], 1) = "'", RIGHT(tblPassengerNames[[#This Row],[InParentheses]], 1) = "'"),
    #VALUE!,
    tblPassengerNames[[#This Row],[InParentheses]]
)</f>
        <v>#VALUE!</v>
      </c>
      <c r="M761" t="e">
        <f>LEN(tblPassengerNames[[#This Row],[InParenthesesCleaned]]) - LEN(SUBSTITUTE(tblPassengerNames[[#This Row],[InParenthesesCleaned]], " ", ""))</f>
        <v>#VALUE!</v>
      </c>
      <c r="N761" t="e">
        <f>FIND("@", SUBSTITUTE(tblPassengerNames[[#This Row],[InParenthesesCleaned]], " ", "@", tblPassengerNames[[#This Row],[P_NSpaces]]))</f>
        <v>#VALUE!</v>
      </c>
      <c r="O761" t="e">
        <f>IF(tblPassengerNames[[#This Row],[P_NSpaces]] = 0,
    tblPassengerNames[[#This Row],[InParenthesesCleaned]],
    LEFT(tblPassengerNames[[#This Row],[InParenthesesCleaned]], tblPassengerNames[[#This Row],[P_FinalSpacePos]] - 1)
)</f>
        <v>#VALUE!</v>
      </c>
      <c r="P761" t="str">
        <f>IFERROR(tblPassengerNames[[#This Row],[P_Forenames]], tblPassengerNames[[#This Row],[ConvForenames]])</f>
        <v>Guillaume Joseph</v>
      </c>
      <c r="Q761" t="str">
        <f>MID(tblPassengerNames[[#This Row],[Name]], tblPassengerNames[[#This Row],[CommaPos]] + 2, tblPassengerNames[[#This Row],[DotPos]] - tblPassengerNames[[#This Row],[CommaPos]] - 1)</f>
        <v>Mr.</v>
      </c>
      <c r="R761" t="str">
        <f>LEFT(tblPassengerNames[[#This Row],[Name]], tblPassengerNames[[#This Row],[CommaPos]] - 1)</f>
        <v>de Messemaeker</v>
      </c>
    </row>
    <row r="762" spans="2:18" x14ac:dyDescent="0.25">
      <c r="B762" s="21">
        <v>760</v>
      </c>
      <c r="C762" s="21" t="s">
        <v>895</v>
      </c>
      <c r="D762" s="21" t="s">
        <v>136</v>
      </c>
      <c r="E762">
        <f>FIND(",", tblPassengerNames[[#This Row],[Name]])</f>
        <v>15</v>
      </c>
      <c r="F762">
        <f>FIND(".", tblPassengerNames[[#This Row],[Name]])</f>
        <v>20</v>
      </c>
      <c r="G762">
        <f>FIND("(", tblPassengerNames[[#This Row],[Name]])</f>
        <v>39</v>
      </c>
      <c r="H762">
        <f>FIND(")", tblPassengerNames[[#This Row],[Name]])</f>
        <v>44</v>
      </c>
      <c r="I762">
        <f>IFERROR(tblPassengerNames[[#This Row],[OpenParPos]] - 2, LEN(tblPassengerNames[[#This Row],[Name]]))</f>
        <v>37</v>
      </c>
      <c r="J762" t="str">
        <f>MID(tblPassengerNames[[#This Row],[Name]], tblPassengerNames[[#This Row],[DotPos]] + 2, tblPassengerNames[[#This Row],[EndOfConvFNPos]] - tblPassengerNames[[#This Row],[DotPos]] - 1)</f>
        <v>Guillaume Joseph</v>
      </c>
      <c r="K762" t="str">
        <f>MID(tblPassengerNames[[#This Row],[Name]], tblPassengerNames[[#This Row],[OpenParPos]] + 1, tblPassengerNames[[#This Row],[CloseParPos]] - tblPassengerNames[[#This Row],[OpenParPos]] - 1)</f>
        <v>Emma</v>
      </c>
      <c r="L762" t="str">
        <f>IF(AND(LEFT(tblPassengerNames[[#This Row],[InParentheses]], 1) = "'", RIGHT(tblPassengerNames[[#This Row],[InParentheses]], 1) = "'"),
    #VALUE!,
    tblPassengerNames[[#This Row],[InParentheses]]
)</f>
        <v>Emma</v>
      </c>
      <c r="M762">
        <f>LEN(tblPassengerNames[[#This Row],[InParenthesesCleaned]]) - LEN(SUBSTITUTE(tblPassengerNames[[#This Row],[InParenthesesCleaned]], " ", ""))</f>
        <v>0</v>
      </c>
      <c r="N762" t="e">
        <f>FIND("@", SUBSTITUTE(tblPassengerNames[[#This Row],[InParenthesesCleaned]], " ", "@", tblPassengerNames[[#This Row],[P_NSpaces]]))</f>
        <v>#VALUE!</v>
      </c>
      <c r="O762" t="str">
        <f>IF(tblPassengerNames[[#This Row],[P_NSpaces]] = 0,
    tblPassengerNames[[#This Row],[InParenthesesCleaned]],
    LEFT(tblPassengerNames[[#This Row],[InParenthesesCleaned]], tblPassengerNames[[#This Row],[P_FinalSpacePos]] - 1)
)</f>
        <v>Emma</v>
      </c>
      <c r="P762" t="str">
        <f>IFERROR(tblPassengerNames[[#This Row],[P_Forenames]], tblPassengerNames[[#This Row],[ConvForenames]])</f>
        <v>Emma</v>
      </c>
      <c r="Q762" t="str">
        <f>MID(tblPassengerNames[[#This Row],[Name]], tblPassengerNames[[#This Row],[CommaPos]] + 2, tblPassengerNames[[#This Row],[DotPos]] - tblPassengerNames[[#This Row],[CommaPos]] - 1)</f>
        <v>Mrs.</v>
      </c>
      <c r="R762" t="str">
        <f>LEFT(tblPassengerNames[[#This Row],[Name]], tblPassengerNames[[#This Row],[CommaPos]] - 1)</f>
        <v>de Messemaeker</v>
      </c>
    </row>
    <row r="763" spans="2:18" x14ac:dyDescent="0.25">
      <c r="B763" s="21">
        <v>761</v>
      </c>
      <c r="C763" s="21" t="s">
        <v>896</v>
      </c>
      <c r="D763" s="21" t="s">
        <v>138</v>
      </c>
      <c r="E763">
        <f>FIND(",", tblPassengerNames[[#This Row],[Name]])</f>
        <v>10</v>
      </c>
      <c r="F763">
        <f>FIND(".", tblPassengerNames[[#This Row],[Name]])</f>
        <v>14</v>
      </c>
      <c r="G763" t="e">
        <f>FIND("(", tblPassengerNames[[#This Row],[Name]])</f>
        <v>#VALUE!</v>
      </c>
      <c r="H763" t="e">
        <f>FIND(")", tblPassengerNames[[#This Row],[Name]])</f>
        <v>#VALUE!</v>
      </c>
      <c r="I763">
        <f>IFERROR(tblPassengerNames[[#This Row],[OpenParPos]] - 2, LEN(tblPassengerNames[[#This Row],[Name]]))</f>
        <v>23</v>
      </c>
      <c r="J763" t="str">
        <f>MID(tblPassengerNames[[#This Row],[Name]], tblPassengerNames[[#This Row],[DotPos]] + 2, tblPassengerNames[[#This Row],[EndOfConvFNPos]] - tblPassengerNames[[#This Row],[DotPos]] - 1)</f>
        <v>Theodore</v>
      </c>
      <c r="K763" t="e">
        <f>MID(tblPassengerNames[[#This Row],[Name]], tblPassengerNames[[#This Row],[OpenParPos]] + 1, tblPassengerNames[[#This Row],[CloseParPos]] - tblPassengerNames[[#This Row],[OpenParPos]] - 1)</f>
        <v>#VALUE!</v>
      </c>
      <c r="L763" t="e">
        <f>IF(AND(LEFT(tblPassengerNames[[#This Row],[InParentheses]], 1) = "'", RIGHT(tblPassengerNames[[#This Row],[InParentheses]], 1) = "'"),
    #VALUE!,
    tblPassengerNames[[#This Row],[InParentheses]]
)</f>
        <v>#VALUE!</v>
      </c>
      <c r="M763" t="e">
        <f>LEN(tblPassengerNames[[#This Row],[InParenthesesCleaned]]) - LEN(SUBSTITUTE(tblPassengerNames[[#This Row],[InParenthesesCleaned]], " ", ""))</f>
        <v>#VALUE!</v>
      </c>
      <c r="N763" t="e">
        <f>FIND("@", SUBSTITUTE(tblPassengerNames[[#This Row],[InParenthesesCleaned]], " ", "@", tblPassengerNames[[#This Row],[P_NSpaces]]))</f>
        <v>#VALUE!</v>
      </c>
      <c r="O763" t="e">
        <f>IF(tblPassengerNames[[#This Row],[P_NSpaces]] = 0,
    tblPassengerNames[[#This Row],[InParenthesesCleaned]],
    LEFT(tblPassengerNames[[#This Row],[InParenthesesCleaned]], tblPassengerNames[[#This Row],[P_FinalSpacePos]] - 1)
)</f>
        <v>#VALUE!</v>
      </c>
      <c r="P763" t="str">
        <f>IFERROR(tblPassengerNames[[#This Row],[P_Forenames]], tblPassengerNames[[#This Row],[ConvForenames]])</f>
        <v>Theodore</v>
      </c>
      <c r="Q763" t="str">
        <f>MID(tblPassengerNames[[#This Row],[Name]], tblPassengerNames[[#This Row],[CommaPos]] + 2, tblPassengerNames[[#This Row],[DotPos]] - tblPassengerNames[[#This Row],[CommaPos]] - 1)</f>
        <v>Mr.</v>
      </c>
      <c r="R763" t="str">
        <f>LEFT(tblPassengerNames[[#This Row],[Name]], tblPassengerNames[[#This Row],[CommaPos]] - 1)</f>
        <v>de Mulder</v>
      </c>
    </row>
    <row r="764" spans="2:18" x14ac:dyDescent="0.25">
      <c r="B764" s="21">
        <v>762</v>
      </c>
      <c r="C764" s="21" t="s">
        <v>897</v>
      </c>
      <c r="D764" s="21" t="s">
        <v>138</v>
      </c>
      <c r="E764">
        <f>FIND(",", tblPassengerNames[[#This Row],[Name]])</f>
        <v>14</v>
      </c>
      <c r="F764">
        <f>FIND(".", tblPassengerNames[[#This Row],[Name]])</f>
        <v>18</v>
      </c>
      <c r="G764" t="e">
        <f>FIND("(", tblPassengerNames[[#This Row],[Name]])</f>
        <v>#VALUE!</v>
      </c>
      <c r="H764" t="e">
        <f>FIND(")", tblPassengerNames[[#This Row],[Name]])</f>
        <v>#VALUE!</v>
      </c>
      <c r="I764">
        <f>IFERROR(tblPassengerNames[[#This Row],[OpenParPos]] - 2, LEN(tblPassengerNames[[#This Row],[Name]]))</f>
        <v>25</v>
      </c>
      <c r="J764" t="str">
        <f>MID(tblPassengerNames[[#This Row],[Name]], tblPassengerNames[[#This Row],[DotPos]] + 2, tblPassengerNames[[#This Row],[EndOfConvFNPos]] - tblPassengerNames[[#This Row],[DotPos]] - 1)</f>
        <v>Alfons</v>
      </c>
      <c r="K764" t="e">
        <f>MID(tblPassengerNames[[#This Row],[Name]], tblPassengerNames[[#This Row],[OpenParPos]] + 1, tblPassengerNames[[#This Row],[CloseParPos]] - tblPassengerNames[[#This Row],[OpenParPos]] - 1)</f>
        <v>#VALUE!</v>
      </c>
      <c r="L764" t="e">
        <f>IF(AND(LEFT(tblPassengerNames[[#This Row],[InParentheses]], 1) = "'", RIGHT(tblPassengerNames[[#This Row],[InParentheses]], 1) = "'"),
    #VALUE!,
    tblPassengerNames[[#This Row],[InParentheses]]
)</f>
        <v>#VALUE!</v>
      </c>
      <c r="M764" t="e">
        <f>LEN(tblPassengerNames[[#This Row],[InParenthesesCleaned]]) - LEN(SUBSTITUTE(tblPassengerNames[[#This Row],[InParenthesesCleaned]], " ", ""))</f>
        <v>#VALUE!</v>
      </c>
      <c r="N764" t="e">
        <f>FIND("@", SUBSTITUTE(tblPassengerNames[[#This Row],[InParenthesesCleaned]], " ", "@", tblPassengerNames[[#This Row],[P_NSpaces]]))</f>
        <v>#VALUE!</v>
      </c>
      <c r="O764" t="e">
        <f>IF(tblPassengerNames[[#This Row],[P_NSpaces]] = 0,
    tblPassengerNames[[#This Row],[InParenthesesCleaned]],
    LEFT(tblPassengerNames[[#This Row],[InParenthesesCleaned]], tblPassengerNames[[#This Row],[P_FinalSpacePos]] - 1)
)</f>
        <v>#VALUE!</v>
      </c>
      <c r="P764" t="str">
        <f>IFERROR(tblPassengerNames[[#This Row],[P_Forenames]], tblPassengerNames[[#This Row],[ConvForenames]])</f>
        <v>Alfons</v>
      </c>
      <c r="Q764" t="str">
        <f>MID(tblPassengerNames[[#This Row],[Name]], tblPassengerNames[[#This Row],[CommaPos]] + 2, tblPassengerNames[[#This Row],[DotPos]] - tblPassengerNames[[#This Row],[CommaPos]] - 1)</f>
        <v>Mr.</v>
      </c>
      <c r="R764" t="str">
        <f>LEFT(tblPassengerNames[[#This Row],[Name]], tblPassengerNames[[#This Row],[CommaPos]] - 1)</f>
        <v>de Pelsmaeker</v>
      </c>
    </row>
    <row r="765" spans="2:18" x14ac:dyDescent="0.25">
      <c r="B765" s="21">
        <v>763</v>
      </c>
      <c r="C765" s="21" t="s">
        <v>898</v>
      </c>
      <c r="D765" s="21" t="s">
        <v>138</v>
      </c>
      <c r="E765">
        <f>FIND(",", tblPassengerNames[[#This Row],[Name]])</f>
        <v>5</v>
      </c>
      <c r="F765">
        <f>FIND(".", tblPassengerNames[[#This Row],[Name]])</f>
        <v>13</v>
      </c>
      <c r="G765" t="e">
        <f>FIND("(", tblPassengerNames[[#This Row],[Name]])</f>
        <v>#VALUE!</v>
      </c>
      <c r="H765" t="e">
        <f>FIND(")", tblPassengerNames[[#This Row],[Name]])</f>
        <v>#VALUE!</v>
      </c>
      <c r="I765">
        <f>IFERROR(tblPassengerNames[[#This Row],[OpenParPos]] - 2, LEN(tblPassengerNames[[#This Row],[Name]]))</f>
        <v>26</v>
      </c>
      <c r="J765" t="str">
        <f>MID(tblPassengerNames[[#This Row],[Name]], tblPassengerNames[[#This Row],[DotPos]] + 2, tblPassengerNames[[#This Row],[EndOfConvFNPos]] - tblPassengerNames[[#This Row],[DotPos]] - 1)</f>
        <v>Bertram Vere</v>
      </c>
      <c r="K765" t="e">
        <f>MID(tblPassengerNames[[#This Row],[Name]], tblPassengerNames[[#This Row],[OpenParPos]] + 1, tblPassengerNames[[#This Row],[CloseParPos]] - tblPassengerNames[[#This Row],[OpenParPos]] - 1)</f>
        <v>#VALUE!</v>
      </c>
      <c r="L765" t="e">
        <f>IF(AND(LEFT(tblPassengerNames[[#This Row],[InParentheses]], 1) = "'", RIGHT(tblPassengerNames[[#This Row],[InParentheses]], 1) = "'"),
    #VALUE!,
    tblPassengerNames[[#This Row],[InParentheses]]
)</f>
        <v>#VALUE!</v>
      </c>
      <c r="M765" t="e">
        <f>LEN(tblPassengerNames[[#This Row],[InParenthesesCleaned]]) - LEN(SUBSTITUTE(tblPassengerNames[[#This Row],[InParenthesesCleaned]], " ", ""))</f>
        <v>#VALUE!</v>
      </c>
      <c r="N765" t="e">
        <f>FIND("@", SUBSTITUTE(tblPassengerNames[[#This Row],[InParenthesesCleaned]], " ", "@", tblPassengerNames[[#This Row],[P_NSpaces]]))</f>
        <v>#VALUE!</v>
      </c>
      <c r="O765" t="e">
        <f>IF(tblPassengerNames[[#This Row],[P_NSpaces]] = 0,
    tblPassengerNames[[#This Row],[InParenthesesCleaned]],
    LEFT(tblPassengerNames[[#This Row],[InParenthesesCleaned]], tblPassengerNames[[#This Row],[P_FinalSpacePos]] - 1)
)</f>
        <v>#VALUE!</v>
      </c>
      <c r="P765" t="str">
        <f>IFERROR(tblPassengerNames[[#This Row],[P_Forenames]], tblPassengerNames[[#This Row],[ConvForenames]])</f>
        <v>Bertram Vere</v>
      </c>
      <c r="Q765" t="str">
        <f>MID(tblPassengerNames[[#This Row],[Name]], tblPassengerNames[[#This Row],[CommaPos]] + 2, tblPassengerNames[[#This Row],[DotPos]] - tblPassengerNames[[#This Row],[CommaPos]] - 1)</f>
        <v>Master.</v>
      </c>
      <c r="R765" t="str">
        <f>LEFT(tblPassengerNames[[#This Row],[Name]], tblPassengerNames[[#This Row],[CommaPos]] - 1)</f>
        <v>Dean</v>
      </c>
    </row>
    <row r="766" spans="2:18" x14ac:dyDescent="0.25">
      <c r="B766" s="21">
        <v>764</v>
      </c>
      <c r="C766" s="21" t="s">
        <v>899</v>
      </c>
      <c r="D766" s="21" t="s">
        <v>136</v>
      </c>
      <c r="E766">
        <f>FIND(",", tblPassengerNames[[#This Row],[Name]])</f>
        <v>5</v>
      </c>
      <c r="F766">
        <f>FIND(".", tblPassengerNames[[#This Row],[Name]])</f>
        <v>11</v>
      </c>
      <c r="G766" t="e">
        <f>FIND("(", tblPassengerNames[[#This Row],[Name]])</f>
        <v>#VALUE!</v>
      </c>
      <c r="H766" t="e">
        <f>FIND(")", tblPassengerNames[[#This Row],[Name]])</f>
        <v>#VALUE!</v>
      </c>
      <c r="I766">
        <f>IFERROR(tblPassengerNames[[#This Row],[OpenParPos]] - 2, LEN(tblPassengerNames[[#This Row],[Name]]))</f>
        <v>39</v>
      </c>
      <c r="J766" t="str">
        <f>MID(tblPassengerNames[[#This Row],[Name]], tblPassengerNames[[#This Row],[DotPos]] + 2, tblPassengerNames[[#This Row],[EndOfConvFNPos]] - tblPassengerNames[[#This Row],[DotPos]] - 1)</f>
        <v>Elizabeth Gladys 'Millvina'</v>
      </c>
      <c r="K766" t="e">
        <f>MID(tblPassengerNames[[#This Row],[Name]], tblPassengerNames[[#This Row],[OpenParPos]] + 1, tblPassengerNames[[#This Row],[CloseParPos]] - tblPassengerNames[[#This Row],[OpenParPos]] - 1)</f>
        <v>#VALUE!</v>
      </c>
      <c r="L766" t="e">
        <f>IF(AND(LEFT(tblPassengerNames[[#This Row],[InParentheses]], 1) = "'", RIGHT(tblPassengerNames[[#This Row],[InParentheses]], 1) = "'"),
    #VALUE!,
    tblPassengerNames[[#This Row],[InParentheses]]
)</f>
        <v>#VALUE!</v>
      </c>
      <c r="M766" t="e">
        <f>LEN(tblPassengerNames[[#This Row],[InParenthesesCleaned]]) - LEN(SUBSTITUTE(tblPassengerNames[[#This Row],[InParenthesesCleaned]], " ", ""))</f>
        <v>#VALUE!</v>
      </c>
      <c r="N766" t="e">
        <f>FIND("@", SUBSTITUTE(tblPassengerNames[[#This Row],[InParenthesesCleaned]], " ", "@", tblPassengerNames[[#This Row],[P_NSpaces]]))</f>
        <v>#VALUE!</v>
      </c>
      <c r="O766" t="e">
        <f>IF(tblPassengerNames[[#This Row],[P_NSpaces]] = 0,
    tblPassengerNames[[#This Row],[InParenthesesCleaned]],
    LEFT(tblPassengerNames[[#This Row],[InParenthesesCleaned]], tblPassengerNames[[#This Row],[P_FinalSpacePos]] - 1)
)</f>
        <v>#VALUE!</v>
      </c>
      <c r="P766" t="str">
        <f>IFERROR(tblPassengerNames[[#This Row],[P_Forenames]], tblPassengerNames[[#This Row],[ConvForenames]])</f>
        <v>Elizabeth Gladys 'Millvina'</v>
      </c>
      <c r="Q766" t="str">
        <f>MID(tblPassengerNames[[#This Row],[Name]], tblPassengerNames[[#This Row],[CommaPos]] + 2, tblPassengerNames[[#This Row],[DotPos]] - tblPassengerNames[[#This Row],[CommaPos]] - 1)</f>
        <v>Miss.</v>
      </c>
      <c r="R766" t="str">
        <f>LEFT(tblPassengerNames[[#This Row],[Name]], tblPassengerNames[[#This Row],[CommaPos]] - 1)</f>
        <v>Dean</v>
      </c>
    </row>
    <row r="767" spans="2:18" x14ac:dyDescent="0.25">
      <c r="B767" s="21">
        <v>765</v>
      </c>
      <c r="C767" s="21" t="s">
        <v>900</v>
      </c>
      <c r="D767" s="21" t="s">
        <v>138</v>
      </c>
      <c r="E767">
        <f>FIND(",", tblPassengerNames[[#This Row],[Name]])</f>
        <v>5</v>
      </c>
      <c r="F767">
        <f>FIND(".", tblPassengerNames[[#This Row],[Name]])</f>
        <v>9</v>
      </c>
      <c r="G767" t="e">
        <f>FIND("(", tblPassengerNames[[#This Row],[Name]])</f>
        <v>#VALUE!</v>
      </c>
      <c r="H767" t="e">
        <f>FIND(")", tblPassengerNames[[#This Row],[Name]])</f>
        <v>#VALUE!</v>
      </c>
      <c r="I767">
        <f>IFERROR(tblPassengerNames[[#This Row],[OpenParPos]] - 2, LEN(tblPassengerNames[[#This Row],[Name]]))</f>
        <v>23</v>
      </c>
      <c r="J767" t="str">
        <f>MID(tblPassengerNames[[#This Row],[Name]], tblPassengerNames[[#This Row],[DotPos]] + 2, tblPassengerNames[[#This Row],[EndOfConvFNPos]] - tblPassengerNames[[#This Row],[DotPos]] - 1)</f>
        <v>Bertram Frank</v>
      </c>
      <c r="K767" t="e">
        <f>MID(tblPassengerNames[[#This Row],[Name]], tblPassengerNames[[#This Row],[OpenParPos]] + 1, tblPassengerNames[[#This Row],[CloseParPos]] - tblPassengerNames[[#This Row],[OpenParPos]] - 1)</f>
        <v>#VALUE!</v>
      </c>
      <c r="L767" t="e">
        <f>IF(AND(LEFT(tblPassengerNames[[#This Row],[InParentheses]], 1) = "'", RIGHT(tblPassengerNames[[#This Row],[InParentheses]], 1) = "'"),
    #VALUE!,
    tblPassengerNames[[#This Row],[InParentheses]]
)</f>
        <v>#VALUE!</v>
      </c>
      <c r="M767" t="e">
        <f>LEN(tblPassengerNames[[#This Row],[InParenthesesCleaned]]) - LEN(SUBSTITUTE(tblPassengerNames[[#This Row],[InParenthesesCleaned]], " ", ""))</f>
        <v>#VALUE!</v>
      </c>
      <c r="N767" t="e">
        <f>FIND("@", SUBSTITUTE(tblPassengerNames[[#This Row],[InParenthesesCleaned]], " ", "@", tblPassengerNames[[#This Row],[P_NSpaces]]))</f>
        <v>#VALUE!</v>
      </c>
      <c r="O767" t="e">
        <f>IF(tblPassengerNames[[#This Row],[P_NSpaces]] = 0,
    tblPassengerNames[[#This Row],[InParenthesesCleaned]],
    LEFT(tblPassengerNames[[#This Row],[InParenthesesCleaned]], tblPassengerNames[[#This Row],[P_FinalSpacePos]] - 1)
)</f>
        <v>#VALUE!</v>
      </c>
      <c r="P767" t="str">
        <f>IFERROR(tblPassengerNames[[#This Row],[P_Forenames]], tblPassengerNames[[#This Row],[ConvForenames]])</f>
        <v>Bertram Frank</v>
      </c>
      <c r="Q767" t="str">
        <f>MID(tblPassengerNames[[#This Row],[Name]], tblPassengerNames[[#This Row],[CommaPos]] + 2, tblPassengerNames[[#This Row],[DotPos]] - tblPassengerNames[[#This Row],[CommaPos]] - 1)</f>
        <v>Mr.</v>
      </c>
      <c r="R767" t="str">
        <f>LEFT(tblPassengerNames[[#This Row],[Name]], tblPassengerNames[[#This Row],[CommaPos]] - 1)</f>
        <v>Dean</v>
      </c>
    </row>
    <row r="768" spans="2:18" x14ac:dyDescent="0.25">
      <c r="B768" s="21">
        <v>766</v>
      </c>
      <c r="C768" s="21" t="s">
        <v>901</v>
      </c>
      <c r="D768" s="21" t="s">
        <v>136</v>
      </c>
      <c r="E768">
        <f>FIND(",", tblPassengerNames[[#This Row],[Name]])</f>
        <v>5</v>
      </c>
      <c r="F768">
        <f>FIND(".", tblPassengerNames[[#This Row],[Name]])</f>
        <v>10</v>
      </c>
      <c r="G768">
        <f>FIND("(", tblPassengerNames[[#This Row],[Name]])</f>
        <v>20</v>
      </c>
      <c r="H768">
        <f>FIND(")", tblPassengerNames[[#This Row],[Name]])</f>
        <v>40</v>
      </c>
      <c r="I768">
        <f>IFERROR(tblPassengerNames[[#This Row],[OpenParPos]] - 2, LEN(tblPassengerNames[[#This Row],[Name]]))</f>
        <v>18</v>
      </c>
      <c r="J768" t="str">
        <f>MID(tblPassengerNames[[#This Row],[Name]], tblPassengerNames[[#This Row],[DotPos]] + 2, tblPassengerNames[[#This Row],[EndOfConvFNPos]] - tblPassengerNames[[#This Row],[DotPos]] - 1)</f>
        <v>Bertram</v>
      </c>
      <c r="K768" t="str">
        <f>MID(tblPassengerNames[[#This Row],[Name]], tblPassengerNames[[#This Row],[OpenParPos]] + 1, tblPassengerNames[[#This Row],[CloseParPos]] - tblPassengerNames[[#This Row],[OpenParPos]] - 1)</f>
        <v>Eva Georgetta Light</v>
      </c>
      <c r="L768" t="str">
        <f>IF(AND(LEFT(tblPassengerNames[[#This Row],[InParentheses]], 1) = "'", RIGHT(tblPassengerNames[[#This Row],[InParentheses]], 1) = "'"),
    #VALUE!,
    tblPassengerNames[[#This Row],[InParentheses]]
)</f>
        <v>Eva Georgetta Light</v>
      </c>
      <c r="M768">
        <f>LEN(tblPassengerNames[[#This Row],[InParenthesesCleaned]]) - LEN(SUBSTITUTE(tblPassengerNames[[#This Row],[InParenthesesCleaned]], " ", ""))</f>
        <v>2</v>
      </c>
      <c r="N768">
        <f>FIND("@", SUBSTITUTE(tblPassengerNames[[#This Row],[InParenthesesCleaned]], " ", "@", tblPassengerNames[[#This Row],[P_NSpaces]]))</f>
        <v>14</v>
      </c>
      <c r="O768" t="str">
        <f>IF(tblPassengerNames[[#This Row],[P_NSpaces]] = 0,
    tblPassengerNames[[#This Row],[InParenthesesCleaned]],
    LEFT(tblPassengerNames[[#This Row],[InParenthesesCleaned]], tblPassengerNames[[#This Row],[P_FinalSpacePos]] - 1)
)</f>
        <v>Eva Georgetta</v>
      </c>
      <c r="P768" t="str">
        <f>IFERROR(tblPassengerNames[[#This Row],[P_Forenames]], tblPassengerNames[[#This Row],[ConvForenames]])</f>
        <v>Eva Georgetta</v>
      </c>
      <c r="Q768" t="str">
        <f>MID(tblPassengerNames[[#This Row],[Name]], tblPassengerNames[[#This Row],[CommaPos]] + 2, tblPassengerNames[[#This Row],[DotPos]] - tblPassengerNames[[#This Row],[CommaPos]] - 1)</f>
        <v>Mrs.</v>
      </c>
      <c r="R768" t="str">
        <f>LEFT(tblPassengerNames[[#This Row],[Name]], tblPassengerNames[[#This Row],[CommaPos]] - 1)</f>
        <v>Dean</v>
      </c>
    </row>
    <row r="769" spans="2:18" x14ac:dyDescent="0.25">
      <c r="B769" s="21">
        <v>767</v>
      </c>
      <c r="C769" s="21" t="s">
        <v>902</v>
      </c>
      <c r="D769" s="21" t="s">
        <v>138</v>
      </c>
      <c r="E769">
        <f>FIND(",", tblPassengerNames[[#This Row],[Name]])</f>
        <v>8</v>
      </c>
      <c r="F769">
        <f>FIND(".", tblPassengerNames[[#This Row],[Name]])</f>
        <v>12</v>
      </c>
      <c r="G769" t="e">
        <f>FIND("(", tblPassengerNames[[#This Row],[Name]])</f>
        <v>#VALUE!</v>
      </c>
      <c r="H769" t="e">
        <f>FIND(")", tblPassengerNames[[#This Row],[Name]])</f>
        <v>#VALUE!</v>
      </c>
      <c r="I769">
        <f>IFERROR(tblPassengerNames[[#This Row],[OpenParPos]] - 2, LEN(tblPassengerNames[[#This Row],[Name]]))</f>
        <v>18</v>
      </c>
      <c r="J769" t="str">
        <f>MID(tblPassengerNames[[#This Row],[Name]], tblPassengerNames[[#This Row],[DotPos]] + 2, tblPassengerNames[[#This Row],[EndOfConvFNPos]] - tblPassengerNames[[#This Row],[DotPos]] - 1)</f>
        <v>Redjo</v>
      </c>
      <c r="K769" t="e">
        <f>MID(tblPassengerNames[[#This Row],[Name]], tblPassengerNames[[#This Row],[OpenParPos]] + 1, tblPassengerNames[[#This Row],[CloseParPos]] - tblPassengerNames[[#This Row],[OpenParPos]] - 1)</f>
        <v>#VALUE!</v>
      </c>
      <c r="L769" t="e">
        <f>IF(AND(LEFT(tblPassengerNames[[#This Row],[InParentheses]], 1) = "'", RIGHT(tblPassengerNames[[#This Row],[InParentheses]], 1) = "'"),
    #VALUE!,
    tblPassengerNames[[#This Row],[InParentheses]]
)</f>
        <v>#VALUE!</v>
      </c>
      <c r="M769" t="e">
        <f>LEN(tblPassengerNames[[#This Row],[InParenthesesCleaned]]) - LEN(SUBSTITUTE(tblPassengerNames[[#This Row],[InParenthesesCleaned]], " ", ""))</f>
        <v>#VALUE!</v>
      </c>
      <c r="N769" t="e">
        <f>FIND("@", SUBSTITUTE(tblPassengerNames[[#This Row],[InParenthesesCleaned]], " ", "@", tblPassengerNames[[#This Row],[P_NSpaces]]))</f>
        <v>#VALUE!</v>
      </c>
      <c r="O769" t="e">
        <f>IF(tblPassengerNames[[#This Row],[P_NSpaces]] = 0,
    tblPassengerNames[[#This Row],[InParenthesesCleaned]],
    LEFT(tblPassengerNames[[#This Row],[InParenthesesCleaned]], tblPassengerNames[[#This Row],[P_FinalSpacePos]] - 1)
)</f>
        <v>#VALUE!</v>
      </c>
      <c r="P769" t="str">
        <f>IFERROR(tblPassengerNames[[#This Row],[P_Forenames]], tblPassengerNames[[#This Row],[ConvForenames]])</f>
        <v>Redjo</v>
      </c>
      <c r="Q769" t="str">
        <f>MID(tblPassengerNames[[#This Row],[Name]], tblPassengerNames[[#This Row],[CommaPos]] + 2, tblPassengerNames[[#This Row],[DotPos]] - tblPassengerNames[[#This Row],[CommaPos]] - 1)</f>
        <v>Mr.</v>
      </c>
      <c r="R769" t="str">
        <f>LEFT(tblPassengerNames[[#This Row],[Name]], tblPassengerNames[[#This Row],[CommaPos]] - 1)</f>
        <v>Delalic</v>
      </c>
    </row>
    <row r="770" spans="2:18" x14ac:dyDescent="0.25">
      <c r="B770" s="21">
        <v>768</v>
      </c>
      <c r="C770" s="21" t="s">
        <v>903</v>
      </c>
      <c r="D770" s="21" t="s">
        <v>138</v>
      </c>
      <c r="E770">
        <f>FIND(",", tblPassengerNames[[#This Row],[Name]])</f>
        <v>8</v>
      </c>
      <c r="F770">
        <f>FIND(".", tblPassengerNames[[#This Row],[Name]])</f>
        <v>12</v>
      </c>
      <c r="G770" t="e">
        <f>FIND("(", tblPassengerNames[[#This Row],[Name]])</f>
        <v>#VALUE!</v>
      </c>
      <c r="H770" t="e">
        <f>FIND(")", tblPassengerNames[[#This Row],[Name]])</f>
        <v>#VALUE!</v>
      </c>
      <c r="I770">
        <f>IFERROR(tblPassengerNames[[#This Row],[OpenParPos]] - 2, LEN(tblPassengerNames[[#This Row],[Name]]))</f>
        <v>20</v>
      </c>
      <c r="J770" t="str">
        <f>MID(tblPassengerNames[[#This Row],[Name]], tblPassengerNames[[#This Row],[DotPos]] + 2, tblPassengerNames[[#This Row],[EndOfConvFNPos]] - tblPassengerNames[[#This Row],[DotPos]] - 1)</f>
        <v>Marinko</v>
      </c>
      <c r="K770" t="e">
        <f>MID(tblPassengerNames[[#This Row],[Name]], tblPassengerNames[[#This Row],[OpenParPos]] + 1, tblPassengerNames[[#This Row],[CloseParPos]] - tblPassengerNames[[#This Row],[OpenParPos]] - 1)</f>
        <v>#VALUE!</v>
      </c>
      <c r="L770" t="e">
        <f>IF(AND(LEFT(tblPassengerNames[[#This Row],[InParentheses]], 1) = "'", RIGHT(tblPassengerNames[[#This Row],[InParentheses]], 1) = "'"),
    #VALUE!,
    tblPassengerNames[[#This Row],[InParentheses]]
)</f>
        <v>#VALUE!</v>
      </c>
      <c r="M770" t="e">
        <f>LEN(tblPassengerNames[[#This Row],[InParenthesesCleaned]]) - LEN(SUBSTITUTE(tblPassengerNames[[#This Row],[InParenthesesCleaned]], " ", ""))</f>
        <v>#VALUE!</v>
      </c>
      <c r="N770" t="e">
        <f>FIND("@", SUBSTITUTE(tblPassengerNames[[#This Row],[InParenthesesCleaned]], " ", "@", tblPassengerNames[[#This Row],[P_NSpaces]]))</f>
        <v>#VALUE!</v>
      </c>
      <c r="O770" t="e">
        <f>IF(tblPassengerNames[[#This Row],[P_NSpaces]] = 0,
    tblPassengerNames[[#This Row],[InParenthesesCleaned]],
    LEFT(tblPassengerNames[[#This Row],[InParenthesesCleaned]], tblPassengerNames[[#This Row],[P_FinalSpacePos]] - 1)
)</f>
        <v>#VALUE!</v>
      </c>
      <c r="P770" t="str">
        <f>IFERROR(tblPassengerNames[[#This Row],[P_Forenames]], tblPassengerNames[[#This Row],[ConvForenames]])</f>
        <v>Marinko</v>
      </c>
      <c r="Q770" t="str">
        <f>MID(tblPassengerNames[[#This Row],[Name]], tblPassengerNames[[#This Row],[CommaPos]] + 2, tblPassengerNames[[#This Row],[DotPos]] - tblPassengerNames[[#This Row],[CommaPos]] - 1)</f>
        <v>Mr.</v>
      </c>
      <c r="R770" t="str">
        <f>LEFT(tblPassengerNames[[#This Row],[Name]], tblPassengerNames[[#This Row],[CommaPos]] - 1)</f>
        <v>Demetri</v>
      </c>
    </row>
    <row r="771" spans="2:18" x14ac:dyDescent="0.25">
      <c r="B771" s="21">
        <v>769</v>
      </c>
      <c r="C771" s="21" t="s">
        <v>904</v>
      </c>
      <c r="D771" s="21" t="s">
        <v>138</v>
      </c>
      <c r="E771">
        <f>FIND(",", tblPassengerNames[[#This Row],[Name]])</f>
        <v>8</v>
      </c>
      <c r="F771">
        <f>FIND(".", tblPassengerNames[[#This Row],[Name]])</f>
        <v>12</v>
      </c>
      <c r="G771" t="e">
        <f>FIND("(", tblPassengerNames[[#This Row],[Name]])</f>
        <v>#VALUE!</v>
      </c>
      <c r="H771" t="e">
        <f>FIND(")", tblPassengerNames[[#This Row],[Name]])</f>
        <v>#VALUE!</v>
      </c>
      <c r="I771">
        <f>IFERROR(tblPassengerNames[[#This Row],[OpenParPos]] - 2, LEN(tblPassengerNames[[#This Row],[Name]]))</f>
        <v>18</v>
      </c>
      <c r="J771" t="str">
        <f>MID(tblPassengerNames[[#This Row],[Name]], tblPassengerNames[[#This Row],[DotPos]] + 2, tblPassengerNames[[#This Row],[EndOfConvFNPos]] - tblPassengerNames[[#This Row],[DotPos]] - 1)</f>
        <v>Mitto</v>
      </c>
      <c r="K771" t="e">
        <f>MID(tblPassengerNames[[#This Row],[Name]], tblPassengerNames[[#This Row],[OpenParPos]] + 1, tblPassengerNames[[#This Row],[CloseParPos]] - tblPassengerNames[[#This Row],[OpenParPos]] - 1)</f>
        <v>#VALUE!</v>
      </c>
      <c r="L771" t="e">
        <f>IF(AND(LEFT(tblPassengerNames[[#This Row],[InParentheses]], 1) = "'", RIGHT(tblPassengerNames[[#This Row],[InParentheses]], 1) = "'"),
    #VALUE!,
    tblPassengerNames[[#This Row],[InParentheses]]
)</f>
        <v>#VALUE!</v>
      </c>
      <c r="M771" t="e">
        <f>LEN(tblPassengerNames[[#This Row],[InParenthesesCleaned]]) - LEN(SUBSTITUTE(tblPassengerNames[[#This Row],[InParenthesesCleaned]], " ", ""))</f>
        <v>#VALUE!</v>
      </c>
      <c r="N771" t="e">
        <f>FIND("@", SUBSTITUTE(tblPassengerNames[[#This Row],[InParenthesesCleaned]], " ", "@", tblPassengerNames[[#This Row],[P_NSpaces]]))</f>
        <v>#VALUE!</v>
      </c>
      <c r="O771" t="e">
        <f>IF(tblPassengerNames[[#This Row],[P_NSpaces]] = 0,
    tblPassengerNames[[#This Row],[InParenthesesCleaned]],
    LEFT(tblPassengerNames[[#This Row],[InParenthesesCleaned]], tblPassengerNames[[#This Row],[P_FinalSpacePos]] - 1)
)</f>
        <v>#VALUE!</v>
      </c>
      <c r="P771" t="str">
        <f>IFERROR(tblPassengerNames[[#This Row],[P_Forenames]], tblPassengerNames[[#This Row],[ConvForenames]])</f>
        <v>Mitto</v>
      </c>
      <c r="Q771" t="str">
        <f>MID(tblPassengerNames[[#This Row],[Name]], tblPassengerNames[[#This Row],[CommaPos]] + 2, tblPassengerNames[[#This Row],[DotPos]] - tblPassengerNames[[#This Row],[CommaPos]] - 1)</f>
        <v>Mr.</v>
      </c>
      <c r="R771" t="str">
        <f>LEFT(tblPassengerNames[[#This Row],[Name]], tblPassengerNames[[#This Row],[CommaPos]] - 1)</f>
        <v>Denkoff</v>
      </c>
    </row>
    <row r="772" spans="2:18" x14ac:dyDescent="0.25">
      <c r="B772" s="21">
        <v>770</v>
      </c>
      <c r="C772" s="21" t="s">
        <v>905</v>
      </c>
      <c r="D772" s="21" t="s">
        <v>138</v>
      </c>
      <c r="E772">
        <f>FIND(",", tblPassengerNames[[#This Row],[Name]])</f>
        <v>7</v>
      </c>
      <c r="F772">
        <f>FIND(".", tblPassengerNames[[#This Row],[Name]])</f>
        <v>11</v>
      </c>
      <c r="G772" t="e">
        <f>FIND("(", tblPassengerNames[[#This Row],[Name]])</f>
        <v>#VALUE!</v>
      </c>
      <c r="H772" t="e">
        <f>FIND(")", tblPassengerNames[[#This Row],[Name]])</f>
        <v>#VALUE!</v>
      </c>
      <c r="I772">
        <f>IFERROR(tblPassengerNames[[#This Row],[OpenParPos]] - 2, LEN(tblPassengerNames[[#This Row],[Name]]))</f>
        <v>18</v>
      </c>
      <c r="J772" t="str">
        <f>MID(tblPassengerNames[[#This Row],[Name]], tblPassengerNames[[#This Row],[DotPos]] + 2, tblPassengerNames[[#This Row],[EndOfConvFNPos]] - tblPassengerNames[[#This Row],[DotPos]] - 1)</f>
        <v>Samuel</v>
      </c>
      <c r="K772" t="e">
        <f>MID(tblPassengerNames[[#This Row],[Name]], tblPassengerNames[[#This Row],[OpenParPos]] + 1, tblPassengerNames[[#This Row],[CloseParPos]] - tblPassengerNames[[#This Row],[OpenParPos]] - 1)</f>
        <v>#VALUE!</v>
      </c>
      <c r="L772" t="e">
        <f>IF(AND(LEFT(tblPassengerNames[[#This Row],[InParentheses]], 1) = "'", RIGHT(tblPassengerNames[[#This Row],[InParentheses]], 1) = "'"),
    #VALUE!,
    tblPassengerNames[[#This Row],[InParentheses]]
)</f>
        <v>#VALUE!</v>
      </c>
      <c r="M772" t="e">
        <f>LEN(tblPassengerNames[[#This Row],[InParenthesesCleaned]]) - LEN(SUBSTITUTE(tblPassengerNames[[#This Row],[InParenthesesCleaned]], " ", ""))</f>
        <v>#VALUE!</v>
      </c>
      <c r="N772" t="e">
        <f>FIND("@", SUBSTITUTE(tblPassengerNames[[#This Row],[InParenthesesCleaned]], " ", "@", tblPassengerNames[[#This Row],[P_NSpaces]]))</f>
        <v>#VALUE!</v>
      </c>
      <c r="O772" t="e">
        <f>IF(tblPassengerNames[[#This Row],[P_NSpaces]] = 0,
    tblPassengerNames[[#This Row],[InParenthesesCleaned]],
    LEFT(tblPassengerNames[[#This Row],[InParenthesesCleaned]], tblPassengerNames[[#This Row],[P_FinalSpacePos]] - 1)
)</f>
        <v>#VALUE!</v>
      </c>
      <c r="P772" t="str">
        <f>IFERROR(tblPassengerNames[[#This Row],[P_Forenames]], tblPassengerNames[[#This Row],[ConvForenames]])</f>
        <v>Samuel</v>
      </c>
      <c r="Q772" t="str">
        <f>MID(tblPassengerNames[[#This Row],[Name]], tblPassengerNames[[#This Row],[CommaPos]] + 2, tblPassengerNames[[#This Row],[DotPos]] - tblPassengerNames[[#This Row],[CommaPos]] - 1)</f>
        <v>Mr.</v>
      </c>
      <c r="R772" t="str">
        <f>LEFT(tblPassengerNames[[#This Row],[Name]], tblPassengerNames[[#This Row],[CommaPos]] - 1)</f>
        <v>Dennis</v>
      </c>
    </row>
    <row r="773" spans="2:18" x14ac:dyDescent="0.25">
      <c r="B773" s="21">
        <v>771</v>
      </c>
      <c r="C773" s="21" t="s">
        <v>906</v>
      </c>
      <c r="D773" s="21" t="s">
        <v>138</v>
      </c>
      <c r="E773">
        <f>FIND(",", tblPassengerNames[[#This Row],[Name]])</f>
        <v>7</v>
      </c>
      <c r="F773">
        <f>FIND(".", tblPassengerNames[[#This Row],[Name]])</f>
        <v>11</v>
      </c>
      <c r="G773" t="e">
        <f>FIND("(", tblPassengerNames[[#This Row],[Name]])</f>
        <v>#VALUE!</v>
      </c>
      <c r="H773" t="e">
        <f>FIND(")", tblPassengerNames[[#This Row],[Name]])</f>
        <v>#VALUE!</v>
      </c>
      <c r="I773">
        <f>IFERROR(tblPassengerNames[[#This Row],[OpenParPos]] - 2, LEN(tblPassengerNames[[#This Row],[Name]]))</f>
        <v>19</v>
      </c>
      <c r="J773" t="str">
        <f>MID(tblPassengerNames[[#This Row],[Name]], tblPassengerNames[[#This Row],[DotPos]] + 2, tblPassengerNames[[#This Row],[EndOfConvFNPos]] - tblPassengerNames[[#This Row],[DotPos]] - 1)</f>
        <v>William</v>
      </c>
      <c r="K773" t="e">
        <f>MID(tblPassengerNames[[#This Row],[Name]], tblPassengerNames[[#This Row],[OpenParPos]] + 1, tblPassengerNames[[#This Row],[CloseParPos]] - tblPassengerNames[[#This Row],[OpenParPos]] - 1)</f>
        <v>#VALUE!</v>
      </c>
      <c r="L773" t="e">
        <f>IF(AND(LEFT(tblPassengerNames[[#This Row],[InParentheses]], 1) = "'", RIGHT(tblPassengerNames[[#This Row],[InParentheses]], 1) = "'"),
    #VALUE!,
    tblPassengerNames[[#This Row],[InParentheses]]
)</f>
        <v>#VALUE!</v>
      </c>
      <c r="M773" t="e">
        <f>LEN(tblPassengerNames[[#This Row],[InParenthesesCleaned]]) - LEN(SUBSTITUTE(tblPassengerNames[[#This Row],[InParenthesesCleaned]], " ", ""))</f>
        <v>#VALUE!</v>
      </c>
      <c r="N773" t="e">
        <f>FIND("@", SUBSTITUTE(tblPassengerNames[[#This Row],[InParenthesesCleaned]], " ", "@", tblPassengerNames[[#This Row],[P_NSpaces]]))</f>
        <v>#VALUE!</v>
      </c>
      <c r="O773" t="e">
        <f>IF(tblPassengerNames[[#This Row],[P_NSpaces]] = 0,
    tblPassengerNames[[#This Row],[InParenthesesCleaned]],
    LEFT(tblPassengerNames[[#This Row],[InParenthesesCleaned]], tblPassengerNames[[#This Row],[P_FinalSpacePos]] - 1)
)</f>
        <v>#VALUE!</v>
      </c>
      <c r="P773" t="str">
        <f>IFERROR(tblPassengerNames[[#This Row],[P_Forenames]], tblPassengerNames[[#This Row],[ConvForenames]])</f>
        <v>William</v>
      </c>
      <c r="Q773" t="str">
        <f>MID(tblPassengerNames[[#This Row],[Name]], tblPassengerNames[[#This Row],[CommaPos]] + 2, tblPassengerNames[[#This Row],[DotPos]] - tblPassengerNames[[#This Row],[CommaPos]] - 1)</f>
        <v>Mr.</v>
      </c>
      <c r="R773" t="str">
        <f>LEFT(tblPassengerNames[[#This Row],[Name]], tblPassengerNames[[#This Row],[CommaPos]] - 1)</f>
        <v>Dennis</v>
      </c>
    </row>
    <row r="774" spans="2:18" x14ac:dyDescent="0.25">
      <c r="B774" s="21">
        <v>772</v>
      </c>
      <c r="C774" s="21" t="s">
        <v>907</v>
      </c>
      <c r="D774" s="21" t="s">
        <v>136</v>
      </c>
      <c r="E774">
        <f>FIND(",", tblPassengerNames[[#This Row],[Name]])</f>
        <v>8</v>
      </c>
      <c r="F774">
        <f>FIND(".", tblPassengerNames[[#This Row],[Name]])</f>
        <v>14</v>
      </c>
      <c r="G774" t="e">
        <f>FIND("(", tblPassengerNames[[#This Row],[Name]])</f>
        <v>#VALUE!</v>
      </c>
      <c r="H774" t="e">
        <f>FIND(")", tblPassengerNames[[#This Row],[Name]])</f>
        <v>#VALUE!</v>
      </c>
      <c r="I774">
        <f>IFERROR(tblPassengerNames[[#This Row],[OpenParPos]] - 2, LEN(tblPassengerNames[[#This Row],[Name]]))</f>
        <v>29</v>
      </c>
      <c r="J774" t="str">
        <f>MID(tblPassengerNames[[#This Row],[Name]], tblPassengerNames[[#This Row],[DotPos]] + 2, tblPassengerNames[[#This Row],[EndOfConvFNPos]] - tblPassengerNames[[#This Row],[DotPos]] - 1)</f>
        <v>Margaret Delia</v>
      </c>
      <c r="K774" t="e">
        <f>MID(tblPassengerNames[[#This Row],[Name]], tblPassengerNames[[#This Row],[OpenParPos]] + 1, tblPassengerNames[[#This Row],[CloseParPos]] - tblPassengerNames[[#This Row],[OpenParPos]] - 1)</f>
        <v>#VALUE!</v>
      </c>
      <c r="L774" t="e">
        <f>IF(AND(LEFT(tblPassengerNames[[#This Row],[InParentheses]], 1) = "'", RIGHT(tblPassengerNames[[#This Row],[InParentheses]], 1) = "'"),
    #VALUE!,
    tblPassengerNames[[#This Row],[InParentheses]]
)</f>
        <v>#VALUE!</v>
      </c>
      <c r="M774" t="e">
        <f>LEN(tblPassengerNames[[#This Row],[InParenthesesCleaned]]) - LEN(SUBSTITUTE(tblPassengerNames[[#This Row],[InParenthesesCleaned]], " ", ""))</f>
        <v>#VALUE!</v>
      </c>
      <c r="N774" t="e">
        <f>FIND("@", SUBSTITUTE(tblPassengerNames[[#This Row],[InParenthesesCleaned]], " ", "@", tblPassengerNames[[#This Row],[P_NSpaces]]))</f>
        <v>#VALUE!</v>
      </c>
      <c r="O774" t="e">
        <f>IF(tblPassengerNames[[#This Row],[P_NSpaces]] = 0,
    tblPassengerNames[[#This Row],[InParenthesesCleaned]],
    LEFT(tblPassengerNames[[#This Row],[InParenthesesCleaned]], tblPassengerNames[[#This Row],[P_FinalSpacePos]] - 1)
)</f>
        <v>#VALUE!</v>
      </c>
      <c r="P774" t="str">
        <f>IFERROR(tblPassengerNames[[#This Row],[P_Forenames]], tblPassengerNames[[#This Row],[ConvForenames]])</f>
        <v>Margaret Delia</v>
      </c>
      <c r="Q774" t="str">
        <f>MID(tblPassengerNames[[#This Row],[Name]], tblPassengerNames[[#This Row],[CommaPos]] + 2, tblPassengerNames[[#This Row],[DotPos]] - tblPassengerNames[[#This Row],[CommaPos]] - 1)</f>
        <v>Miss.</v>
      </c>
      <c r="R774" t="str">
        <f>LEFT(tblPassengerNames[[#This Row],[Name]], tblPassengerNames[[#This Row],[CommaPos]] - 1)</f>
        <v>Devaney</v>
      </c>
    </row>
    <row r="775" spans="2:18" x14ac:dyDescent="0.25">
      <c r="B775" s="21">
        <v>773</v>
      </c>
      <c r="C775" s="21" t="s">
        <v>908</v>
      </c>
      <c r="D775" s="21" t="s">
        <v>138</v>
      </c>
      <c r="E775">
        <f>FIND(",", tblPassengerNames[[#This Row],[Name]])</f>
        <v>5</v>
      </c>
      <c r="F775">
        <f>FIND(".", tblPassengerNames[[#This Row],[Name]])</f>
        <v>9</v>
      </c>
      <c r="G775" t="e">
        <f>FIND("(", tblPassengerNames[[#This Row],[Name]])</f>
        <v>#VALUE!</v>
      </c>
      <c r="H775" t="e">
        <f>FIND(")", tblPassengerNames[[#This Row],[Name]])</f>
        <v>#VALUE!</v>
      </c>
      <c r="I775">
        <f>IFERROR(tblPassengerNames[[#This Row],[OpenParPos]] - 2, LEN(tblPassengerNames[[#This Row],[Name]]))</f>
        <v>15</v>
      </c>
      <c r="J775" t="str">
        <f>MID(tblPassengerNames[[#This Row],[Name]], tblPassengerNames[[#This Row],[DotPos]] + 2, tblPassengerNames[[#This Row],[EndOfConvFNPos]] - tblPassengerNames[[#This Row],[DotPos]] - 1)</f>
        <v>Mirko</v>
      </c>
      <c r="K775" t="e">
        <f>MID(tblPassengerNames[[#This Row],[Name]], tblPassengerNames[[#This Row],[OpenParPos]] + 1, tblPassengerNames[[#This Row],[CloseParPos]] - tblPassengerNames[[#This Row],[OpenParPos]] - 1)</f>
        <v>#VALUE!</v>
      </c>
      <c r="L775" t="e">
        <f>IF(AND(LEFT(tblPassengerNames[[#This Row],[InParentheses]], 1) = "'", RIGHT(tblPassengerNames[[#This Row],[InParentheses]], 1) = "'"),
    #VALUE!,
    tblPassengerNames[[#This Row],[InParentheses]]
)</f>
        <v>#VALUE!</v>
      </c>
      <c r="M775" t="e">
        <f>LEN(tblPassengerNames[[#This Row],[InParenthesesCleaned]]) - LEN(SUBSTITUTE(tblPassengerNames[[#This Row],[InParenthesesCleaned]], " ", ""))</f>
        <v>#VALUE!</v>
      </c>
      <c r="N775" t="e">
        <f>FIND("@", SUBSTITUTE(tblPassengerNames[[#This Row],[InParenthesesCleaned]], " ", "@", tblPassengerNames[[#This Row],[P_NSpaces]]))</f>
        <v>#VALUE!</v>
      </c>
      <c r="O775" t="e">
        <f>IF(tblPassengerNames[[#This Row],[P_NSpaces]] = 0,
    tblPassengerNames[[#This Row],[InParenthesesCleaned]],
    LEFT(tblPassengerNames[[#This Row],[InParenthesesCleaned]], tblPassengerNames[[#This Row],[P_FinalSpacePos]] - 1)
)</f>
        <v>#VALUE!</v>
      </c>
      <c r="P775" t="str">
        <f>IFERROR(tblPassengerNames[[#This Row],[P_Forenames]], tblPassengerNames[[#This Row],[ConvForenames]])</f>
        <v>Mirko</v>
      </c>
      <c r="Q775" t="str">
        <f>MID(tblPassengerNames[[#This Row],[Name]], tblPassengerNames[[#This Row],[CommaPos]] + 2, tblPassengerNames[[#This Row],[DotPos]] - tblPassengerNames[[#This Row],[CommaPos]] - 1)</f>
        <v>Mr.</v>
      </c>
      <c r="R775" t="str">
        <f>LEFT(tblPassengerNames[[#This Row],[Name]], tblPassengerNames[[#This Row],[CommaPos]] - 1)</f>
        <v>Dika</v>
      </c>
    </row>
    <row r="776" spans="2:18" x14ac:dyDescent="0.25">
      <c r="B776" s="21">
        <v>774</v>
      </c>
      <c r="C776" s="21" t="s">
        <v>909</v>
      </c>
      <c r="D776" s="21" t="s">
        <v>138</v>
      </c>
      <c r="E776">
        <f>FIND(",", tblPassengerNames[[#This Row],[Name]])</f>
        <v>6</v>
      </c>
      <c r="F776">
        <f>FIND(".", tblPassengerNames[[#This Row],[Name]])</f>
        <v>10</v>
      </c>
      <c r="G776" t="e">
        <f>FIND("(", tblPassengerNames[[#This Row],[Name]])</f>
        <v>#VALUE!</v>
      </c>
      <c r="H776" t="e">
        <f>FIND(")", tblPassengerNames[[#This Row],[Name]])</f>
        <v>#VALUE!</v>
      </c>
      <c r="I776">
        <f>IFERROR(tblPassengerNames[[#This Row],[OpenParPos]] - 2, LEN(tblPassengerNames[[#This Row],[Name]]))</f>
        <v>16</v>
      </c>
      <c r="J776" t="str">
        <f>MID(tblPassengerNames[[#This Row],[Name]], tblPassengerNames[[#This Row],[DotPos]] + 2, tblPassengerNames[[#This Row],[EndOfConvFNPos]] - tblPassengerNames[[#This Row],[DotPos]] - 1)</f>
        <v>Jovan</v>
      </c>
      <c r="K776" t="e">
        <f>MID(tblPassengerNames[[#This Row],[Name]], tblPassengerNames[[#This Row],[OpenParPos]] + 1, tblPassengerNames[[#This Row],[CloseParPos]] - tblPassengerNames[[#This Row],[OpenParPos]] - 1)</f>
        <v>#VALUE!</v>
      </c>
      <c r="L776" t="e">
        <f>IF(AND(LEFT(tblPassengerNames[[#This Row],[InParentheses]], 1) = "'", RIGHT(tblPassengerNames[[#This Row],[InParentheses]], 1) = "'"),
    #VALUE!,
    tblPassengerNames[[#This Row],[InParentheses]]
)</f>
        <v>#VALUE!</v>
      </c>
      <c r="M776" t="e">
        <f>LEN(tblPassengerNames[[#This Row],[InParenthesesCleaned]]) - LEN(SUBSTITUTE(tblPassengerNames[[#This Row],[InParenthesesCleaned]], " ", ""))</f>
        <v>#VALUE!</v>
      </c>
      <c r="N776" t="e">
        <f>FIND("@", SUBSTITUTE(tblPassengerNames[[#This Row],[InParenthesesCleaned]], " ", "@", tblPassengerNames[[#This Row],[P_NSpaces]]))</f>
        <v>#VALUE!</v>
      </c>
      <c r="O776" t="e">
        <f>IF(tblPassengerNames[[#This Row],[P_NSpaces]] = 0,
    tblPassengerNames[[#This Row],[InParenthesesCleaned]],
    LEFT(tblPassengerNames[[#This Row],[InParenthesesCleaned]], tblPassengerNames[[#This Row],[P_FinalSpacePos]] - 1)
)</f>
        <v>#VALUE!</v>
      </c>
      <c r="P776" t="str">
        <f>IFERROR(tblPassengerNames[[#This Row],[P_Forenames]], tblPassengerNames[[#This Row],[ConvForenames]])</f>
        <v>Jovan</v>
      </c>
      <c r="Q776" t="str">
        <f>MID(tblPassengerNames[[#This Row],[Name]], tblPassengerNames[[#This Row],[CommaPos]] + 2, tblPassengerNames[[#This Row],[DotPos]] - tblPassengerNames[[#This Row],[CommaPos]] - 1)</f>
        <v>Mr.</v>
      </c>
      <c r="R776" t="str">
        <f>LEFT(tblPassengerNames[[#This Row],[Name]], tblPassengerNames[[#This Row],[CommaPos]] - 1)</f>
        <v>Dimic</v>
      </c>
    </row>
    <row r="777" spans="2:18" x14ac:dyDescent="0.25">
      <c r="B777" s="21">
        <v>775</v>
      </c>
      <c r="C777" s="21" t="s">
        <v>910</v>
      </c>
      <c r="D777" s="21" t="s">
        <v>138</v>
      </c>
      <c r="E777">
        <f>FIND(",", tblPassengerNames[[#This Row],[Name]])</f>
        <v>10</v>
      </c>
      <c r="F777">
        <f>FIND(".", tblPassengerNames[[#This Row],[Name]])</f>
        <v>14</v>
      </c>
      <c r="G777" t="e">
        <f>FIND("(", tblPassengerNames[[#This Row],[Name]])</f>
        <v>#VALUE!</v>
      </c>
      <c r="H777" t="e">
        <f>FIND(")", tblPassengerNames[[#This Row],[Name]])</f>
        <v>#VALUE!</v>
      </c>
      <c r="I777">
        <f>IFERROR(tblPassengerNames[[#This Row],[OpenParPos]] - 2, LEN(tblPassengerNames[[#This Row],[Name]]))</f>
        <v>22</v>
      </c>
      <c r="J777" t="str">
        <f>MID(tblPassengerNames[[#This Row],[Name]], tblPassengerNames[[#This Row],[DotPos]] + 2, tblPassengerNames[[#This Row],[EndOfConvFNPos]] - tblPassengerNames[[#This Row],[DotPos]] - 1)</f>
        <v>Valtcho</v>
      </c>
      <c r="K777" t="e">
        <f>MID(tblPassengerNames[[#This Row],[Name]], tblPassengerNames[[#This Row],[OpenParPos]] + 1, tblPassengerNames[[#This Row],[CloseParPos]] - tblPassengerNames[[#This Row],[OpenParPos]] - 1)</f>
        <v>#VALUE!</v>
      </c>
      <c r="L777" t="e">
        <f>IF(AND(LEFT(tblPassengerNames[[#This Row],[InParentheses]], 1) = "'", RIGHT(tblPassengerNames[[#This Row],[InParentheses]], 1) = "'"),
    #VALUE!,
    tblPassengerNames[[#This Row],[InParentheses]]
)</f>
        <v>#VALUE!</v>
      </c>
      <c r="M777" t="e">
        <f>LEN(tblPassengerNames[[#This Row],[InParenthesesCleaned]]) - LEN(SUBSTITUTE(tblPassengerNames[[#This Row],[InParenthesesCleaned]], " ", ""))</f>
        <v>#VALUE!</v>
      </c>
      <c r="N777" t="e">
        <f>FIND("@", SUBSTITUTE(tblPassengerNames[[#This Row],[InParenthesesCleaned]], " ", "@", tblPassengerNames[[#This Row],[P_NSpaces]]))</f>
        <v>#VALUE!</v>
      </c>
      <c r="O777" t="e">
        <f>IF(tblPassengerNames[[#This Row],[P_NSpaces]] = 0,
    tblPassengerNames[[#This Row],[InParenthesesCleaned]],
    LEFT(tblPassengerNames[[#This Row],[InParenthesesCleaned]], tblPassengerNames[[#This Row],[P_FinalSpacePos]] - 1)
)</f>
        <v>#VALUE!</v>
      </c>
      <c r="P777" t="str">
        <f>IFERROR(tblPassengerNames[[#This Row],[P_Forenames]], tblPassengerNames[[#This Row],[ConvForenames]])</f>
        <v>Valtcho</v>
      </c>
      <c r="Q777" t="str">
        <f>MID(tblPassengerNames[[#This Row],[Name]], tblPassengerNames[[#This Row],[CommaPos]] + 2, tblPassengerNames[[#This Row],[DotPos]] - tblPassengerNames[[#This Row],[CommaPos]] - 1)</f>
        <v>Mr.</v>
      </c>
      <c r="R777" t="str">
        <f>LEFT(tblPassengerNames[[#This Row],[Name]], tblPassengerNames[[#This Row],[CommaPos]] - 1)</f>
        <v>Dintcheff</v>
      </c>
    </row>
    <row r="778" spans="2:18" x14ac:dyDescent="0.25">
      <c r="B778" s="21">
        <v>776</v>
      </c>
      <c r="C778" s="21" t="s">
        <v>911</v>
      </c>
      <c r="D778" s="21" t="s">
        <v>138</v>
      </c>
      <c r="E778">
        <f>FIND(",", tblPassengerNames[[#This Row],[Name]])</f>
        <v>7</v>
      </c>
      <c r="F778">
        <f>FIND(".", tblPassengerNames[[#This Row],[Name]])</f>
        <v>11</v>
      </c>
      <c r="G778" t="e">
        <f>FIND("(", tblPassengerNames[[#This Row],[Name]])</f>
        <v>#VALUE!</v>
      </c>
      <c r="H778" t="e">
        <f>FIND(")", tblPassengerNames[[#This Row],[Name]])</f>
        <v>#VALUE!</v>
      </c>
      <c r="I778">
        <f>IFERROR(tblPassengerNames[[#This Row],[OpenParPos]] - 2, LEN(tblPassengerNames[[#This Row],[Name]]))</f>
        <v>19</v>
      </c>
      <c r="J778" t="str">
        <f>MID(tblPassengerNames[[#This Row],[Name]], tblPassengerNames[[#This Row],[DotPos]] + 2, tblPassengerNames[[#This Row],[EndOfConvFNPos]] - tblPassengerNames[[#This Row],[DotPos]] - 1)</f>
        <v>Tannous</v>
      </c>
      <c r="K778" t="e">
        <f>MID(tblPassengerNames[[#This Row],[Name]], tblPassengerNames[[#This Row],[OpenParPos]] + 1, tblPassengerNames[[#This Row],[CloseParPos]] - tblPassengerNames[[#This Row],[OpenParPos]] - 1)</f>
        <v>#VALUE!</v>
      </c>
      <c r="L778" t="e">
        <f>IF(AND(LEFT(tblPassengerNames[[#This Row],[InParentheses]], 1) = "'", RIGHT(tblPassengerNames[[#This Row],[InParentheses]], 1) = "'"),
    #VALUE!,
    tblPassengerNames[[#This Row],[InParentheses]]
)</f>
        <v>#VALUE!</v>
      </c>
      <c r="M778" t="e">
        <f>LEN(tblPassengerNames[[#This Row],[InParenthesesCleaned]]) - LEN(SUBSTITUTE(tblPassengerNames[[#This Row],[InParenthesesCleaned]], " ", ""))</f>
        <v>#VALUE!</v>
      </c>
      <c r="N778" t="e">
        <f>FIND("@", SUBSTITUTE(tblPassengerNames[[#This Row],[InParenthesesCleaned]], " ", "@", tblPassengerNames[[#This Row],[P_NSpaces]]))</f>
        <v>#VALUE!</v>
      </c>
      <c r="O778" t="e">
        <f>IF(tblPassengerNames[[#This Row],[P_NSpaces]] = 0,
    tblPassengerNames[[#This Row],[InParenthesesCleaned]],
    LEFT(tblPassengerNames[[#This Row],[InParenthesesCleaned]], tblPassengerNames[[#This Row],[P_FinalSpacePos]] - 1)
)</f>
        <v>#VALUE!</v>
      </c>
      <c r="P778" t="str">
        <f>IFERROR(tblPassengerNames[[#This Row],[P_Forenames]], tblPassengerNames[[#This Row],[ConvForenames]])</f>
        <v>Tannous</v>
      </c>
      <c r="Q778" t="str">
        <f>MID(tblPassengerNames[[#This Row],[Name]], tblPassengerNames[[#This Row],[CommaPos]] + 2, tblPassengerNames[[#This Row],[DotPos]] - tblPassengerNames[[#This Row],[CommaPos]] - 1)</f>
        <v>Mr.</v>
      </c>
      <c r="R778" t="str">
        <f>LEFT(tblPassengerNames[[#This Row],[Name]], tblPassengerNames[[#This Row],[CommaPos]] - 1)</f>
        <v>Doharr</v>
      </c>
    </row>
    <row r="779" spans="2:18" x14ac:dyDescent="0.25">
      <c r="B779" s="21">
        <v>777</v>
      </c>
      <c r="C779" s="21" t="s">
        <v>912</v>
      </c>
      <c r="D779" s="21" t="s">
        <v>138</v>
      </c>
      <c r="E779">
        <f>FIND(",", tblPassengerNames[[#This Row],[Name]])</f>
        <v>7</v>
      </c>
      <c r="F779">
        <f>FIND(".", tblPassengerNames[[#This Row],[Name]])</f>
        <v>11</v>
      </c>
      <c r="G779" t="e">
        <f>FIND("(", tblPassengerNames[[#This Row],[Name]])</f>
        <v>#VALUE!</v>
      </c>
      <c r="H779" t="e">
        <f>FIND(")", tblPassengerNames[[#This Row],[Name]])</f>
        <v>#VALUE!</v>
      </c>
      <c r="I779">
        <f>IFERROR(tblPassengerNames[[#This Row],[OpenParPos]] - 2, LEN(tblPassengerNames[[#This Row],[Name]]))</f>
        <v>19</v>
      </c>
      <c r="J779" t="str">
        <f>MID(tblPassengerNames[[#This Row],[Name]], tblPassengerNames[[#This Row],[DotPos]] + 2, tblPassengerNames[[#This Row],[EndOfConvFNPos]] - tblPassengerNames[[#This Row],[DotPos]] - 1)</f>
        <v>Patrick</v>
      </c>
      <c r="K779" t="e">
        <f>MID(tblPassengerNames[[#This Row],[Name]], tblPassengerNames[[#This Row],[OpenParPos]] + 1, tblPassengerNames[[#This Row],[CloseParPos]] - tblPassengerNames[[#This Row],[OpenParPos]] - 1)</f>
        <v>#VALUE!</v>
      </c>
      <c r="L779" t="e">
        <f>IF(AND(LEFT(tblPassengerNames[[#This Row],[InParentheses]], 1) = "'", RIGHT(tblPassengerNames[[#This Row],[InParentheses]], 1) = "'"),
    #VALUE!,
    tblPassengerNames[[#This Row],[InParentheses]]
)</f>
        <v>#VALUE!</v>
      </c>
      <c r="M779" t="e">
        <f>LEN(tblPassengerNames[[#This Row],[InParenthesesCleaned]]) - LEN(SUBSTITUTE(tblPassengerNames[[#This Row],[InParenthesesCleaned]], " ", ""))</f>
        <v>#VALUE!</v>
      </c>
      <c r="N779" t="e">
        <f>FIND("@", SUBSTITUTE(tblPassengerNames[[#This Row],[InParenthesesCleaned]], " ", "@", tblPassengerNames[[#This Row],[P_NSpaces]]))</f>
        <v>#VALUE!</v>
      </c>
      <c r="O779" t="e">
        <f>IF(tblPassengerNames[[#This Row],[P_NSpaces]] = 0,
    tblPassengerNames[[#This Row],[InParenthesesCleaned]],
    LEFT(tblPassengerNames[[#This Row],[InParenthesesCleaned]], tblPassengerNames[[#This Row],[P_FinalSpacePos]] - 1)
)</f>
        <v>#VALUE!</v>
      </c>
      <c r="P779" t="str">
        <f>IFERROR(tblPassengerNames[[#This Row],[P_Forenames]], tblPassengerNames[[#This Row],[ConvForenames]])</f>
        <v>Patrick</v>
      </c>
      <c r="Q779" t="str">
        <f>MID(tblPassengerNames[[#This Row],[Name]], tblPassengerNames[[#This Row],[CommaPos]] + 2, tblPassengerNames[[#This Row],[DotPos]] - tblPassengerNames[[#This Row],[CommaPos]] - 1)</f>
        <v>Mr.</v>
      </c>
      <c r="R779" t="str">
        <f>LEFT(tblPassengerNames[[#This Row],[Name]], tblPassengerNames[[#This Row],[CommaPos]] - 1)</f>
        <v>Dooley</v>
      </c>
    </row>
    <row r="780" spans="2:18" x14ac:dyDescent="0.25">
      <c r="B780" s="21">
        <v>778</v>
      </c>
      <c r="C780" s="21" t="s">
        <v>913</v>
      </c>
      <c r="D780" s="21" t="s">
        <v>138</v>
      </c>
      <c r="E780">
        <f>FIND(",", tblPassengerNames[[#This Row],[Name]])</f>
        <v>8</v>
      </c>
      <c r="F780">
        <f>FIND(".", tblPassengerNames[[#This Row],[Name]])</f>
        <v>12</v>
      </c>
      <c r="G780" t="e">
        <f>FIND("(", tblPassengerNames[[#This Row],[Name]])</f>
        <v>#VALUE!</v>
      </c>
      <c r="H780" t="e">
        <f>FIND(")", tblPassengerNames[[#This Row],[Name]])</f>
        <v>#VALUE!</v>
      </c>
      <c r="I780">
        <f>IFERROR(tblPassengerNames[[#This Row],[OpenParPos]] - 2, LEN(tblPassengerNames[[#This Row],[Name]]))</f>
        <v>26</v>
      </c>
      <c r="J780" t="str">
        <f>MID(tblPassengerNames[[#This Row],[Name]], tblPassengerNames[[#This Row],[DotPos]] + 2, tblPassengerNames[[#This Row],[EndOfConvFNPos]] - tblPassengerNames[[#This Row],[DotPos]] - 1)</f>
        <v>Edward Arthur</v>
      </c>
      <c r="K780" t="e">
        <f>MID(tblPassengerNames[[#This Row],[Name]], tblPassengerNames[[#This Row],[OpenParPos]] + 1, tblPassengerNames[[#This Row],[CloseParPos]] - tblPassengerNames[[#This Row],[OpenParPos]] - 1)</f>
        <v>#VALUE!</v>
      </c>
      <c r="L780" t="e">
        <f>IF(AND(LEFT(tblPassengerNames[[#This Row],[InParentheses]], 1) = "'", RIGHT(tblPassengerNames[[#This Row],[InParentheses]], 1) = "'"),
    #VALUE!,
    tblPassengerNames[[#This Row],[InParentheses]]
)</f>
        <v>#VALUE!</v>
      </c>
      <c r="M780" t="e">
        <f>LEN(tblPassengerNames[[#This Row],[InParenthesesCleaned]]) - LEN(SUBSTITUTE(tblPassengerNames[[#This Row],[InParenthesesCleaned]], " ", ""))</f>
        <v>#VALUE!</v>
      </c>
      <c r="N780" t="e">
        <f>FIND("@", SUBSTITUTE(tblPassengerNames[[#This Row],[InParenthesesCleaned]], " ", "@", tblPassengerNames[[#This Row],[P_NSpaces]]))</f>
        <v>#VALUE!</v>
      </c>
      <c r="O780" t="e">
        <f>IF(tblPassengerNames[[#This Row],[P_NSpaces]] = 0,
    tblPassengerNames[[#This Row],[InParenthesesCleaned]],
    LEFT(tblPassengerNames[[#This Row],[InParenthesesCleaned]], tblPassengerNames[[#This Row],[P_FinalSpacePos]] - 1)
)</f>
        <v>#VALUE!</v>
      </c>
      <c r="P780" t="str">
        <f>IFERROR(tblPassengerNames[[#This Row],[P_Forenames]], tblPassengerNames[[#This Row],[ConvForenames]])</f>
        <v>Edward Arthur</v>
      </c>
      <c r="Q780" t="str">
        <f>MID(tblPassengerNames[[#This Row],[Name]], tblPassengerNames[[#This Row],[CommaPos]] + 2, tblPassengerNames[[#This Row],[DotPos]] - tblPassengerNames[[#This Row],[CommaPos]] - 1)</f>
        <v>Mr.</v>
      </c>
      <c r="R780" t="str">
        <f>LEFT(tblPassengerNames[[#This Row],[Name]], tblPassengerNames[[#This Row],[CommaPos]] - 1)</f>
        <v>Dorking</v>
      </c>
    </row>
    <row r="781" spans="2:18" x14ac:dyDescent="0.25">
      <c r="B781" s="21">
        <v>779</v>
      </c>
      <c r="C781" s="21" t="s">
        <v>914</v>
      </c>
      <c r="D781" s="21" t="s">
        <v>136</v>
      </c>
      <c r="E781">
        <f>FIND(",", tblPassengerNames[[#This Row],[Name]])</f>
        <v>8</v>
      </c>
      <c r="F781">
        <f>FIND(".", tblPassengerNames[[#This Row],[Name]])</f>
        <v>14</v>
      </c>
      <c r="G781" t="e">
        <f>FIND("(", tblPassengerNames[[#This Row],[Name]])</f>
        <v>#VALUE!</v>
      </c>
      <c r="H781" t="e">
        <f>FIND(")", tblPassengerNames[[#This Row],[Name]])</f>
        <v>#VALUE!</v>
      </c>
      <c r="I781">
        <f>IFERROR(tblPassengerNames[[#This Row],[OpenParPos]] - 2, LEN(tblPassengerNames[[#This Row],[Name]]))</f>
        <v>24</v>
      </c>
      <c r="J781" t="str">
        <f>MID(tblPassengerNames[[#This Row],[Name]], tblPassengerNames[[#This Row],[DotPos]] + 2, tblPassengerNames[[#This Row],[EndOfConvFNPos]] - tblPassengerNames[[#This Row],[DotPos]] - 1)</f>
        <v>Elizabeth</v>
      </c>
      <c r="K781" t="e">
        <f>MID(tblPassengerNames[[#This Row],[Name]], tblPassengerNames[[#This Row],[OpenParPos]] + 1, tblPassengerNames[[#This Row],[CloseParPos]] - tblPassengerNames[[#This Row],[OpenParPos]] - 1)</f>
        <v>#VALUE!</v>
      </c>
      <c r="L781" t="e">
        <f>IF(AND(LEFT(tblPassengerNames[[#This Row],[InParentheses]], 1) = "'", RIGHT(tblPassengerNames[[#This Row],[InParentheses]], 1) = "'"),
    #VALUE!,
    tblPassengerNames[[#This Row],[InParentheses]]
)</f>
        <v>#VALUE!</v>
      </c>
      <c r="M781" t="e">
        <f>LEN(tblPassengerNames[[#This Row],[InParenthesesCleaned]]) - LEN(SUBSTITUTE(tblPassengerNames[[#This Row],[InParenthesesCleaned]], " ", ""))</f>
        <v>#VALUE!</v>
      </c>
      <c r="N781" t="e">
        <f>FIND("@", SUBSTITUTE(tblPassengerNames[[#This Row],[InParenthesesCleaned]], " ", "@", tblPassengerNames[[#This Row],[P_NSpaces]]))</f>
        <v>#VALUE!</v>
      </c>
      <c r="O781" t="e">
        <f>IF(tblPassengerNames[[#This Row],[P_NSpaces]] = 0,
    tblPassengerNames[[#This Row],[InParenthesesCleaned]],
    LEFT(tblPassengerNames[[#This Row],[InParenthesesCleaned]], tblPassengerNames[[#This Row],[P_FinalSpacePos]] - 1)
)</f>
        <v>#VALUE!</v>
      </c>
      <c r="P781" t="str">
        <f>IFERROR(tblPassengerNames[[#This Row],[P_Forenames]], tblPassengerNames[[#This Row],[ConvForenames]])</f>
        <v>Elizabeth</v>
      </c>
      <c r="Q781" t="str">
        <f>MID(tblPassengerNames[[#This Row],[Name]], tblPassengerNames[[#This Row],[CommaPos]] + 2, tblPassengerNames[[#This Row],[DotPos]] - tblPassengerNames[[#This Row],[CommaPos]] - 1)</f>
        <v>Miss.</v>
      </c>
      <c r="R781" t="str">
        <f>LEFT(tblPassengerNames[[#This Row],[Name]], tblPassengerNames[[#This Row],[CommaPos]] - 1)</f>
        <v>Dowdell</v>
      </c>
    </row>
    <row r="782" spans="2:18" x14ac:dyDescent="0.25">
      <c r="B782" s="21">
        <v>780</v>
      </c>
      <c r="C782" s="21" t="s">
        <v>915</v>
      </c>
      <c r="D782" s="21" t="s">
        <v>136</v>
      </c>
      <c r="E782">
        <f>FIND(",", tblPassengerNames[[#This Row],[Name]])</f>
        <v>6</v>
      </c>
      <c r="F782">
        <f>FIND(".", tblPassengerNames[[#This Row],[Name]])</f>
        <v>12</v>
      </c>
      <c r="G782" t="e">
        <f>FIND("(", tblPassengerNames[[#This Row],[Name]])</f>
        <v>#VALUE!</v>
      </c>
      <c r="H782" t="e">
        <f>FIND(")", tblPassengerNames[[#This Row],[Name]])</f>
        <v>#VALUE!</v>
      </c>
      <c r="I782">
        <f>IFERROR(tblPassengerNames[[#This Row],[OpenParPos]] - 2, LEN(tblPassengerNames[[#This Row],[Name]]))</f>
        <v>22</v>
      </c>
      <c r="J782" t="str">
        <f>MID(tblPassengerNames[[#This Row],[Name]], tblPassengerNames[[#This Row],[DotPos]] + 2, tblPassengerNames[[#This Row],[EndOfConvFNPos]] - tblPassengerNames[[#This Row],[DotPos]] - 1)</f>
        <v>Elizabeth</v>
      </c>
      <c r="K782" t="e">
        <f>MID(tblPassengerNames[[#This Row],[Name]], tblPassengerNames[[#This Row],[OpenParPos]] + 1, tblPassengerNames[[#This Row],[CloseParPos]] - tblPassengerNames[[#This Row],[OpenParPos]] - 1)</f>
        <v>#VALUE!</v>
      </c>
      <c r="L782" t="e">
        <f>IF(AND(LEFT(tblPassengerNames[[#This Row],[InParentheses]], 1) = "'", RIGHT(tblPassengerNames[[#This Row],[InParentheses]], 1) = "'"),
    #VALUE!,
    tblPassengerNames[[#This Row],[InParentheses]]
)</f>
        <v>#VALUE!</v>
      </c>
      <c r="M782" t="e">
        <f>LEN(tblPassengerNames[[#This Row],[InParenthesesCleaned]]) - LEN(SUBSTITUTE(tblPassengerNames[[#This Row],[InParenthesesCleaned]], " ", ""))</f>
        <v>#VALUE!</v>
      </c>
      <c r="N782" t="e">
        <f>FIND("@", SUBSTITUTE(tblPassengerNames[[#This Row],[InParenthesesCleaned]], " ", "@", tblPassengerNames[[#This Row],[P_NSpaces]]))</f>
        <v>#VALUE!</v>
      </c>
      <c r="O782" t="e">
        <f>IF(tblPassengerNames[[#This Row],[P_NSpaces]] = 0,
    tblPassengerNames[[#This Row],[InParenthesesCleaned]],
    LEFT(tblPassengerNames[[#This Row],[InParenthesesCleaned]], tblPassengerNames[[#This Row],[P_FinalSpacePos]] - 1)
)</f>
        <v>#VALUE!</v>
      </c>
      <c r="P782" t="str">
        <f>IFERROR(tblPassengerNames[[#This Row],[P_Forenames]], tblPassengerNames[[#This Row],[ConvForenames]])</f>
        <v>Elizabeth</v>
      </c>
      <c r="Q782" t="str">
        <f>MID(tblPassengerNames[[#This Row],[Name]], tblPassengerNames[[#This Row],[CommaPos]] + 2, tblPassengerNames[[#This Row],[DotPos]] - tblPassengerNames[[#This Row],[CommaPos]] - 1)</f>
        <v>Miss.</v>
      </c>
      <c r="R782" t="str">
        <f>LEFT(tblPassengerNames[[#This Row],[Name]], tblPassengerNames[[#This Row],[CommaPos]] - 1)</f>
        <v>Doyle</v>
      </c>
    </row>
    <row r="783" spans="2:18" x14ac:dyDescent="0.25">
      <c r="B783" s="21">
        <v>781</v>
      </c>
      <c r="C783" s="21" t="s">
        <v>916</v>
      </c>
      <c r="D783" s="21" t="s">
        <v>136</v>
      </c>
      <c r="E783">
        <f>FIND(",", tblPassengerNames[[#This Row],[Name]])</f>
        <v>8</v>
      </c>
      <c r="F783">
        <f>FIND(".", tblPassengerNames[[#This Row],[Name]])</f>
        <v>14</v>
      </c>
      <c r="G783" t="e">
        <f>FIND("(", tblPassengerNames[[#This Row],[Name]])</f>
        <v>#VALUE!</v>
      </c>
      <c r="H783" t="e">
        <f>FIND(")", tblPassengerNames[[#This Row],[Name]])</f>
        <v>#VALUE!</v>
      </c>
      <c r="I783">
        <f>IFERROR(tblPassengerNames[[#This Row],[OpenParPos]] - 2, LEN(tblPassengerNames[[#This Row],[Name]]))</f>
        <v>21</v>
      </c>
      <c r="J783" t="str">
        <f>MID(tblPassengerNames[[#This Row],[Name]], tblPassengerNames[[#This Row],[DotPos]] + 2, tblPassengerNames[[#This Row],[EndOfConvFNPos]] - tblPassengerNames[[#This Row],[DotPos]] - 1)</f>
        <v>Jennie</v>
      </c>
      <c r="K783" t="e">
        <f>MID(tblPassengerNames[[#This Row],[Name]], tblPassengerNames[[#This Row],[OpenParPos]] + 1, tblPassengerNames[[#This Row],[CloseParPos]] - tblPassengerNames[[#This Row],[OpenParPos]] - 1)</f>
        <v>#VALUE!</v>
      </c>
      <c r="L783" t="e">
        <f>IF(AND(LEFT(tblPassengerNames[[#This Row],[InParentheses]], 1) = "'", RIGHT(tblPassengerNames[[#This Row],[InParentheses]], 1) = "'"),
    #VALUE!,
    tblPassengerNames[[#This Row],[InParentheses]]
)</f>
        <v>#VALUE!</v>
      </c>
      <c r="M783" t="e">
        <f>LEN(tblPassengerNames[[#This Row],[InParenthesesCleaned]]) - LEN(SUBSTITUTE(tblPassengerNames[[#This Row],[InParenthesesCleaned]], " ", ""))</f>
        <v>#VALUE!</v>
      </c>
      <c r="N783" t="e">
        <f>FIND("@", SUBSTITUTE(tblPassengerNames[[#This Row],[InParenthesesCleaned]], " ", "@", tblPassengerNames[[#This Row],[P_NSpaces]]))</f>
        <v>#VALUE!</v>
      </c>
      <c r="O783" t="e">
        <f>IF(tblPassengerNames[[#This Row],[P_NSpaces]] = 0,
    tblPassengerNames[[#This Row],[InParenthesesCleaned]],
    LEFT(tblPassengerNames[[#This Row],[InParenthesesCleaned]], tblPassengerNames[[#This Row],[P_FinalSpacePos]] - 1)
)</f>
        <v>#VALUE!</v>
      </c>
      <c r="P783" t="str">
        <f>IFERROR(tblPassengerNames[[#This Row],[P_Forenames]], tblPassengerNames[[#This Row],[ConvForenames]])</f>
        <v>Jennie</v>
      </c>
      <c r="Q783" t="str">
        <f>MID(tblPassengerNames[[#This Row],[Name]], tblPassengerNames[[#This Row],[CommaPos]] + 2, tblPassengerNames[[#This Row],[DotPos]] - tblPassengerNames[[#This Row],[CommaPos]] - 1)</f>
        <v>Miss.</v>
      </c>
      <c r="R783" t="str">
        <f>LEFT(tblPassengerNames[[#This Row],[Name]], tblPassengerNames[[#This Row],[CommaPos]] - 1)</f>
        <v>Drapkin</v>
      </c>
    </row>
    <row r="784" spans="2:18" x14ac:dyDescent="0.25">
      <c r="B784" s="21">
        <v>782</v>
      </c>
      <c r="C784" s="21" t="s">
        <v>917</v>
      </c>
      <c r="D784" s="21" t="s">
        <v>138</v>
      </c>
      <c r="E784">
        <f>FIND(",", tblPassengerNames[[#This Row],[Name]])</f>
        <v>10</v>
      </c>
      <c r="F784">
        <f>FIND(".", tblPassengerNames[[#This Row],[Name]])</f>
        <v>14</v>
      </c>
      <c r="G784" t="e">
        <f>FIND("(", tblPassengerNames[[#This Row],[Name]])</f>
        <v>#VALUE!</v>
      </c>
      <c r="H784" t="e">
        <f>FIND(")", tblPassengerNames[[#This Row],[Name]])</f>
        <v>#VALUE!</v>
      </c>
      <c r="I784">
        <f>IFERROR(tblPassengerNames[[#This Row],[OpenParPos]] - 2, LEN(tblPassengerNames[[#This Row],[Name]]))</f>
        <v>20</v>
      </c>
      <c r="J784" t="str">
        <f>MID(tblPassengerNames[[#This Row],[Name]], tblPassengerNames[[#This Row],[DotPos]] + 2, tblPassengerNames[[#This Row],[EndOfConvFNPos]] - tblPassengerNames[[#This Row],[DotPos]] - 1)</f>
        <v>Jozef</v>
      </c>
      <c r="K784" t="e">
        <f>MID(tblPassengerNames[[#This Row],[Name]], tblPassengerNames[[#This Row],[OpenParPos]] + 1, tblPassengerNames[[#This Row],[CloseParPos]] - tblPassengerNames[[#This Row],[OpenParPos]] - 1)</f>
        <v>#VALUE!</v>
      </c>
      <c r="L784" t="e">
        <f>IF(AND(LEFT(tblPassengerNames[[#This Row],[InParentheses]], 1) = "'", RIGHT(tblPassengerNames[[#This Row],[InParentheses]], 1) = "'"),
    #VALUE!,
    tblPassengerNames[[#This Row],[InParentheses]]
)</f>
        <v>#VALUE!</v>
      </c>
      <c r="M784" t="e">
        <f>LEN(tblPassengerNames[[#This Row],[InParenthesesCleaned]]) - LEN(SUBSTITUTE(tblPassengerNames[[#This Row],[InParenthesesCleaned]], " ", ""))</f>
        <v>#VALUE!</v>
      </c>
      <c r="N784" t="e">
        <f>FIND("@", SUBSTITUTE(tblPassengerNames[[#This Row],[InParenthesesCleaned]], " ", "@", tblPassengerNames[[#This Row],[P_NSpaces]]))</f>
        <v>#VALUE!</v>
      </c>
      <c r="O784" t="e">
        <f>IF(tblPassengerNames[[#This Row],[P_NSpaces]] = 0,
    tblPassengerNames[[#This Row],[InParenthesesCleaned]],
    LEFT(tblPassengerNames[[#This Row],[InParenthesesCleaned]], tblPassengerNames[[#This Row],[P_FinalSpacePos]] - 1)
)</f>
        <v>#VALUE!</v>
      </c>
      <c r="P784" t="str">
        <f>IFERROR(tblPassengerNames[[#This Row],[P_Forenames]], tblPassengerNames[[#This Row],[ConvForenames]])</f>
        <v>Jozef</v>
      </c>
      <c r="Q784" t="str">
        <f>MID(tblPassengerNames[[#This Row],[Name]], tblPassengerNames[[#This Row],[CommaPos]] + 2, tblPassengerNames[[#This Row],[DotPos]] - tblPassengerNames[[#This Row],[CommaPos]] - 1)</f>
        <v>Mr.</v>
      </c>
      <c r="R784" t="str">
        <f>LEFT(tblPassengerNames[[#This Row],[Name]], tblPassengerNames[[#This Row],[CommaPos]] - 1)</f>
        <v>Drazenoic</v>
      </c>
    </row>
    <row r="785" spans="2:18" x14ac:dyDescent="0.25">
      <c r="B785" s="21">
        <v>783</v>
      </c>
      <c r="C785" s="21" t="s">
        <v>918</v>
      </c>
      <c r="D785" s="21" t="s">
        <v>138</v>
      </c>
      <c r="E785">
        <f>FIND(",", tblPassengerNames[[#This Row],[Name]])</f>
        <v>6</v>
      </c>
      <c r="F785">
        <f>FIND(".", tblPassengerNames[[#This Row],[Name]])</f>
        <v>10</v>
      </c>
      <c r="G785" t="e">
        <f>FIND("(", tblPassengerNames[[#This Row],[Name]])</f>
        <v>#VALUE!</v>
      </c>
      <c r="H785" t="e">
        <f>FIND(")", tblPassengerNames[[#This Row],[Name]])</f>
        <v>#VALUE!</v>
      </c>
      <c r="I785">
        <f>IFERROR(tblPassengerNames[[#This Row],[OpenParPos]] - 2, LEN(tblPassengerNames[[#This Row],[Name]]))</f>
        <v>16</v>
      </c>
      <c r="J785" t="str">
        <f>MID(tblPassengerNames[[#This Row],[Name]], tblPassengerNames[[#This Row],[DotPos]] + 2, tblPassengerNames[[#This Row],[EndOfConvFNPos]] - tblPassengerNames[[#This Row],[DotPos]] - 1)</f>
        <v>Frank</v>
      </c>
      <c r="K785" t="e">
        <f>MID(tblPassengerNames[[#This Row],[Name]], tblPassengerNames[[#This Row],[OpenParPos]] + 1, tblPassengerNames[[#This Row],[CloseParPos]] - tblPassengerNames[[#This Row],[OpenParPos]] - 1)</f>
        <v>#VALUE!</v>
      </c>
      <c r="L785" t="e">
        <f>IF(AND(LEFT(tblPassengerNames[[#This Row],[InParentheses]], 1) = "'", RIGHT(tblPassengerNames[[#This Row],[InParentheses]], 1) = "'"),
    #VALUE!,
    tblPassengerNames[[#This Row],[InParentheses]]
)</f>
        <v>#VALUE!</v>
      </c>
      <c r="M785" t="e">
        <f>LEN(tblPassengerNames[[#This Row],[InParenthesesCleaned]]) - LEN(SUBSTITUTE(tblPassengerNames[[#This Row],[InParenthesesCleaned]], " ", ""))</f>
        <v>#VALUE!</v>
      </c>
      <c r="N785" t="e">
        <f>FIND("@", SUBSTITUTE(tblPassengerNames[[#This Row],[InParenthesesCleaned]], " ", "@", tblPassengerNames[[#This Row],[P_NSpaces]]))</f>
        <v>#VALUE!</v>
      </c>
      <c r="O785" t="e">
        <f>IF(tblPassengerNames[[#This Row],[P_NSpaces]] = 0,
    tblPassengerNames[[#This Row],[InParenthesesCleaned]],
    LEFT(tblPassengerNames[[#This Row],[InParenthesesCleaned]], tblPassengerNames[[#This Row],[P_FinalSpacePos]] - 1)
)</f>
        <v>#VALUE!</v>
      </c>
      <c r="P785" t="str">
        <f>IFERROR(tblPassengerNames[[#This Row],[P_Forenames]], tblPassengerNames[[#This Row],[ConvForenames]])</f>
        <v>Frank</v>
      </c>
      <c r="Q785" t="str">
        <f>MID(tblPassengerNames[[#This Row],[Name]], tblPassengerNames[[#This Row],[CommaPos]] + 2, tblPassengerNames[[#This Row],[DotPos]] - tblPassengerNames[[#This Row],[CommaPos]] - 1)</f>
        <v>Mr.</v>
      </c>
      <c r="R785" t="str">
        <f>LEFT(tblPassengerNames[[#This Row],[Name]], tblPassengerNames[[#This Row],[CommaPos]] - 1)</f>
        <v>Duane</v>
      </c>
    </row>
    <row r="786" spans="2:18" x14ac:dyDescent="0.25">
      <c r="B786" s="21">
        <v>784</v>
      </c>
      <c r="C786" s="21" t="s">
        <v>919</v>
      </c>
      <c r="D786" s="21" t="s">
        <v>138</v>
      </c>
      <c r="E786">
        <f>FIND(",", tblPassengerNames[[#This Row],[Name]])</f>
        <v>9</v>
      </c>
      <c r="F786">
        <f>FIND(".", tblPassengerNames[[#This Row],[Name]])</f>
        <v>13</v>
      </c>
      <c r="G786" t="e">
        <f>FIND("(", tblPassengerNames[[#This Row],[Name]])</f>
        <v>#VALUE!</v>
      </c>
      <c r="H786" t="e">
        <f>FIND(")", tblPassengerNames[[#This Row],[Name]])</f>
        <v>#VALUE!</v>
      </c>
      <c r="I786">
        <f>IFERROR(tblPassengerNames[[#This Row],[OpenParPos]] - 2, LEN(tblPassengerNames[[#This Row],[Name]]))</f>
        <v>20</v>
      </c>
      <c r="J786" t="str">
        <f>MID(tblPassengerNames[[#This Row],[Name]], tblPassengerNames[[#This Row],[DotPos]] + 2, tblPassengerNames[[#This Row],[EndOfConvFNPos]] - tblPassengerNames[[#This Row],[DotPos]] - 1)</f>
        <v>Joseph</v>
      </c>
      <c r="K786" t="e">
        <f>MID(tblPassengerNames[[#This Row],[Name]], tblPassengerNames[[#This Row],[OpenParPos]] + 1, tblPassengerNames[[#This Row],[CloseParPos]] - tblPassengerNames[[#This Row],[OpenParPos]] - 1)</f>
        <v>#VALUE!</v>
      </c>
      <c r="L786" t="e">
        <f>IF(AND(LEFT(tblPassengerNames[[#This Row],[InParentheses]], 1) = "'", RIGHT(tblPassengerNames[[#This Row],[InParentheses]], 1) = "'"),
    #VALUE!,
    tblPassengerNames[[#This Row],[InParentheses]]
)</f>
        <v>#VALUE!</v>
      </c>
      <c r="M786" t="e">
        <f>LEN(tblPassengerNames[[#This Row],[InParenthesesCleaned]]) - LEN(SUBSTITUTE(tblPassengerNames[[#This Row],[InParenthesesCleaned]], " ", ""))</f>
        <v>#VALUE!</v>
      </c>
      <c r="N786" t="e">
        <f>FIND("@", SUBSTITUTE(tblPassengerNames[[#This Row],[InParenthesesCleaned]], " ", "@", tblPassengerNames[[#This Row],[P_NSpaces]]))</f>
        <v>#VALUE!</v>
      </c>
      <c r="O786" t="e">
        <f>IF(tblPassengerNames[[#This Row],[P_NSpaces]] = 0,
    tblPassengerNames[[#This Row],[InParenthesesCleaned]],
    LEFT(tblPassengerNames[[#This Row],[InParenthesesCleaned]], tblPassengerNames[[#This Row],[P_FinalSpacePos]] - 1)
)</f>
        <v>#VALUE!</v>
      </c>
      <c r="P786" t="str">
        <f>IFERROR(tblPassengerNames[[#This Row],[P_Forenames]], tblPassengerNames[[#This Row],[ConvForenames]])</f>
        <v>Joseph</v>
      </c>
      <c r="Q786" t="str">
        <f>MID(tblPassengerNames[[#This Row],[Name]], tblPassengerNames[[#This Row],[CommaPos]] + 2, tblPassengerNames[[#This Row],[DotPos]] - tblPassengerNames[[#This Row],[CommaPos]] - 1)</f>
        <v>Mr.</v>
      </c>
      <c r="R786" t="str">
        <f>LEFT(tblPassengerNames[[#This Row],[Name]], tblPassengerNames[[#This Row],[CommaPos]] - 1)</f>
        <v>Duquemin</v>
      </c>
    </row>
    <row r="787" spans="2:18" x14ac:dyDescent="0.25">
      <c r="B787" s="21">
        <v>785</v>
      </c>
      <c r="C787" s="21" t="s">
        <v>920</v>
      </c>
      <c r="D787" s="21" t="s">
        <v>138</v>
      </c>
      <c r="E787">
        <f>FIND(",", tblPassengerNames[[#This Row],[Name]])</f>
        <v>6</v>
      </c>
      <c r="F787">
        <f>FIND(".", tblPassengerNames[[#This Row],[Name]])</f>
        <v>10</v>
      </c>
      <c r="G787" t="e">
        <f>FIND("(", tblPassengerNames[[#This Row],[Name]])</f>
        <v>#VALUE!</v>
      </c>
      <c r="H787" t="e">
        <f>FIND(")", tblPassengerNames[[#This Row],[Name]])</f>
        <v>#VALUE!</v>
      </c>
      <c r="I787">
        <f>IFERROR(tblPassengerNames[[#This Row],[OpenParPos]] - 2, LEN(tblPassengerNames[[#This Row],[Name]]))</f>
        <v>24</v>
      </c>
      <c r="J787" t="str">
        <f>MID(tblPassengerNames[[#This Row],[Name]], tblPassengerNames[[#This Row],[DotPos]] + 2, tblPassengerNames[[#This Row],[EndOfConvFNPos]] - tblPassengerNames[[#This Row],[DotPos]] - 1)</f>
        <v>Adolf Fredrik</v>
      </c>
      <c r="K787" t="e">
        <f>MID(tblPassengerNames[[#This Row],[Name]], tblPassengerNames[[#This Row],[OpenParPos]] + 1, tblPassengerNames[[#This Row],[CloseParPos]] - tblPassengerNames[[#This Row],[OpenParPos]] - 1)</f>
        <v>#VALUE!</v>
      </c>
      <c r="L787" t="e">
        <f>IF(AND(LEFT(tblPassengerNames[[#This Row],[InParentheses]], 1) = "'", RIGHT(tblPassengerNames[[#This Row],[InParentheses]], 1) = "'"),
    #VALUE!,
    tblPassengerNames[[#This Row],[InParentheses]]
)</f>
        <v>#VALUE!</v>
      </c>
      <c r="M787" t="e">
        <f>LEN(tblPassengerNames[[#This Row],[InParenthesesCleaned]]) - LEN(SUBSTITUTE(tblPassengerNames[[#This Row],[InParenthesesCleaned]], " ", ""))</f>
        <v>#VALUE!</v>
      </c>
      <c r="N787" t="e">
        <f>FIND("@", SUBSTITUTE(tblPassengerNames[[#This Row],[InParenthesesCleaned]], " ", "@", tblPassengerNames[[#This Row],[P_NSpaces]]))</f>
        <v>#VALUE!</v>
      </c>
      <c r="O787" t="e">
        <f>IF(tblPassengerNames[[#This Row],[P_NSpaces]] = 0,
    tblPassengerNames[[#This Row],[InParenthesesCleaned]],
    LEFT(tblPassengerNames[[#This Row],[InParenthesesCleaned]], tblPassengerNames[[#This Row],[P_FinalSpacePos]] - 1)
)</f>
        <v>#VALUE!</v>
      </c>
      <c r="P787" t="str">
        <f>IFERROR(tblPassengerNames[[#This Row],[P_Forenames]], tblPassengerNames[[#This Row],[ConvForenames]])</f>
        <v>Adolf Fredrik</v>
      </c>
      <c r="Q787" t="str">
        <f>MID(tblPassengerNames[[#This Row],[Name]], tblPassengerNames[[#This Row],[CommaPos]] + 2, tblPassengerNames[[#This Row],[DotPos]] - tblPassengerNames[[#This Row],[CommaPos]] - 1)</f>
        <v>Mr.</v>
      </c>
      <c r="R787" t="str">
        <f>LEFT(tblPassengerNames[[#This Row],[Name]], tblPassengerNames[[#This Row],[CommaPos]] - 1)</f>
        <v>Dyker</v>
      </c>
    </row>
    <row r="788" spans="2:18" x14ac:dyDescent="0.25">
      <c r="B788" s="21">
        <v>786</v>
      </c>
      <c r="C788" s="21" t="s">
        <v>921</v>
      </c>
      <c r="D788" s="21" t="s">
        <v>136</v>
      </c>
      <c r="E788">
        <f>FIND(",", tblPassengerNames[[#This Row],[Name]])</f>
        <v>6</v>
      </c>
      <c r="F788">
        <f>FIND(".", tblPassengerNames[[#This Row],[Name]])</f>
        <v>11</v>
      </c>
      <c r="G788">
        <f>FIND("(", tblPassengerNames[[#This Row],[Name]])</f>
        <v>27</v>
      </c>
      <c r="H788">
        <f>FIND(")", tblPassengerNames[[#This Row],[Name]])</f>
        <v>59</v>
      </c>
      <c r="I788">
        <f>IFERROR(tblPassengerNames[[#This Row],[OpenParPos]] - 2, LEN(tblPassengerNames[[#This Row],[Name]]))</f>
        <v>25</v>
      </c>
      <c r="J788" t="str">
        <f>MID(tblPassengerNames[[#This Row],[Name]], tblPassengerNames[[#This Row],[DotPos]] + 2, tblPassengerNames[[#This Row],[EndOfConvFNPos]] - tblPassengerNames[[#This Row],[DotPos]] - 1)</f>
        <v>Adolf Fredrik</v>
      </c>
      <c r="K788" t="str">
        <f>MID(tblPassengerNames[[#This Row],[Name]], tblPassengerNames[[#This Row],[OpenParPos]] + 1, tblPassengerNames[[#This Row],[CloseParPos]] - tblPassengerNames[[#This Row],[OpenParPos]] - 1)</f>
        <v>Anna Elisabeth Judith Andersson</v>
      </c>
      <c r="L788" t="str">
        <f>IF(AND(LEFT(tblPassengerNames[[#This Row],[InParentheses]], 1) = "'", RIGHT(tblPassengerNames[[#This Row],[InParentheses]], 1) = "'"),
    #VALUE!,
    tblPassengerNames[[#This Row],[InParentheses]]
)</f>
        <v>Anna Elisabeth Judith Andersson</v>
      </c>
      <c r="M788">
        <f>LEN(tblPassengerNames[[#This Row],[InParenthesesCleaned]]) - LEN(SUBSTITUTE(tblPassengerNames[[#This Row],[InParenthesesCleaned]], " ", ""))</f>
        <v>3</v>
      </c>
      <c r="N788">
        <f>FIND("@", SUBSTITUTE(tblPassengerNames[[#This Row],[InParenthesesCleaned]], " ", "@", tblPassengerNames[[#This Row],[P_NSpaces]]))</f>
        <v>22</v>
      </c>
      <c r="O788" t="str">
        <f>IF(tblPassengerNames[[#This Row],[P_NSpaces]] = 0,
    tblPassengerNames[[#This Row],[InParenthesesCleaned]],
    LEFT(tblPassengerNames[[#This Row],[InParenthesesCleaned]], tblPassengerNames[[#This Row],[P_FinalSpacePos]] - 1)
)</f>
        <v>Anna Elisabeth Judith</v>
      </c>
      <c r="P788" t="str">
        <f>IFERROR(tblPassengerNames[[#This Row],[P_Forenames]], tblPassengerNames[[#This Row],[ConvForenames]])</f>
        <v>Anna Elisabeth Judith</v>
      </c>
      <c r="Q788" t="str">
        <f>MID(tblPassengerNames[[#This Row],[Name]], tblPassengerNames[[#This Row],[CommaPos]] + 2, tblPassengerNames[[#This Row],[DotPos]] - tblPassengerNames[[#This Row],[CommaPos]] - 1)</f>
        <v>Mrs.</v>
      </c>
      <c r="R788" t="str">
        <f>LEFT(tblPassengerNames[[#This Row],[Name]], tblPassengerNames[[#This Row],[CommaPos]] - 1)</f>
        <v>Dyker</v>
      </c>
    </row>
    <row r="789" spans="2:18" x14ac:dyDescent="0.25">
      <c r="B789" s="21">
        <v>787</v>
      </c>
      <c r="C789" s="21" t="s">
        <v>922</v>
      </c>
      <c r="D789" s="21" t="s">
        <v>138</v>
      </c>
      <c r="E789">
        <f>FIND(",", tblPassengerNames[[#This Row],[Name]])</f>
        <v>11</v>
      </c>
      <c r="F789">
        <f>FIND(".", tblPassengerNames[[#This Row],[Name]])</f>
        <v>15</v>
      </c>
      <c r="G789" t="e">
        <f>FIND("(", tblPassengerNames[[#This Row],[Name]])</f>
        <v>#VALUE!</v>
      </c>
      <c r="H789" t="e">
        <f>FIND(")", tblPassengerNames[[#This Row],[Name]])</f>
        <v>#VALUE!</v>
      </c>
      <c r="I789">
        <f>IFERROR(tblPassengerNames[[#This Row],[OpenParPos]] - 2, LEN(tblPassengerNames[[#This Row],[Name]]))</f>
        <v>30</v>
      </c>
      <c r="J789" t="str">
        <f>MID(tblPassengerNames[[#This Row],[Name]], tblPassengerNames[[#This Row],[DotPos]] + 2, tblPassengerNames[[#This Row],[EndOfConvFNPos]] - tblPassengerNames[[#This Row],[DotPos]] - 1)</f>
        <v>Gustaf Hjalmar</v>
      </c>
      <c r="K789" t="e">
        <f>MID(tblPassengerNames[[#This Row],[Name]], tblPassengerNames[[#This Row],[OpenParPos]] + 1, tblPassengerNames[[#This Row],[CloseParPos]] - tblPassengerNames[[#This Row],[OpenParPos]] - 1)</f>
        <v>#VALUE!</v>
      </c>
      <c r="L789" t="e">
        <f>IF(AND(LEFT(tblPassengerNames[[#This Row],[InParentheses]], 1) = "'", RIGHT(tblPassengerNames[[#This Row],[InParentheses]], 1) = "'"),
    #VALUE!,
    tblPassengerNames[[#This Row],[InParentheses]]
)</f>
        <v>#VALUE!</v>
      </c>
      <c r="M789" t="e">
        <f>LEN(tblPassengerNames[[#This Row],[InParenthesesCleaned]]) - LEN(SUBSTITUTE(tblPassengerNames[[#This Row],[InParenthesesCleaned]], " ", ""))</f>
        <v>#VALUE!</v>
      </c>
      <c r="N789" t="e">
        <f>FIND("@", SUBSTITUTE(tblPassengerNames[[#This Row],[InParenthesesCleaned]], " ", "@", tblPassengerNames[[#This Row],[P_NSpaces]]))</f>
        <v>#VALUE!</v>
      </c>
      <c r="O789" t="e">
        <f>IF(tblPassengerNames[[#This Row],[P_NSpaces]] = 0,
    tblPassengerNames[[#This Row],[InParenthesesCleaned]],
    LEFT(tblPassengerNames[[#This Row],[InParenthesesCleaned]], tblPassengerNames[[#This Row],[P_FinalSpacePos]] - 1)
)</f>
        <v>#VALUE!</v>
      </c>
      <c r="P789" t="str">
        <f>IFERROR(tblPassengerNames[[#This Row],[P_Forenames]], tblPassengerNames[[#This Row],[ConvForenames]])</f>
        <v>Gustaf Hjalmar</v>
      </c>
      <c r="Q789" t="str">
        <f>MID(tblPassengerNames[[#This Row],[Name]], tblPassengerNames[[#This Row],[CommaPos]] + 2, tblPassengerNames[[#This Row],[DotPos]] - tblPassengerNames[[#This Row],[CommaPos]] - 1)</f>
        <v>Mr.</v>
      </c>
      <c r="R789" t="str">
        <f>LEFT(tblPassengerNames[[#This Row],[Name]], tblPassengerNames[[#This Row],[CommaPos]] - 1)</f>
        <v>Edvardsson</v>
      </c>
    </row>
    <row r="790" spans="2:18" x14ac:dyDescent="0.25">
      <c r="B790" s="21">
        <v>788</v>
      </c>
      <c r="C790" s="21" t="s">
        <v>923</v>
      </c>
      <c r="D790" s="21" t="s">
        <v>138</v>
      </c>
      <c r="E790">
        <f>FIND(",", tblPassengerNames[[#This Row],[Name]])</f>
        <v>7</v>
      </c>
      <c r="F790">
        <f>FIND(".", tblPassengerNames[[#This Row],[Name]])</f>
        <v>11</v>
      </c>
      <c r="G790" t="e">
        <f>FIND("(", tblPassengerNames[[#This Row],[Name]])</f>
        <v>#VALUE!</v>
      </c>
      <c r="H790" t="e">
        <f>FIND(")", tblPassengerNames[[#This Row],[Name]])</f>
        <v>#VALUE!</v>
      </c>
      <c r="I790">
        <f>IFERROR(tblPassengerNames[[#This Row],[OpenParPos]] - 2, LEN(tblPassengerNames[[#This Row],[Name]]))</f>
        <v>22</v>
      </c>
      <c r="J790" t="str">
        <f>MID(tblPassengerNames[[#This Row],[Name]], tblPassengerNames[[#This Row],[DotPos]] + 2, tblPassengerNames[[#This Row],[EndOfConvFNPos]] - tblPassengerNames[[#This Row],[DotPos]] - 1)</f>
        <v>Hans Linus</v>
      </c>
      <c r="K790" t="e">
        <f>MID(tblPassengerNames[[#This Row],[Name]], tblPassengerNames[[#This Row],[OpenParPos]] + 1, tblPassengerNames[[#This Row],[CloseParPos]] - tblPassengerNames[[#This Row],[OpenParPos]] - 1)</f>
        <v>#VALUE!</v>
      </c>
      <c r="L790" t="e">
        <f>IF(AND(LEFT(tblPassengerNames[[#This Row],[InParentheses]], 1) = "'", RIGHT(tblPassengerNames[[#This Row],[InParentheses]], 1) = "'"),
    #VALUE!,
    tblPassengerNames[[#This Row],[InParentheses]]
)</f>
        <v>#VALUE!</v>
      </c>
      <c r="M790" t="e">
        <f>LEN(tblPassengerNames[[#This Row],[InParenthesesCleaned]]) - LEN(SUBSTITUTE(tblPassengerNames[[#This Row],[InParenthesesCleaned]], " ", ""))</f>
        <v>#VALUE!</v>
      </c>
      <c r="N790" t="e">
        <f>FIND("@", SUBSTITUTE(tblPassengerNames[[#This Row],[InParenthesesCleaned]], " ", "@", tblPassengerNames[[#This Row],[P_NSpaces]]))</f>
        <v>#VALUE!</v>
      </c>
      <c r="O790" t="e">
        <f>IF(tblPassengerNames[[#This Row],[P_NSpaces]] = 0,
    tblPassengerNames[[#This Row],[InParenthesesCleaned]],
    LEFT(tblPassengerNames[[#This Row],[InParenthesesCleaned]], tblPassengerNames[[#This Row],[P_FinalSpacePos]] - 1)
)</f>
        <v>#VALUE!</v>
      </c>
      <c r="P790" t="str">
        <f>IFERROR(tblPassengerNames[[#This Row],[P_Forenames]], tblPassengerNames[[#This Row],[ConvForenames]])</f>
        <v>Hans Linus</v>
      </c>
      <c r="Q790" t="str">
        <f>MID(tblPassengerNames[[#This Row],[Name]], tblPassengerNames[[#This Row],[CommaPos]] + 2, tblPassengerNames[[#This Row],[DotPos]] - tblPassengerNames[[#This Row],[CommaPos]] - 1)</f>
        <v>Mr.</v>
      </c>
      <c r="R790" t="str">
        <f>LEFT(tblPassengerNames[[#This Row],[Name]], tblPassengerNames[[#This Row],[CommaPos]] - 1)</f>
        <v>Eklund</v>
      </c>
    </row>
    <row r="791" spans="2:18" x14ac:dyDescent="0.25">
      <c r="B791" s="21">
        <v>789</v>
      </c>
      <c r="C791" s="21" t="s">
        <v>924</v>
      </c>
      <c r="D791" s="21" t="s">
        <v>138</v>
      </c>
      <c r="E791">
        <f>FIND(",", tblPassengerNames[[#This Row],[Name]])</f>
        <v>8</v>
      </c>
      <c r="F791">
        <f>FIND(".", tblPassengerNames[[#This Row],[Name]])</f>
        <v>12</v>
      </c>
      <c r="G791" t="e">
        <f>FIND("(", tblPassengerNames[[#This Row],[Name]])</f>
        <v>#VALUE!</v>
      </c>
      <c r="H791" t="e">
        <f>FIND(")", tblPassengerNames[[#This Row],[Name]])</f>
        <v>#VALUE!</v>
      </c>
      <c r="I791">
        <f>IFERROR(tblPassengerNames[[#This Row],[OpenParPos]] - 2, LEN(tblPassengerNames[[#This Row],[Name]]))</f>
        <v>18</v>
      </c>
      <c r="J791" t="str">
        <f>MID(tblPassengerNames[[#This Row],[Name]], tblPassengerNames[[#This Row],[DotPos]] + 2, tblPassengerNames[[#This Row],[EndOfConvFNPos]] - tblPassengerNames[[#This Row],[DotPos]] - 1)</f>
        <v>Johan</v>
      </c>
      <c r="K791" t="e">
        <f>MID(tblPassengerNames[[#This Row],[Name]], tblPassengerNames[[#This Row],[OpenParPos]] + 1, tblPassengerNames[[#This Row],[CloseParPos]] - tblPassengerNames[[#This Row],[OpenParPos]] - 1)</f>
        <v>#VALUE!</v>
      </c>
      <c r="L791" t="e">
        <f>IF(AND(LEFT(tblPassengerNames[[#This Row],[InParentheses]], 1) = "'", RIGHT(tblPassengerNames[[#This Row],[InParentheses]], 1) = "'"),
    #VALUE!,
    tblPassengerNames[[#This Row],[InParentheses]]
)</f>
        <v>#VALUE!</v>
      </c>
      <c r="M791" t="e">
        <f>LEN(tblPassengerNames[[#This Row],[InParenthesesCleaned]]) - LEN(SUBSTITUTE(tblPassengerNames[[#This Row],[InParenthesesCleaned]], " ", ""))</f>
        <v>#VALUE!</v>
      </c>
      <c r="N791" t="e">
        <f>FIND("@", SUBSTITUTE(tblPassengerNames[[#This Row],[InParenthesesCleaned]], " ", "@", tblPassengerNames[[#This Row],[P_NSpaces]]))</f>
        <v>#VALUE!</v>
      </c>
      <c r="O791" t="e">
        <f>IF(tblPassengerNames[[#This Row],[P_NSpaces]] = 0,
    tblPassengerNames[[#This Row],[InParenthesesCleaned]],
    LEFT(tblPassengerNames[[#This Row],[InParenthesesCleaned]], tblPassengerNames[[#This Row],[P_FinalSpacePos]] - 1)
)</f>
        <v>#VALUE!</v>
      </c>
      <c r="P791" t="str">
        <f>IFERROR(tblPassengerNames[[#This Row],[P_Forenames]], tblPassengerNames[[#This Row],[ConvForenames]])</f>
        <v>Johan</v>
      </c>
      <c r="Q791" t="str">
        <f>MID(tblPassengerNames[[#This Row],[Name]], tblPassengerNames[[#This Row],[CommaPos]] + 2, tblPassengerNames[[#This Row],[DotPos]] - tblPassengerNames[[#This Row],[CommaPos]] - 1)</f>
        <v>Mr.</v>
      </c>
      <c r="R791" t="str">
        <f>LEFT(tblPassengerNames[[#This Row],[Name]], tblPassengerNames[[#This Row],[CommaPos]] - 1)</f>
        <v>Ekstrom</v>
      </c>
    </row>
    <row r="792" spans="2:18" x14ac:dyDescent="0.25">
      <c r="B792" s="21">
        <v>790</v>
      </c>
      <c r="C792" s="21" t="s">
        <v>925</v>
      </c>
      <c r="D792" s="21" t="s">
        <v>138</v>
      </c>
      <c r="E792">
        <f>FIND(",", tblPassengerNames[[#This Row],[Name]])</f>
        <v>6</v>
      </c>
      <c r="F792">
        <f>FIND(".", tblPassengerNames[[#This Row],[Name]])</f>
        <v>10</v>
      </c>
      <c r="G792" t="e">
        <f>FIND("(", tblPassengerNames[[#This Row],[Name]])</f>
        <v>#VALUE!</v>
      </c>
      <c r="H792" t="e">
        <f>FIND(")", tblPassengerNames[[#This Row],[Name]])</f>
        <v>#VALUE!</v>
      </c>
      <c r="I792">
        <f>IFERROR(tblPassengerNames[[#This Row],[OpenParPos]] - 2, LEN(tblPassengerNames[[#This Row],[Name]]))</f>
        <v>15</v>
      </c>
      <c r="J792" t="str">
        <f>MID(tblPassengerNames[[#This Row],[Name]], tblPassengerNames[[#This Row],[DotPos]] + 2, tblPassengerNames[[#This Row],[EndOfConvFNPos]] - tblPassengerNames[[#This Row],[DotPos]] - 1)</f>
        <v>Dibo</v>
      </c>
      <c r="K792" t="e">
        <f>MID(tblPassengerNames[[#This Row],[Name]], tblPassengerNames[[#This Row],[OpenParPos]] + 1, tblPassengerNames[[#This Row],[CloseParPos]] - tblPassengerNames[[#This Row],[OpenParPos]] - 1)</f>
        <v>#VALUE!</v>
      </c>
      <c r="L792" t="e">
        <f>IF(AND(LEFT(tblPassengerNames[[#This Row],[InParentheses]], 1) = "'", RIGHT(tblPassengerNames[[#This Row],[InParentheses]], 1) = "'"),
    #VALUE!,
    tblPassengerNames[[#This Row],[InParentheses]]
)</f>
        <v>#VALUE!</v>
      </c>
      <c r="M792" t="e">
        <f>LEN(tblPassengerNames[[#This Row],[InParenthesesCleaned]]) - LEN(SUBSTITUTE(tblPassengerNames[[#This Row],[InParenthesesCleaned]], " ", ""))</f>
        <v>#VALUE!</v>
      </c>
      <c r="N792" t="e">
        <f>FIND("@", SUBSTITUTE(tblPassengerNames[[#This Row],[InParenthesesCleaned]], " ", "@", tblPassengerNames[[#This Row],[P_NSpaces]]))</f>
        <v>#VALUE!</v>
      </c>
      <c r="O792" t="e">
        <f>IF(tblPassengerNames[[#This Row],[P_NSpaces]] = 0,
    tblPassengerNames[[#This Row],[InParenthesesCleaned]],
    LEFT(tblPassengerNames[[#This Row],[InParenthesesCleaned]], tblPassengerNames[[#This Row],[P_FinalSpacePos]] - 1)
)</f>
        <v>#VALUE!</v>
      </c>
      <c r="P792" t="str">
        <f>IFERROR(tblPassengerNames[[#This Row],[P_Forenames]], tblPassengerNames[[#This Row],[ConvForenames]])</f>
        <v>Dibo</v>
      </c>
      <c r="Q792" t="str">
        <f>MID(tblPassengerNames[[#This Row],[Name]], tblPassengerNames[[#This Row],[CommaPos]] + 2, tblPassengerNames[[#This Row],[DotPos]] - tblPassengerNames[[#This Row],[CommaPos]] - 1)</f>
        <v>Mr.</v>
      </c>
      <c r="R792" t="str">
        <f>LEFT(tblPassengerNames[[#This Row],[Name]], tblPassengerNames[[#This Row],[CommaPos]] - 1)</f>
        <v>Elias</v>
      </c>
    </row>
    <row r="793" spans="2:18" x14ac:dyDescent="0.25">
      <c r="B793" s="21">
        <v>791</v>
      </c>
      <c r="C793" s="21" t="s">
        <v>926</v>
      </c>
      <c r="D793" s="21" t="s">
        <v>138</v>
      </c>
      <c r="E793">
        <f>FIND(",", tblPassengerNames[[#This Row],[Name]])</f>
        <v>6</v>
      </c>
      <c r="F793">
        <f>FIND(".", tblPassengerNames[[#This Row],[Name]])</f>
        <v>10</v>
      </c>
      <c r="G793" t="e">
        <f>FIND("(", tblPassengerNames[[#This Row],[Name]])</f>
        <v>#VALUE!</v>
      </c>
      <c r="H793" t="e">
        <f>FIND(")", tblPassengerNames[[#This Row],[Name]])</f>
        <v>#VALUE!</v>
      </c>
      <c r="I793">
        <f>IFERROR(tblPassengerNames[[#This Row],[OpenParPos]] - 2, LEN(tblPassengerNames[[#This Row],[Name]]))</f>
        <v>17</v>
      </c>
      <c r="J793" t="str">
        <f>MID(tblPassengerNames[[#This Row],[Name]], tblPassengerNames[[#This Row],[DotPos]] + 2, tblPassengerNames[[#This Row],[EndOfConvFNPos]] - tblPassengerNames[[#This Row],[DotPos]] - 1)</f>
        <v>Joseph</v>
      </c>
      <c r="K793" t="e">
        <f>MID(tblPassengerNames[[#This Row],[Name]], tblPassengerNames[[#This Row],[OpenParPos]] + 1, tblPassengerNames[[#This Row],[CloseParPos]] - tblPassengerNames[[#This Row],[OpenParPos]] - 1)</f>
        <v>#VALUE!</v>
      </c>
      <c r="L793" t="e">
        <f>IF(AND(LEFT(tblPassengerNames[[#This Row],[InParentheses]], 1) = "'", RIGHT(tblPassengerNames[[#This Row],[InParentheses]], 1) = "'"),
    #VALUE!,
    tblPassengerNames[[#This Row],[InParentheses]]
)</f>
        <v>#VALUE!</v>
      </c>
      <c r="M793" t="e">
        <f>LEN(tblPassengerNames[[#This Row],[InParenthesesCleaned]]) - LEN(SUBSTITUTE(tblPassengerNames[[#This Row],[InParenthesesCleaned]], " ", ""))</f>
        <v>#VALUE!</v>
      </c>
      <c r="N793" t="e">
        <f>FIND("@", SUBSTITUTE(tblPassengerNames[[#This Row],[InParenthesesCleaned]], " ", "@", tblPassengerNames[[#This Row],[P_NSpaces]]))</f>
        <v>#VALUE!</v>
      </c>
      <c r="O793" t="e">
        <f>IF(tblPassengerNames[[#This Row],[P_NSpaces]] = 0,
    tblPassengerNames[[#This Row],[InParenthesesCleaned]],
    LEFT(tblPassengerNames[[#This Row],[InParenthesesCleaned]], tblPassengerNames[[#This Row],[P_FinalSpacePos]] - 1)
)</f>
        <v>#VALUE!</v>
      </c>
      <c r="P793" t="str">
        <f>IFERROR(tblPassengerNames[[#This Row],[P_Forenames]], tblPassengerNames[[#This Row],[ConvForenames]])</f>
        <v>Joseph</v>
      </c>
      <c r="Q793" t="str">
        <f>MID(tblPassengerNames[[#This Row],[Name]], tblPassengerNames[[#This Row],[CommaPos]] + 2, tblPassengerNames[[#This Row],[DotPos]] - tblPassengerNames[[#This Row],[CommaPos]] - 1)</f>
        <v>Mr.</v>
      </c>
      <c r="R793" t="str">
        <f>LEFT(tblPassengerNames[[#This Row],[Name]], tblPassengerNames[[#This Row],[CommaPos]] - 1)</f>
        <v>Elias</v>
      </c>
    </row>
    <row r="794" spans="2:18" x14ac:dyDescent="0.25">
      <c r="B794" s="21">
        <v>792</v>
      </c>
      <c r="C794" s="21" t="s">
        <v>927</v>
      </c>
      <c r="D794" s="21" t="s">
        <v>138</v>
      </c>
      <c r="E794">
        <f>FIND(",", tblPassengerNames[[#This Row],[Name]])</f>
        <v>6</v>
      </c>
      <c r="F794">
        <f>FIND(".", tblPassengerNames[[#This Row],[Name]])</f>
        <v>10</v>
      </c>
      <c r="G794" t="e">
        <f>FIND("(", tblPassengerNames[[#This Row],[Name]])</f>
        <v>#VALUE!</v>
      </c>
      <c r="H794" t="e">
        <f>FIND(")", tblPassengerNames[[#This Row],[Name]])</f>
        <v>#VALUE!</v>
      </c>
      <c r="I794">
        <f>IFERROR(tblPassengerNames[[#This Row],[OpenParPos]] - 2, LEN(tblPassengerNames[[#This Row],[Name]]))</f>
        <v>20</v>
      </c>
      <c r="J794" t="str">
        <f>MID(tblPassengerNames[[#This Row],[Name]], tblPassengerNames[[#This Row],[DotPos]] + 2, tblPassengerNames[[#This Row],[EndOfConvFNPos]] - tblPassengerNames[[#This Row],[DotPos]] - 1)</f>
        <v>Joseph Jr</v>
      </c>
      <c r="K794" t="e">
        <f>MID(tblPassengerNames[[#This Row],[Name]], tblPassengerNames[[#This Row],[OpenParPos]] + 1, tblPassengerNames[[#This Row],[CloseParPos]] - tblPassengerNames[[#This Row],[OpenParPos]] - 1)</f>
        <v>#VALUE!</v>
      </c>
      <c r="L794" t="e">
        <f>IF(AND(LEFT(tblPassengerNames[[#This Row],[InParentheses]], 1) = "'", RIGHT(tblPassengerNames[[#This Row],[InParentheses]], 1) = "'"),
    #VALUE!,
    tblPassengerNames[[#This Row],[InParentheses]]
)</f>
        <v>#VALUE!</v>
      </c>
      <c r="M794" t="e">
        <f>LEN(tblPassengerNames[[#This Row],[InParenthesesCleaned]]) - LEN(SUBSTITUTE(tblPassengerNames[[#This Row],[InParenthesesCleaned]], " ", ""))</f>
        <v>#VALUE!</v>
      </c>
      <c r="N794" t="e">
        <f>FIND("@", SUBSTITUTE(tblPassengerNames[[#This Row],[InParenthesesCleaned]], " ", "@", tblPassengerNames[[#This Row],[P_NSpaces]]))</f>
        <v>#VALUE!</v>
      </c>
      <c r="O794" t="e">
        <f>IF(tblPassengerNames[[#This Row],[P_NSpaces]] = 0,
    tblPassengerNames[[#This Row],[InParenthesesCleaned]],
    LEFT(tblPassengerNames[[#This Row],[InParenthesesCleaned]], tblPassengerNames[[#This Row],[P_FinalSpacePos]] - 1)
)</f>
        <v>#VALUE!</v>
      </c>
      <c r="P794" t="str">
        <f>IFERROR(tblPassengerNames[[#This Row],[P_Forenames]], tblPassengerNames[[#This Row],[ConvForenames]])</f>
        <v>Joseph Jr</v>
      </c>
      <c r="Q794" t="str">
        <f>MID(tblPassengerNames[[#This Row],[Name]], tblPassengerNames[[#This Row],[CommaPos]] + 2, tblPassengerNames[[#This Row],[DotPos]] - tblPassengerNames[[#This Row],[CommaPos]] - 1)</f>
        <v>Mr.</v>
      </c>
      <c r="R794" t="str">
        <f>LEFT(tblPassengerNames[[#This Row],[Name]], tblPassengerNames[[#This Row],[CommaPos]] - 1)</f>
        <v>Elias</v>
      </c>
    </row>
    <row r="795" spans="2:18" x14ac:dyDescent="0.25">
      <c r="B795" s="21">
        <v>793</v>
      </c>
      <c r="C795" s="21" t="s">
        <v>928</v>
      </c>
      <c r="D795" s="21" t="s">
        <v>138</v>
      </c>
      <c r="E795">
        <f>FIND(",", tblPassengerNames[[#This Row],[Name]])</f>
        <v>6</v>
      </c>
      <c r="F795">
        <f>FIND(".", tblPassengerNames[[#This Row],[Name]])</f>
        <v>10</v>
      </c>
      <c r="G795" t="e">
        <f>FIND("(", tblPassengerNames[[#This Row],[Name]])</f>
        <v>#VALUE!</v>
      </c>
      <c r="H795" t="e">
        <f>FIND(")", tblPassengerNames[[#This Row],[Name]])</f>
        <v>#VALUE!</v>
      </c>
      <c r="I795">
        <f>IFERROR(tblPassengerNames[[#This Row],[OpenParPos]] - 2, LEN(tblPassengerNames[[#This Row],[Name]]))</f>
        <v>18</v>
      </c>
      <c r="J795" t="str">
        <f>MID(tblPassengerNames[[#This Row],[Name]], tblPassengerNames[[#This Row],[DotPos]] + 2, tblPassengerNames[[#This Row],[EndOfConvFNPos]] - tblPassengerNames[[#This Row],[DotPos]] - 1)</f>
        <v>Tannous</v>
      </c>
      <c r="K795" t="e">
        <f>MID(tblPassengerNames[[#This Row],[Name]], tblPassengerNames[[#This Row],[OpenParPos]] + 1, tblPassengerNames[[#This Row],[CloseParPos]] - tblPassengerNames[[#This Row],[OpenParPos]] - 1)</f>
        <v>#VALUE!</v>
      </c>
      <c r="L795" t="e">
        <f>IF(AND(LEFT(tblPassengerNames[[#This Row],[InParentheses]], 1) = "'", RIGHT(tblPassengerNames[[#This Row],[InParentheses]], 1) = "'"),
    #VALUE!,
    tblPassengerNames[[#This Row],[InParentheses]]
)</f>
        <v>#VALUE!</v>
      </c>
      <c r="M795" t="e">
        <f>LEN(tblPassengerNames[[#This Row],[InParenthesesCleaned]]) - LEN(SUBSTITUTE(tblPassengerNames[[#This Row],[InParenthesesCleaned]], " ", ""))</f>
        <v>#VALUE!</v>
      </c>
      <c r="N795" t="e">
        <f>FIND("@", SUBSTITUTE(tblPassengerNames[[#This Row],[InParenthesesCleaned]], " ", "@", tblPassengerNames[[#This Row],[P_NSpaces]]))</f>
        <v>#VALUE!</v>
      </c>
      <c r="O795" t="e">
        <f>IF(tblPassengerNames[[#This Row],[P_NSpaces]] = 0,
    tblPassengerNames[[#This Row],[InParenthesesCleaned]],
    LEFT(tblPassengerNames[[#This Row],[InParenthesesCleaned]], tblPassengerNames[[#This Row],[P_FinalSpacePos]] - 1)
)</f>
        <v>#VALUE!</v>
      </c>
      <c r="P795" t="str">
        <f>IFERROR(tblPassengerNames[[#This Row],[P_Forenames]], tblPassengerNames[[#This Row],[ConvForenames]])</f>
        <v>Tannous</v>
      </c>
      <c r="Q795" t="str">
        <f>MID(tblPassengerNames[[#This Row],[Name]], tblPassengerNames[[#This Row],[CommaPos]] + 2, tblPassengerNames[[#This Row],[DotPos]] - tblPassengerNames[[#This Row],[CommaPos]] - 1)</f>
        <v>Mr.</v>
      </c>
      <c r="R795" t="str">
        <f>LEFT(tblPassengerNames[[#This Row],[Name]], tblPassengerNames[[#This Row],[CommaPos]] - 1)</f>
        <v>Elias</v>
      </c>
    </row>
    <row r="796" spans="2:18" x14ac:dyDescent="0.25">
      <c r="B796" s="21">
        <v>794</v>
      </c>
      <c r="C796" s="21" t="s">
        <v>929</v>
      </c>
      <c r="D796" s="21" t="s">
        <v>138</v>
      </c>
      <c r="E796">
        <f>FIND(",", tblPassengerNames[[#This Row],[Name]])</f>
        <v>8</v>
      </c>
      <c r="F796">
        <f>FIND(".", tblPassengerNames[[#This Row],[Name]])</f>
        <v>12</v>
      </c>
      <c r="G796" t="e">
        <f>FIND("(", tblPassengerNames[[#This Row],[Name]])</f>
        <v>#VALUE!</v>
      </c>
      <c r="H796" t="e">
        <f>FIND(")", tblPassengerNames[[#This Row],[Name]])</f>
        <v>#VALUE!</v>
      </c>
      <c r="I796">
        <f>IFERROR(tblPassengerNames[[#This Row],[OpenParPos]] - 2, LEN(tblPassengerNames[[#This Row],[Name]]))</f>
        <v>26</v>
      </c>
      <c r="J796" t="str">
        <f>MID(tblPassengerNames[[#This Row],[Name]], tblPassengerNames[[#This Row],[DotPos]] + 2, tblPassengerNames[[#This Row],[EndOfConvFNPos]] - tblPassengerNames[[#This Row],[DotPos]] - 1)</f>
        <v>William James</v>
      </c>
      <c r="K796" t="e">
        <f>MID(tblPassengerNames[[#This Row],[Name]], tblPassengerNames[[#This Row],[OpenParPos]] + 1, tblPassengerNames[[#This Row],[CloseParPos]] - tblPassengerNames[[#This Row],[OpenParPos]] - 1)</f>
        <v>#VALUE!</v>
      </c>
      <c r="L796" t="e">
        <f>IF(AND(LEFT(tblPassengerNames[[#This Row],[InParentheses]], 1) = "'", RIGHT(tblPassengerNames[[#This Row],[InParentheses]], 1) = "'"),
    #VALUE!,
    tblPassengerNames[[#This Row],[InParentheses]]
)</f>
        <v>#VALUE!</v>
      </c>
      <c r="M796" t="e">
        <f>LEN(tblPassengerNames[[#This Row],[InParenthesesCleaned]]) - LEN(SUBSTITUTE(tblPassengerNames[[#This Row],[InParenthesesCleaned]], " ", ""))</f>
        <v>#VALUE!</v>
      </c>
      <c r="N796" t="e">
        <f>FIND("@", SUBSTITUTE(tblPassengerNames[[#This Row],[InParenthesesCleaned]], " ", "@", tblPassengerNames[[#This Row],[P_NSpaces]]))</f>
        <v>#VALUE!</v>
      </c>
      <c r="O796" t="e">
        <f>IF(tblPassengerNames[[#This Row],[P_NSpaces]] = 0,
    tblPassengerNames[[#This Row],[InParenthesesCleaned]],
    LEFT(tblPassengerNames[[#This Row],[InParenthesesCleaned]], tblPassengerNames[[#This Row],[P_FinalSpacePos]] - 1)
)</f>
        <v>#VALUE!</v>
      </c>
      <c r="P796" t="str">
        <f>IFERROR(tblPassengerNames[[#This Row],[P_Forenames]], tblPassengerNames[[#This Row],[ConvForenames]])</f>
        <v>William James</v>
      </c>
      <c r="Q796" t="str">
        <f>MID(tblPassengerNames[[#This Row],[Name]], tblPassengerNames[[#This Row],[CommaPos]] + 2, tblPassengerNames[[#This Row],[DotPos]] - tblPassengerNames[[#This Row],[CommaPos]] - 1)</f>
        <v>Mr.</v>
      </c>
      <c r="R796" t="str">
        <f>LEFT(tblPassengerNames[[#This Row],[Name]], tblPassengerNames[[#This Row],[CommaPos]] - 1)</f>
        <v>Elsbury</v>
      </c>
    </row>
    <row r="797" spans="2:18" x14ac:dyDescent="0.25">
      <c r="B797" s="21">
        <v>795</v>
      </c>
      <c r="C797" s="21" t="s">
        <v>930</v>
      </c>
      <c r="D797" s="21" t="s">
        <v>136</v>
      </c>
      <c r="E797">
        <f>FIND(",", tblPassengerNames[[#This Row],[Name]])</f>
        <v>8</v>
      </c>
      <c r="F797">
        <f>FIND(".", tblPassengerNames[[#This Row],[Name]])</f>
        <v>14</v>
      </c>
      <c r="G797" t="e">
        <f>FIND("(", tblPassengerNames[[#This Row],[Name]])</f>
        <v>#VALUE!</v>
      </c>
      <c r="H797" t="e">
        <f>FIND(")", tblPassengerNames[[#This Row],[Name]])</f>
        <v>#VALUE!</v>
      </c>
      <c r="I797">
        <f>IFERROR(tblPassengerNames[[#This Row],[OpenParPos]] - 2, LEN(tblPassengerNames[[#This Row],[Name]]))</f>
        <v>29</v>
      </c>
      <c r="J797" t="str">
        <f>MID(tblPassengerNames[[#This Row],[Name]], tblPassengerNames[[#This Row],[DotPos]] + 2, tblPassengerNames[[#This Row],[EndOfConvFNPos]] - tblPassengerNames[[#This Row],[DotPos]] - 1)</f>
        <v>Virginia Ethel</v>
      </c>
      <c r="K797" t="e">
        <f>MID(tblPassengerNames[[#This Row],[Name]], tblPassengerNames[[#This Row],[OpenParPos]] + 1, tblPassengerNames[[#This Row],[CloseParPos]] - tblPassengerNames[[#This Row],[OpenParPos]] - 1)</f>
        <v>#VALUE!</v>
      </c>
      <c r="L797" t="e">
        <f>IF(AND(LEFT(tblPassengerNames[[#This Row],[InParentheses]], 1) = "'", RIGHT(tblPassengerNames[[#This Row],[InParentheses]], 1) = "'"),
    #VALUE!,
    tblPassengerNames[[#This Row],[InParentheses]]
)</f>
        <v>#VALUE!</v>
      </c>
      <c r="M797" t="e">
        <f>LEN(tblPassengerNames[[#This Row],[InParenthesesCleaned]]) - LEN(SUBSTITUTE(tblPassengerNames[[#This Row],[InParenthesesCleaned]], " ", ""))</f>
        <v>#VALUE!</v>
      </c>
      <c r="N797" t="e">
        <f>FIND("@", SUBSTITUTE(tblPassengerNames[[#This Row],[InParenthesesCleaned]], " ", "@", tblPassengerNames[[#This Row],[P_NSpaces]]))</f>
        <v>#VALUE!</v>
      </c>
      <c r="O797" t="e">
        <f>IF(tblPassengerNames[[#This Row],[P_NSpaces]] = 0,
    tblPassengerNames[[#This Row],[InParenthesesCleaned]],
    LEFT(tblPassengerNames[[#This Row],[InParenthesesCleaned]], tblPassengerNames[[#This Row],[P_FinalSpacePos]] - 1)
)</f>
        <v>#VALUE!</v>
      </c>
      <c r="P797" t="str">
        <f>IFERROR(tblPassengerNames[[#This Row],[P_Forenames]], tblPassengerNames[[#This Row],[ConvForenames]])</f>
        <v>Virginia Ethel</v>
      </c>
      <c r="Q797" t="str">
        <f>MID(tblPassengerNames[[#This Row],[Name]], tblPassengerNames[[#This Row],[CommaPos]] + 2, tblPassengerNames[[#This Row],[DotPos]] - tblPassengerNames[[#This Row],[CommaPos]] - 1)</f>
        <v>Miss.</v>
      </c>
      <c r="R797" t="str">
        <f>LEFT(tblPassengerNames[[#This Row],[Name]], tblPassengerNames[[#This Row],[CommaPos]] - 1)</f>
        <v>Emanuel</v>
      </c>
    </row>
    <row r="798" spans="2:18" x14ac:dyDescent="0.25">
      <c r="B798" s="21">
        <v>796</v>
      </c>
      <c r="C798" s="21" t="s">
        <v>931</v>
      </c>
      <c r="D798" s="21" t="s">
        <v>138</v>
      </c>
      <c r="E798">
        <f>FIND(",", tblPassengerNames[[#This Row],[Name]])</f>
        <v>5</v>
      </c>
      <c r="F798">
        <f>FIND(".", tblPassengerNames[[#This Row],[Name]])</f>
        <v>9</v>
      </c>
      <c r="G798" t="e">
        <f>FIND("(", tblPassengerNames[[#This Row],[Name]])</f>
        <v>#VALUE!</v>
      </c>
      <c r="H798" t="e">
        <f>FIND(")", tblPassengerNames[[#This Row],[Name]])</f>
        <v>#VALUE!</v>
      </c>
      <c r="I798">
        <f>IFERROR(tblPassengerNames[[#This Row],[OpenParPos]] - 2, LEN(tblPassengerNames[[#This Row],[Name]]))</f>
        <v>23</v>
      </c>
      <c r="J798" t="str">
        <f>MID(tblPassengerNames[[#This Row],[Name]], tblPassengerNames[[#This Row],[DotPos]] + 2, tblPassengerNames[[#This Row],[EndOfConvFNPos]] - tblPassengerNames[[#This Row],[DotPos]] - 1)</f>
        <v>Farred Chehab</v>
      </c>
      <c r="K798" t="e">
        <f>MID(tblPassengerNames[[#This Row],[Name]], tblPassengerNames[[#This Row],[OpenParPos]] + 1, tblPassengerNames[[#This Row],[CloseParPos]] - tblPassengerNames[[#This Row],[OpenParPos]] - 1)</f>
        <v>#VALUE!</v>
      </c>
      <c r="L798" t="e">
        <f>IF(AND(LEFT(tblPassengerNames[[#This Row],[InParentheses]], 1) = "'", RIGHT(tblPassengerNames[[#This Row],[InParentheses]], 1) = "'"),
    #VALUE!,
    tblPassengerNames[[#This Row],[InParentheses]]
)</f>
        <v>#VALUE!</v>
      </c>
      <c r="M798" t="e">
        <f>LEN(tblPassengerNames[[#This Row],[InParenthesesCleaned]]) - LEN(SUBSTITUTE(tblPassengerNames[[#This Row],[InParenthesesCleaned]], " ", ""))</f>
        <v>#VALUE!</v>
      </c>
      <c r="N798" t="e">
        <f>FIND("@", SUBSTITUTE(tblPassengerNames[[#This Row],[InParenthesesCleaned]], " ", "@", tblPassengerNames[[#This Row],[P_NSpaces]]))</f>
        <v>#VALUE!</v>
      </c>
      <c r="O798" t="e">
        <f>IF(tblPassengerNames[[#This Row],[P_NSpaces]] = 0,
    tblPassengerNames[[#This Row],[InParenthesesCleaned]],
    LEFT(tblPassengerNames[[#This Row],[InParenthesesCleaned]], tblPassengerNames[[#This Row],[P_FinalSpacePos]] - 1)
)</f>
        <v>#VALUE!</v>
      </c>
      <c r="P798" t="str">
        <f>IFERROR(tblPassengerNames[[#This Row],[P_Forenames]], tblPassengerNames[[#This Row],[ConvForenames]])</f>
        <v>Farred Chehab</v>
      </c>
      <c r="Q798" t="str">
        <f>MID(tblPassengerNames[[#This Row],[Name]], tblPassengerNames[[#This Row],[CommaPos]] + 2, tblPassengerNames[[#This Row],[DotPos]] - tblPassengerNames[[#This Row],[CommaPos]] - 1)</f>
        <v>Mr.</v>
      </c>
      <c r="R798" t="str">
        <f>LEFT(tblPassengerNames[[#This Row],[Name]], tblPassengerNames[[#This Row],[CommaPos]] - 1)</f>
        <v>Emir</v>
      </c>
    </row>
    <row r="799" spans="2:18" x14ac:dyDescent="0.25">
      <c r="B799" s="21">
        <v>797</v>
      </c>
      <c r="C799" s="21" t="s">
        <v>932</v>
      </c>
      <c r="D799" s="21" t="s">
        <v>138</v>
      </c>
      <c r="E799">
        <f>FIND(",", tblPassengerNames[[#This Row],[Name]])</f>
        <v>8</v>
      </c>
      <c r="F799">
        <f>FIND(".", tblPassengerNames[[#This Row],[Name]])</f>
        <v>12</v>
      </c>
      <c r="G799" t="e">
        <f>FIND("(", tblPassengerNames[[#This Row],[Name]])</f>
        <v>#VALUE!</v>
      </c>
      <c r="H799" t="e">
        <f>FIND(")", tblPassengerNames[[#This Row],[Name]])</f>
        <v>#VALUE!</v>
      </c>
      <c r="I799">
        <f>IFERROR(tblPassengerNames[[#This Row],[OpenParPos]] - 2, LEN(tblPassengerNames[[#This Row],[Name]]))</f>
        <v>25</v>
      </c>
      <c r="J799" t="str">
        <f>MID(tblPassengerNames[[#This Row],[Name]], tblPassengerNames[[#This Row],[DotPos]] + 2, tblPassengerNames[[#This Row],[EndOfConvFNPos]] - tblPassengerNames[[#This Row],[DotPos]] - 1)</f>
        <v>Thomas James</v>
      </c>
      <c r="K799" t="e">
        <f>MID(tblPassengerNames[[#This Row],[Name]], tblPassengerNames[[#This Row],[OpenParPos]] + 1, tblPassengerNames[[#This Row],[CloseParPos]] - tblPassengerNames[[#This Row],[OpenParPos]] - 1)</f>
        <v>#VALUE!</v>
      </c>
      <c r="L799" t="e">
        <f>IF(AND(LEFT(tblPassengerNames[[#This Row],[InParentheses]], 1) = "'", RIGHT(tblPassengerNames[[#This Row],[InParentheses]], 1) = "'"),
    #VALUE!,
    tblPassengerNames[[#This Row],[InParentheses]]
)</f>
        <v>#VALUE!</v>
      </c>
      <c r="M799" t="e">
        <f>LEN(tblPassengerNames[[#This Row],[InParenthesesCleaned]]) - LEN(SUBSTITUTE(tblPassengerNames[[#This Row],[InParenthesesCleaned]], " ", ""))</f>
        <v>#VALUE!</v>
      </c>
      <c r="N799" t="e">
        <f>FIND("@", SUBSTITUTE(tblPassengerNames[[#This Row],[InParenthesesCleaned]], " ", "@", tblPassengerNames[[#This Row],[P_NSpaces]]))</f>
        <v>#VALUE!</v>
      </c>
      <c r="O799" t="e">
        <f>IF(tblPassengerNames[[#This Row],[P_NSpaces]] = 0,
    tblPassengerNames[[#This Row],[InParenthesesCleaned]],
    LEFT(tblPassengerNames[[#This Row],[InParenthesesCleaned]], tblPassengerNames[[#This Row],[P_FinalSpacePos]] - 1)
)</f>
        <v>#VALUE!</v>
      </c>
      <c r="P799" t="str">
        <f>IFERROR(tblPassengerNames[[#This Row],[P_Forenames]], tblPassengerNames[[#This Row],[ConvForenames]])</f>
        <v>Thomas James</v>
      </c>
      <c r="Q799" t="str">
        <f>MID(tblPassengerNames[[#This Row],[Name]], tblPassengerNames[[#This Row],[CommaPos]] + 2, tblPassengerNames[[#This Row],[DotPos]] - tblPassengerNames[[#This Row],[CommaPos]] - 1)</f>
        <v>Mr.</v>
      </c>
      <c r="R799" t="str">
        <f>LEFT(tblPassengerNames[[#This Row],[Name]], tblPassengerNames[[#This Row],[CommaPos]] - 1)</f>
        <v>Everett</v>
      </c>
    </row>
    <row r="800" spans="2:18" x14ac:dyDescent="0.25">
      <c r="B800" s="21">
        <v>798</v>
      </c>
      <c r="C800" s="21" t="s">
        <v>933</v>
      </c>
      <c r="D800" s="21" t="s">
        <v>138</v>
      </c>
      <c r="E800">
        <f>FIND(",", tblPassengerNames[[#This Row],[Name]])</f>
        <v>8</v>
      </c>
      <c r="F800">
        <f>FIND(".", tblPassengerNames[[#This Row],[Name]])</f>
        <v>12</v>
      </c>
      <c r="G800" t="e">
        <f>FIND("(", tblPassengerNames[[#This Row],[Name]])</f>
        <v>#VALUE!</v>
      </c>
      <c r="H800" t="e">
        <f>FIND(")", tblPassengerNames[[#This Row],[Name]])</f>
        <v>#VALUE!</v>
      </c>
      <c r="I800">
        <f>IFERROR(tblPassengerNames[[#This Row],[OpenParPos]] - 2, LEN(tblPassengerNames[[#This Row],[Name]]))</f>
        <v>18</v>
      </c>
      <c r="J800" t="str">
        <f>MID(tblPassengerNames[[#This Row],[Name]], tblPassengerNames[[#This Row],[DotPos]] + 2, tblPassengerNames[[#This Row],[EndOfConvFNPos]] - tblPassengerNames[[#This Row],[DotPos]] - 1)</f>
        <v>James</v>
      </c>
      <c r="K800" t="e">
        <f>MID(tblPassengerNames[[#This Row],[Name]], tblPassengerNames[[#This Row],[OpenParPos]] + 1, tblPassengerNames[[#This Row],[CloseParPos]] - tblPassengerNames[[#This Row],[OpenParPos]] - 1)</f>
        <v>#VALUE!</v>
      </c>
      <c r="L800" t="e">
        <f>IF(AND(LEFT(tblPassengerNames[[#This Row],[InParentheses]], 1) = "'", RIGHT(tblPassengerNames[[#This Row],[InParentheses]], 1) = "'"),
    #VALUE!,
    tblPassengerNames[[#This Row],[InParentheses]]
)</f>
        <v>#VALUE!</v>
      </c>
      <c r="M800" t="e">
        <f>LEN(tblPassengerNames[[#This Row],[InParenthesesCleaned]]) - LEN(SUBSTITUTE(tblPassengerNames[[#This Row],[InParenthesesCleaned]], " ", ""))</f>
        <v>#VALUE!</v>
      </c>
      <c r="N800" t="e">
        <f>FIND("@", SUBSTITUTE(tblPassengerNames[[#This Row],[InParenthesesCleaned]], " ", "@", tblPassengerNames[[#This Row],[P_NSpaces]]))</f>
        <v>#VALUE!</v>
      </c>
      <c r="O800" t="e">
        <f>IF(tblPassengerNames[[#This Row],[P_NSpaces]] = 0,
    tblPassengerNames[[#This Row],[InParenthesesCleaned]],
    LEFT(tblPassengerNames[[#This Row],[InParenthesesCleaned]], tblPassengerNames[[#This Row],[P_FinalSpacePos]] - 1)
)</f>
        <v>#VALUE!</v>
      </c>
      <c r="P800" t="str">
        <f>IFERROR(tblPassengerNames[[#This Row],[P_Forenames]], tblPassengerNames[[#This Row],[ConvForenames]])</f>
        <v>James</v>
      </c>
      <c r="Q800" t="str">
        <f>MID(tblPassengerNames[[#This Row],[Name]], tblPassengerNames[[#This Row],[CommaPos]] + 2, tblPassengerNames[[#This Row],[DotPos]] - tblPassengerNames[[#This Row],[CommaPos]] - 1)</f>
        <v>Mr.</v>
      </c>
      <c r="R800" t="str">
        <f>LEFT(tblPassengerNames[[#This Row],[Name]], tblPassengerNames[[#This Row],[CommaPos]] - 1)</f>
        <v>Farrell</v>
      </c>
    </row>
    <row r="801" spans="2:18" x14ac:dyDescent="0.25">
      <c r="B801" s="21">
        <v>799</v>
      </c>
      <c r="C801" s="21" t="s">
        <v>934</v>
      </c>
      <c r="D801" s="21" t="s">
        <v>138</v>
      </c>
      <c r="E801">
        <f>FIND(",", tblPassengerNames[[#This Row],[Name]])</f>
        <v>7</v>
      </c>
      <c r="F801">
        <f>FIND(".", tblPassengerNames[[#This Row],[Name]])</f>
        <v>11</v>
      </c>
      <c r="G801" t="e">
        <f>FIND("(", tblPassengerNames[[#This Row],[Name]])</f>
        <v>#VALUE!</v>
      </c>
      <c r="H801" t="e">
        <f>FIND(")", tblPassengerNames[[#This Row],[Name]])</f>
        <v>#VALUE!</v>
      </c>
      <c r="I801">
        <f>IFERROR(tblPassengerNames[[#This Row],[OpenParPos]] - 2, LEN(tblPassengerNames[[#This Row],[Name]]))</f>
        <v>17</v>
      </c>
      <c r="J801" t="str">
        <f>MID(tblPassengerNames[[#This Row],[Name]], tblPassengerNames[[#This Row],[DotPos]] + 2, tblPassengerNames[[#This Row],[EndOfConvFNPos]] - tblPassengerNames[[#This Row],[DotPos]] - 1)</f>
        <v>Luigi</v>
      </c>
      <c r="K801" t="e">
        <f>MID(tblPassengerNames[[#This Row],[Name]], tblPassengerNames[[#This Row],[OpenParPos]] + 1, tblPassengerNames[[#This Row],[CloseParPos]] - tblPassengerNames[[#This Row],[OpenParPos]] - 1)</f>
        <v>#VALUE!</v>
      </c>
      <c r="L801" t="e">
        <f>IF(AND(LEFT(tblPassengerNames[[#This Row],[InParentheses]], 1) = "'", RIGHT(tblPassengerNames[[#This Row],[InParentheses]], 1) = "'"),
    #VALUE!,
    tblPassengerNames[[#This Row],[InParentheses]]
)</f>
        <v>#VALUE!</v>
      </c>
      <c r="M801" t="e">
        <f>LEN(tblPassengerNames[[#This Row],[InParenthesesCleaned]]) - LEN(SUBSTITUTE(tblPassengerNames[[#This Row],[InParenthesesCleaned]], " ", ""))</f>
        <v>#VALUE!</v>
      </c>
      <c r="N801" t="e">
        <f>FIND("@", SUBSTITUTE(tblPassengerNames[[#This Row],[InParenthesesCleaned]], " ", "@", tblPassengerNames[[#This Row],[P_NSpaces]]))</f>
        <v>#VALUE!</v>
      </c>
      <c r="O801" t="e">
        <f>IF(tblPassengerNames[[#This Row],[P_NSpaces]] = 0,
    tblPassengerNames[[#This Row],[InParenthesesCleaned]],
    LEFT(tblPassengerNames[[#This Row],[InParenthesesCleaned]], tblPassengerNames[[#This Row],[P_FinalSpacePos]] - 1)
)</f>
        <v>#VALUE!</v>
      </c>
      <c r="P801" t="str">
        <f>IFERROR(tblPassengerNames[[#This Row],[P_Forenames]], tblPassengerNames[[#This Row],[ConvForenames]])</f>
        <v>Luigi</v>
      </c>
      <c r="Q801" t="str">
        <f>MID(tblPassengerNames[[#This Row],[Name]], tblPassengerNames[[#This Row],[CommaPos]] + 2, tblPassengerNames[[#This Row],[DotPos]] - tblPassengerNames[[#This Row],[CommaPos]] - 1)</f>
        <v>Mr.</v>
      </c>
      <c r="R801" t="str">
        <f>LEFT(tblPassengerNames[[#This Row],[Name]], tblPassengerNames[[#This Row],[CommaPos]] - 1)</f>
        <v>Finoli</v>
      </c>
    </row>
    <row r="802" spans="2:18" x14ac:dyDescent="0.25">
      <c r="B802" s="21">
        <v>800</v>
      </c>
      <c r="C802" s="21" t="s">
        <v>935</v>
      </c>
      <c r="D802" s="21" t="s">
        <v>138</v>
      </c>
      <c r="E802">
        <f>FIND(",", tblPassengerNames[[#This Row],[Name]])</f>
        <v>8</v>
      </c>
      <c r="F802">
        <f>FIND(".", tblPassengerNames[[#This Row],[Name]])</f>
        <v>12</v>
      </c>
      <c r="G802" t="e">
        <f>FIND("(", tblPassengerNames[[#This Row],[Name]])</f>
        <v>#VALUE!</v>
      </c>
      <c r="H802" t="e">
        <f>FIND(")", tblPassengerNames[[#This Row],[Name]])</f>
        <v>#VALUE!</v>
      </c>
      <c r="I802">
        <f>IFERROR(tblPassengerNames[[#This Row],[OpenParPos]] - 2, LEN(tblPassengerNames[[#This Row],[Name]]))</f>
        <v>31</v>
      </c>
      <c r="J802" t="str">
        <f>MID(tblPassengerNames[[#This Row],[Name]], tblPassengerNames[[#This Row],[DotPos]] + 2, tblPassengerNames[[#This Row],[EndOfConvFNPos]] - tblPassengerNames[[#This Row],[DotPos]] - 1)</f>
        <v>Eberhard Thelander</v>
      </c>
      <c r="K802" t="e">
        <f>MID(tblPassengerNames[[#This Row],[Name]], tblPassengerNames[[#This Row],[OpenParPos]] + 1, tblPassengerNames[[#This Row],[CloseParPos]] - tblPassengerNames[[#This Row],[OpenParPos]] - 1)</f>
        <v>#VALUE!</v>
      </c>
      <c r="L802" t="e">
        <f>IF(AND(LEFT(tblPassengerNames[[#This Row],[InParentheses]], 1) = "'", RIGHT(tblPassengerNames[[#This Row],[InParentheses]], 1) = "'"),
    #VALUE!,
    tblPassengerNames[[#This Row],[InParentheses]]
)</f>
        <v>#VALUE!</v>
      </c>
      <c r="M802" t="e">
        <f>LEN(tblPassengerNames[[#This Row],[InParenthesesCleaned]]) - LEN(SUBSTITUTE(tblPassengerNames[[#This Row],[InParenthesesCleaned]], " ", ""))</f>
        <v>#VALUE!</v>
      </c>
      <c r="N802" t="e">
        <f>FIND("@", SUBSTITUTE(tblPassengerNames[[#This Row],[InParenthesesCleaned]], " ", "@", tblPassengerNames[[#This Row],[P_NSpaces]]))</f>
        <v>#VALUE!</v>
      </c>
      <c r="O802" t="e">
        <f>IF(tblPassengerNames[[#This Row],[P_NSpaces]] = 0,
    tblPassengerNames[[#This Row],[InParenthesesCleaned]],
    LEFT(tblPassengerNames[[#This Row],[InParenthesesCleaned]], tblPassengerNames[[#This Row],[P_FinalSpacePos]] - 1)
)</f>
        <v>#VALUE!</v>
      </c>
      <c r="P802" t="str">
        <f>IFERROR(tblPassengerNames[[#This Row],[P_Forenames]], tblPassengerNames[[#This Row],[ConvForenames]])</f>
        <v>Eberhard Thelander</v>
      </c>
      <c r="Q802" t="str">
        <f>MID(tblPassengerNames[[#This Row],[Name]], tblPassengerNames[[#This Row],[CommaPos]] + 2, tblPassengerNames[[#This Row],[DotPos]] - tblPassengerNames[[#This Row],[CommaPos]] - 1)</f>
        <v>Mr.</v>
      </c>
      <c r="R802" t="str">
        <f>LEFT(tblPassengerNames[[#This Row],[Name]], tblPassengerNames[[#This Row],[CommaPos]] - 1)</f>
        <v>Fischer</v>
      </c>
    </row>
    <row r="803" spans="2:18" x14ac:dyDescent="0.25">
      <c r="B803" s="21">
        <v>801</v>
      </c>
      <c r="C803" s="21" t="s">
        <v>936</v>
      </c>
      <c r="D803" s="21" t="s">
        <v>136</v>
      </c>
      <c r="E803">
        <f>FIND(",", tblPassengerNames[[#This Row],[Name]])</f>
        <v>8</v>
      </c>
      <c r="F803">
        <f>FIND(".", tblPassengerNames[[#This Row],[Name]])</f>
        <v>14</v>
      </c>
      <c r="G803" t="e">
        <f>FIND("(", tblPassengerNames[[#This Row],[Name]])</f>
        <v>#VALUE!</v>
      </c>
      <c r="H803" t="e">
        <f>FIND(")", tblPassengerNames[[#This Row],[Name]])</f>
        <v>#VALUE!</v>
      </c>
      <c r="I803">
        <f>IFERROR(tblPassengerNames[[#This Row],[OpenParPos]] - 2, LEN(tblPassengerNames[[#This Row],[Name]]))</f>
        <v>21</v>
      </c>
      <c r="J803" t="str">
        <f>MID(tblPassengerNames[[#This Row],[Name]], tblPassengerNames[[#This Row],[DotPos]] + 2, tblPassengerNames[[#This Row],[EndOfConvFNPos]] - tblPassengerNames[[#This Row],[DotPos]] - 1)</f>
        <v>Honora</v>
      </c>
      <c r="K803" t="e">
        <f>MID(tblPassengerNames[[#This Row],[Name]], tblPassengerNames[[#This Row],[OpenParPos]] + 1, tblPassengerNames[[#This Row],[CloseParPos]] - tblPassengerNames[[#This Row],[OpenParPos]] - 1)</f>
        <v>#VALUE!</v>
      </c>
      <c r="L803" t="e">
        <f>IF(AND(LEFT(tblPassengerNames[[#This Row],[InParentheses]], 1) = "'", RIGHT(tblPassengerNames[[#This Row],[InParentheses]], 1) = "'"),
    #VALUE!,
    tblPassengerNames[[#This Row],[InParentheses]]
)</f>
        <v>#VALUE!</v>
      </c>
      <c r="M803" t="e">
        <f>LEN(tblPassengerNames[[#This Row],[InParenthesesCleaned]]) - LEN(SUBSTITUTE(tblPassengerNames[[#This Row],[InParenthesesCleaned]], " ", ""))</f>
        <v>#VALUE!</v>
      </c>
      <c r="N803" t="e">
        <f>FIND("@", SUBSTITUTE(tblPassengerNames[[#This Row],[InParenthesesCleaned]], " ", "@", tblPassengerNames[[#This Row],[P_NSpaces]]))</f>
        <v>#VALUE!</v>
      </c>
      <c r="O803" t="e">
        <f>IF(tblPassengerNames[[#This Row],[P_NSpaces]] = 0,
    tblPassengerNames[[#This Row],[InParenthesesCleaned]],
    LEFT(tblPassengerNames[[#This Row],[InParenthesesCleaned]], tblPassengerNames[[#This Row],[P_FinalSpacePos]] - 1)
)</f>
        <v>#VALUE!</v>
      </c>
      <c r="P803" t="str">
        <f>IFERROR(tblPassengerNames[[#This Row],[P_Forenames]], tblPassengerNames[[#This Row],[ConvForenames]])</f>
        <v>Honora</v>
      </c>
      <c r="Q803" t="str">
        <f>MID(tblPassengerNames[[#This Row],[Name]], tblPassengerNames[[#This Row],[CommaPos]] + 2, tblPassengerNames[[#This Row],[DotPos]] - tblPassengerNames[[#This Row],[CommaPos]] - 1)</f>
        <v>Miss.</v>
      </c>
      <c r="R803" t="str">
        <f>LEFT(tblPassengerNames[[#This Row],[Name]], tblPassengerNames[[#This Row],[CommaPos]] - 1)</f>
        <v>Fleming</v>
      </c>
    </row>
    <row r="804" spans="2:18" x14ac:dyDescent="0.25">
      <c r="B804" s="21">
        <v>802</v>
      </c>
      <c r="C804" s="21" t="s">
        <v>937</v>
      </c>
      <c r="D804" s="21" t="s">
        <v>138</v>
      </c>
      <c r="E804">
        <f>FIND(",", tblPassengerNames[[#This Row],[Name]])</f>
        <v>6</v>
      </c>
      <c r="F804">
        <f>FIND(".", tblPassengerNames[[#This Row],[Name]])</f>
        <v>10</v>
      </c>
      <c r="G804" t="e">
        <f>FIND("(", tblPassengerNames[[#This Row],[Name]])</f>
        <v>#VALUE!</v>
      </c>
      <c r="H804" t="e">
        <f>FIND(")", tblPassengerNames[[#This Row],[Name]])</f>
        <v>#VALUE!</v>
      </c>
      <c r="I804">
        <f>IFERROR(tblPassengerNames[[#This Row],[OpenParPos]] - 2, LEN(tblPassengerNames[[#This Row],[Name]]))</f>
        <v>16</v>
      </c>
      <c r="J804" t="str">
        <f>MID(tblPassengerNames[[#This Row],[Name]], tblPassengerNames[[#This Row],[DotPos]] + 2, tblPassengerNames[[#This Row],[EndOfConvFNPos]] - tblPassengerNames[[#This Row],[DotPos]] - 1)</f>
        <v>James</v>
      </c>
      <c r="K804" t="e">
        <f>MID(tblPassengerNames[[#This Row],[Name]], tblPassengerNames[[#This Row],[OpenParPos]] + 1, tblPassengerNames[[#This Row],[CloseParPos]] - tblPassengerNames[[#This Row],[OpenParPos]] - 1)</f>
        <v>#VALUE!</v>
      </c>
      <c r="L804" t="e">
        <f>IF(AND(LEFT(tblPassengerNames[[#This Row],[InParentheses]], 1) = "'", RIGHT(tblPassengerNames[[#This Row],[InParentheses]], 1) = "'"),
    #VALUE!,
    tblPassengerNames[[#This Row],[InParentheses]]
)</f>
        <v>#VALUE!</v>
      </c>
      <c r="M804" t="e">
        <f>LEN(tblPassengerNames[[#This Row],[InParenthesesCleaned]]) - LEN(SUBSTITUTE(tblPassengerNames[[#This Row],[InParenthesesCleaned]], " ", ""))</f>
        <v>#VALUE!</v>
      </c>
      <c r="N804" t="e">
        <f>FIND("@", SUBSTITUTE(tblPassengerNames[[#This Row],[InParenthesesCleaned]], " ", "@", tblPassengerNames[[#This Row],[P_NSpaces]]))</f>
        <v>#VALUE!</v>
      </c>
      <c r="O804" t="e">
        <f>IF(tblPassengerNames[[#This Row],[P_NSpaces]] = 0,
    tblPassengerNames[[#This Row],[InParenthesesCleaned]],
    LEFT(tblPassengerNames[[#This Row],[InParenthesesCleaned]], tblPassengerNames[[#This Row],[P_FinalSpacePos]] - 1)
)</f>
        <v>#VALUE!</v>
      </c>
      <c r="P804" t="str">
        <f>IFERROR(tblPassengerNames[[#This Row],[P_Forenames]], tblPassengerNames[[#This Row],[ConvForenames]])</f>
        <v>James</v>
      </c>
      <c r="Q804" t="str">
        <f>MID(tblPassengerNames[[#This Row],[Name]], tblPassengerNames[[#This Row],[CommaPos]] + 2, tblPassengerNames[[#This Row],[DotPos]] - tblPassengerNames[[#This Row],[CommaPos]] - 1)</f>
        <v>Mr.</v>
      </c>
      <c r="R804" t="str">
        <f>LEFT(tblPassengerNames[[#This Row],[Name]], tblPassengerNames[[#This Row],[CommaPos]] - 1)</f>
        <v>Flynn</v>
      </c>
    </row>
    <row r="805" spans="2:18" x14ac:dyDescent="0.25">
      <c r="B805" s="21">
        <v>803</v>
      </c>
      <c r="C805" s="21" t="s">
        <v>938</v>
      </c>
      <c r="D805" s="21" t="s">
        <v>138</v>
      </c>
      <c r="E805">
        <f>FIND(",", tblPassengerNames[[#This Row],[Name]])</f>
        <v>6</v>
      </c>
      <c r="F805">
        <f>FIND(".", tblPassengerNames[[#This Row],[Name]])</f>
        <v>10</v>
      </c>
      <c r="G805" t="e">
        <f>FIND("(", tblPassengerNames[[#This Row],[Name]])</f>
        <v>#VALUE!</v>
      </c>
      <c r="H805" t="e">
        <f>FIND(")", tblPassengerNames[[#This Row],[Name]])</f>
        <v>#VALUE!</v>
      </c>
      <c r="I805">
        <f>IFERROR(tblPassengerNames[[#This Row],[OpenParPos]] - 2, LEN(tblPassengerNames[[#This Row],[Name]]))</f>
        <v>15</v>
      </c>
      <c r="J805" t="str">
        <f>MID(tblPassengerNames[[#This Row],[Name]], tblPassengerNames[[#This Row],[DotPos]] + 2, tblPassengerNames[[#This Row],[EndOfConvFNPos]] - tblPassengerNames[[#This Row],[DotPos]] - 1)</f>
        <v>John</v>
      </c>
      <c r="K805" t="e">
        <f>MID(tblPassengerNames[[#This Row],[Name]], tblPassengerNames[[#This Row],[OpenParPos]] + 1, tblPassengerNames[[#This Row],[CloseParPos]] - tblPassengerNames[[#This Row],[OpenParPos]] - 1)</f>
        <v>#VALUE!</v>
      </c>
      <c r="L805" t="e">
        <f>IF(AND(LEFT(tblPassengerNames[[#This Row],[InParentheses]], 1) = "'", RIGHT(tblPassengerNames[[#This Row],[InParentheses]], 1) = "'"),
    #VALUE!,
    tblPassengerNames[[#This Row],[InParentheses]]
)</f>
        <v>#VALUE!</v>
      </c>
      <c r="M805" t="e">
        <f>LEN(tblPassengerNames[[#This Row],[InParenthesesCleaned]]) - LEN(SUBSTITUTE(tblPassengerNames[[#This Row],[InParenthesesCleaned]], " ", ""))</f>
        <v>#VALUE!</v>
      </c>
      <c r="N805" t="e">
        <f>FIND("@", SUBSTITUTE(tblPassengerNames[[#This Row],[InParenthesesCleaned]], " ", "@", tblPassengerNames[[#This Row],[P_NSpaces]]))</f>
        <v>#VALUE!</v>
      </c>
      <c r="O805" t="e">
        <f>IF(tblPassengerNames[[#This Row],[P_NSpaces]] = 0,
    tblPassengerNames[[#This Row],[InParenthesesCleaned]],
    LEFT(tblPassengerNames[[#This Row],[InParenthesesCleaned]], tblPassengerNames[[#This Row],[P_FinalSpacePos]] - 1)
)</f>
        <v>#VALUE!</v>
      </c>
      <c r="P805" t="str">
        <f>IFERROR(tblPassengerNames[[#This Row],[P_Forenames]], tblPassengerNames[[#This Row],[ConvForenames]])</f>
        <v>John</v>
      </c>
      <c r="Q805" t="str">
        <f>MID(tblPassengerNames[[#This Row],[Name]], tblPassengerNames[[#This Row],[CommaPos]] + 2, tblPassengerNames[[#This Row],[DotPos]] - tblPassengerNames[[#This Row],[CommaPos]] - 1)</f>
        <v>Mr.</v>
      </c>
      <c r="R805" t="str">
        <f>LEFT(tblPassengerNames[[#This Row],[Name]], tblPassengerNames[[#This Row],[CommaPos]] - 1)</f>
        <v>Flynn</v>
      </c>
    </row>
    <row r="806" spans="2:18" x14ac:dyDescent="0.25">
      <c r="B806" s="21">
        <v>804</v>
      </c>
      <c r="C806" s="21" t="s">
        <v>939</v>
      </c>
      <c r="D806" s="21" t="s">
        <v>138</v>
      </c>
      <c r="E806">
        <f>FIND(",", tblPassengerNames[[#This Row],[Name]])</f>
        <v>6</v>
      </c>
      <c r="F806">
        <f>FIND(".", tblPassengerNames[[#This Row],[Name]])</f>
        <v>10</v>
      </c>
      <c r="G806" t="e">
        <f>FIND("(", tblPassengerNames[[#This Row],[Name]])</f>
        <v>#VALUE!</v>
      </c>
      <c r="H806" t="e">
        <f>FIND(")", tblPassengerNames[[#This Row],[Name]])</f>
        <v>#VALUE!</v>
      </c>
      <c r="I806">
        <f>IFERROR(tblPassengerNames[[#This Row],[OpenParPos]] - 2, LEN(tblPassengerNames[[#This Row],[Name]]))</f>
        <v>17</v>
      </c>
      <c r="J806" t="str">
        <f>MID(tblPassengerNames[[#This Row],[Name]], tblPassengerNames[[#This Row],[DotPos]] + 2, tblPassengerNames[[#This Row],[EndOfConvFNPos]] - tblPassengerNames[[#This Row],[DotPos]] - 1)</f>
        <v>Joseph</v>
      </c>
      <c r="K806" t="e">
        <f>MID(tblPassengerNames[[#This Row],[Name]], tblPassengerNames[[#This Row],[OpenParPos]] + 1, tblPassengerNames[[#This Row],[CloseParPos]] - tblPassengerNames[[#This Row],[OpenParPos]] - 1)</f>
        <v>#VALUE!</v>
      </c>
      <c r="L806" t="e">
        <f>IF(AND(LEFT(tblPassengerNames[[#This Row],[InParentheses]], 1) = "'", RIGHT(tblPassengerNames[[#This Row],[InParentheses]], 1) = "'"),
    #VALUE!,
    tblPassengerNames[[#This Row],[InParentheses]]
)</f>
        <v>#VALUE!</v>
      </c>
      <c r="M806" t="e">
        <f>LEN(tblPassengerNames[[#This Row],[InParenthesesCleaned]]) - LEN(SUBSTITUTE(tblPassengerNames[[#This Row],[InParenthesesCleaned]], " ", ""))</f>
        <v>#VALUE!</v>
      </c>
      <c r="N806" t="e">
        <f>FIND("@", SUBSTITUTE(tblPassengerNames[[#This Row],[InParenthesesCleaned]], " ", "@", tblPassengerNames[[#This Row],[P_NSpaces]]))</f>
        <v>#VALUE!</v>
      </c>
      <c r="O806" t="e">
        <f>IF(tblPassengerNames[[#This Row],[P_NSpaces]] = 0,
    tblPassengerNames[[#This Row],[InParenthesesCleaned]],
    LEFT(tblPassengerNames[[#This Row],[InParenthesesCleaned]], tblPassengerNames[[#This Row],[P_FinalSpacePos]] - 1)
)</f>
        <v>#VALUE!</v>
      </c>
      <c r="P806" t="str">
        <f>IFERROR(tblPassengerNames[[#This Row],[P_Forenames]], tblPassengerNames[[#This Row],[ConvForenames]])</f>
        <v>Joseph</v>
      </c>
      <c r="Q806" t="str">
        <f>MID(tblPassengerNames[[#This Row],[Name]], tblPassengerNames[[#This Row],[CommaPos]] + 2, tblPassengerNames[[#This Row],[DotPos]] - tblPassengerNames[[#This Row],[CommaPos]] - 1)</f>
        <v>Mr.</v>
      </c>
      <c r="R806" t="str">
        <f>LEFT(tblPassengerNames[[#This Row],[Name]], tblPassengerNames[[#This Row],[CommaPos]] - 1)</f>
        <v>Foley</v>
      </c>
    </row>
    <row r="807" spans="2:18" x14ac:dyDescent="0.25">
      <c r="B807" s="21">
        <v>805</v>
      </c>
      <c r="C807" s="21" t="s">
        <v>940</v>
      </c>
      <c r="D807" s="21" t="s">
        <v>138</v>
      </c>
      <c r="E807">
        <f>FIND(",", tblPassengerNames[[#This Row],[Name]])</f>
        <v>6</v>
      </c>
      <c r="F807">
        <f>FIND(".", tblPassengerNames[[#This Row],[Name]])</f>
        <v>10</v>
      </c>
      <c r="G807" t="e">
        <f>FIND("(", tblPassengerNames[[#This Row],[Name]])</f>
        <v>#VALUE!</v>
      </c>
      <c r="H807" t="e">
        <f>FIND(")", tblPassengerNames[[#This Row],[Name]])</f>
        <v>#VALUE!</v>
      </c>
      <c r="I807">
        <f>IFERROR(tblPassengerNames[[#This Row],[OpenParPos]] - 2, LEN(tblPassengerNames[[#This Row],[Name]]))</f>
        <v>18</v>
      </c>
      <c r="J807" t="str">
        <f>MID(tblPassengerNames[[#This Row],[Name]], tblPassengerNames[[#This Row],[DotPos]] + 2, tblPassengerNames[[#This Row],[EndOfConvFNPos]] - tblPassengerNames[[#This Row],[DotPos]] - 1)</f>
        <v>William</v>
      </c>
      <c r="K807" t="e">
        <f>MID(tblPassengerNames[[#This Row],[Name]], tblPassengerNames[[#This Row],[OpenParPos]] + 1, tblPassengerNames[[#This Row],[CloseParPos]] - tblPassengerNames[[#This Row],[OpenParPos]] - 1)</f>
        <v>#VALUE!</v>
      </c>
      <c r="L807" t="e">
        <f>IF(AND(LEFT(tblPassengerNames[[#This Row],[InParentheses]], 1) = "'", RIGHT(tblPassengerNames[[#This Row],[InParentheses]], 1) = "'"),
    #VALUE!,
    tblPassengerNames[[#This Row],[InParentheses]]
)</f>
        <v>#VALUE!</v>
      </c>
      <c r="M807" t="e">
        <f>LEN(tblPassengerNames[[#This Row],[InParenthesesCleaned]]) - LEN(SUBSTITUTE(tblPassengerNames[[#This Row],[InParenthesesCleaned]], " ", ""))</f>
        <v>#VALUE!</v>
      </c>
      <c r="N807" t="e">
        <f>FIND("@", SUBSTITUTE(tblPassengerNames[[#This Row],[InParenthesesCleaned]], " ", "@", tblPassengerNames[[#This Row],[P_NSpaces]]))</f>
        <v>#VALUE!</v>
      </c>
      <c r="O807" t="e">
        <f>IF(tblPassengerNames[[#This Row],[P_NSpaces]] = 0,
    tblPassengerNames[[#This Row],[InParenthesesCleaned]],
    LEFT(tblPassengerNames[[#This Row],[InParenthesesCleaned]], tblPassengerNames[[#This Row],[P_FinalSpacePos]] - 1)
)</f>
        <v>#VALUE!</v>
      </c>
      <c r="P807" t="str">
        <f>IFERROR(tblPassengerNames[[#This Row],[P_Forenames]], tblPassengerNames[[#This Row],[ConvForenames]])</f>
        <v>William</v>
      </c>
      <c r="Q807" t="str">
        <f>MID(tblPassengerNames[[#This Row],[Name]], tblPassengerNames[[#This Row],[CommaPos]] + 2, tblPassengerNames[[#This Row],[DotPos]] - tblPassengerNames[[#This Row],[CommaPos]] - 1)</f>
        <v>Mr.</v>
      </c>
      <c r="R807" t="str">
        <f>LEFT(tblPassengerNames[[#This Row],[Name]], tblPassengerNames[[#This Row],[CommaPos]] - 1)</f>
        <v>Foley</v>
      </c>
    </row>
    <row r="808" spans="2:18" x14ac:dyDescent="0.25">
      <c r="B808" s="21">
        <v>806</v>
      </c>
      <c r="C808" s="21" t="s">
        <v>941</v>
      </c>
      <c r="D808" s="21" t="s">
        <v>138</v>
      </c>
      <c r="E808">
        <f>FIND(",", tblPassengerNames[[#This Row],[Name]])</f>
        <v>4</v>
      </c>
      <c r="F808">
        <f>FIND(".", tblPassengerNames[[#This Row],[Name]])</f>
        <v>8</v>
      </c>
      <c r="G808" t="e">
        <f>FIND("(", tblPassengerNames[[#This Row],[Name]])</f>
        <v>#VALUE!</v>
      </c>
      <c r="H808" t="e">
        <f>FIND(")", tblPassengerNames[[#This Row],[Name]])</f>
        <v>#VALUE!</v>
      </c>
      <c r="I808">
        <f>IFERROR(tblPassengerNames[[#This Row],[OpenParPos]] - 2, LEN(tblPassengerNames[[#This Row],[Name]]))</f>
        <v>15</v>
      </c>
      <c r="J808" t="str">
        <f>MID(tblPassengerNames[[#This Row],[Name]], tblPassengerNames[[#This Row],[DotPos]] + 2, tblPassengerNames[[#This Row],[EndOfConvFNPos]] - tblPassengerNames[[#This Row],[DotPos]] - 1)</f>
        <v>Choong</v>
      </c>
      <c r="K808" t="e">
        <f>MID(tblPassengerNames[[#This Row],[Name]], tblPassengerNames[[#This Row],[OpenParPos]] + 1, tblPassengerNames[[#This Row],[CloseParPos]] - tblPassengerNames[[#This Row],[OpenParPos]] - 1)</f>
        <v>#VALUE!</v>
      </c>
      <c r="L808" t="e">
        <f>IF(AND(LEFT(tblPassengerNames[[#This Row],[InParentheses]], 1) = "'", RIGHT(tblPassengerNames[[#This Row],[InParentheses]], 1) = "'"),
    #VALUE!,
    tblPassengerNames[[#This Row],[InParentheses]]
)</f>
        <v>#VALUE!</v>
      </c>
      <c r="M808" t="e">
        <f>LEN(tblPassengerNames[[#This Row],[InParenthesesCleaned]]) - LEN(SUBSTITUTE(tblPassengerNames[[#This Row],[InParenthesesCleaned]], " ", ""))</f>
        <v>#VALUE!</v>
      </c>
      <c r="N808" t="e">
        <f>FIND("@", SUBSTITUTE(tblPassengerNames[[#This Row],[InParenthesesCleaned]], " ", "@", tblPassengerNames[[#This Row],[P_NSpaces]]))</f>
        <v>#VALUE!</v>
      </c>
      <c r="O808" t="e">
        <f>IF(tblPassengerNames[[#This Row],[P_NSpaces]] = 0,
    tblPassengerNames[[#This Row],[InParenthesesCleaned]],
    LEFT(tblPassengerNames[[#This Row],[InParenthesesCleaned]], tblPassengerNames[[#This Row],[P_FinalSpacePos]] - 1)
)</f>
        <v>#VALUE!</v>
      </c>
      <c r="P808" t="str">
        <f>IFERROR(tblPassengerNames[[#This Row],[P_Forenames]], tblPassengerNames[[#This Row],[ConvForenames]])</f>
        <v>Choong</v>
      </c>
      <c r="Q808" t="str">
        <f>MID(tblPassengerNames[[#This Row],[Name]], tblPassengerNames[[#This Row],[CommaPos]] + 2, tblPassengerNames[[#This Row],[DotPos]] - tblPassengerNames[[#This Row],[CommaPos]] - 1)</f>
        <v>Mr.</v>
      </c>
      <c r="R808" t="str">
        <f>LEFT(tblPassengerNames[[#This Row],[Name]], tblPassengerNames[[#This Row],[CommaPos]] - 1)</f>
        <v>Foo</v>
      </c>
    </row>
    <row r="809" spans="2:18" x14ac:dyDescent="0.25">
      <c r="B809" s="21">
        <v>807</v>
      </c>
      <c r="C809" s="21" t="s">
        <v>942</v>
      </c>
      <c r="D809" s="21" t="s">
        <v>136</v>
      </c>
      <c r="E809">
        <f>FIND(",", tblPassengerNames[[#This Row],[Name]])</f>
        <v>5</v>
      </c>
      <c r="F809">
        <f>FIND(".", tblPassengerNames[[#This Row],[Name]])</f>
        <v>11</v>
      </c>
      <c r="G809" t="e">
        <f>FIND("(", tblPassengerNames[[#This Row],[Name]])</f>
        <v>#VALUE!</v>
      </c>
      <c r="H809" t="e">
        <f>FIND(")", tblPassengerNames[[#This Row],[Name]])</f>
        <v>#VALUE!</v>
      </c>
      <c r="I809">
        <f>IFERROR(tblPassengerNames[[#This Row],[OpenParPos]] - 2, LEN(tblPassengerNames[[#This Row],[Name]]))</f>
        <v>36</v>
      </c>
      <c r="J809" t="str">
        <f>MID(tblPassengerNames[[#This Row],[Name]], tblPassengerNames[[#This Row],[DotPos]] + 2, tblPassengerNames[[#This Row],[EndOfConvFNPos]] - tblPassengerNames[[#This Row],[DotPos]] - 1)</f>
        <v>Doolina Margaret 'Daisy'</v>
      </c>
      <c r="K809" t="e">
        <f>MID(tblPassengerNames[[#This Row],[Name]], tblPassengerNames[[#This Row],[OpenParPos]] + 1, tblPassengerNames[[#This Row],[CloseParPos]] - tblPassengerNames[[#This Row],[OpenParPos]] - 1)</f>
        <v>#VALUE!</v>
      </c>
      <c r="L809" t="e">
        <f>IF(AND(LEFT(tblPassengerNames[[#This Row],[InParentheses]], 1) = "'", RIGHT(tblPassengerNames[[#This Row],[InParentheses]], 1) = "'"),
    #VALUE!,
    tblPassengerNames[[#This Row],[InParentheses]]
)</f>
        <v>#VALUE!</v>
      </c>
      <c r="M809" t="e">
        <f>LEN(tblPassengerNames[[#This Row],[InParenthesesCleaned]]) - LEN(SUBSTITUTE(tblPassengerNames[[#This Row],[InParenthesesCleaned]], " ", ""))</f>
        <v>#VALUE!</v>
      </c>
      <c r="N809" t="e">
        <f>FIND("@", SUBSTITUTE(tblPassengerNames[[#This Row],[InParenthesesCleaned]], " ", "@", tblPassengerNames[[#This Row],[P_NSpaces]]))</f>
        <v>#VALUE!</v>
      </c>
      <c r="O809" t="e">
        <f>IF(tblPassengerNames[[#This Row],[P_NSpaces]] = 0,
    tblPassengerNames[[#This Row],[InParenthesesCleaned]],
    LEFT(tblPassengerNames[[#This Row],[InParenthesesCleaned]], tblPassengerNames[[#This Row],[P_FinalSpacePos]] - 1)
)</f>
        <v>#VALUE!</v>
      </c>
      <c r="P809" t="str">
        <f>IFERROR(tblPassengerNames[[#This Row],[P_Forenames]], tblPassengerNames[[#This Row],[ConvForenames]])</f>
        <v>Doolina Margaret 'Daisy'</v>
      </c>
      <c r="Q809" t="str">
        <f>MID(tblPassengerNames[[#This Row],[Name]], tblPassengerNames[[#This Row],[CommaPos]] + 2, tblPassengerNames[[#This Row],[DotPos]] - tblPassengerNames[[#This Row],[CommaPos]] - 1)</f>
        <v>Miss.</v>
      </c>
      <c r="R809" t="str">
        <f>LEFT(tblPassengerNames[[#This Row],[Name]], tblPassengerNames[[#This Row],[CommaPos]] - 1)</f>
        <v>Ford</v>
      </c>
    </row>
    <row r="810" spans="2:18" x14ac:dyDescent="0.25">
      <c r="B810" s="21">
        <v>808</v>
      </c>
      <c r="C810" s="21" t="s">
        <v>943</v>
      </c>
      <c r="D810" s="21" t="s">
        <v>136</v>
      </c>
      <c r="E810">
        <f>FIND(",", tblPassengerNames[[#This Row],[Name]])</f>
        <v>5</v>
      </c>
      <c r="F810">
        <f>FIND(".", tblPassengerNames[[#This Row],[Name]])</f>
        <v>11</v>
      </c>
      <c r="G810" t="e">
        <f>FIND("(", tblPassengerNames[[#This Row],[Name]])</f>
        <v>#VALUE!</v>
      </c>
      <c r="H810" t="e">
        <f>FIND(")", tblPassengerNames[[#This Row],[Name]])</f>
        <v>#VALUE!</v>
      </c>
      <c r="I810">
        <f>IFERROR(tblPassengerNames[[#This Row],[OpenParPos]] - 2, LEN(tblPassengerNames[[#This Row],[Name]]))</f>
        <v>32</v>
      </c>
      <c r="J810" t="str">
        <f>MID(tblPassengerNames[[#This Row],[Name]], tblPassengerNames[[#This Row],[DotPos]] + 2, tblPassengerNames[[#This Row],[EndOfConvFNPos]] - tblPassengerNames[[#This Row],[DotPos]] - 1)</f>
        <v>Robina Maggie 'Ruby'</v>
      </c>
      <c r="K810" t="e">
        <f>MID(tblPassengerNames[[#This Row],[Name]], tblPassengerNames[[#This Row],[OpenParPos]] + 1, tblPassengerNames[[#This Row],[CloseParPos]] - tblPassengerNames[[#This Row],[OpenParPos]] - 1)</f>
        <v>#VALUE!</v>
      </c>
      <c r="L810" t="e">
        <f>IF(AND(LEFT(tblPassengerNames[[#This Row],[InParentheses]], 1) = "'", RIGHT(tblPassengerNames[[#This Row],[InParentheses]], 1) = "'"),
    #VALUE!,
    tblPassengerNames[[#This Row],[InParentheses]]
)</f>
        <v>#VALUE!</v>
      </c>
      <c r="M810" t="e">
        <f>LEN(tblPassengerNames[[#This Row],[InParenthesesCleaned]]) - LEN(SUBSTITUTE(tblPassengerNames[[#This Row],[InParenthesesCleaned]], " ", ""))</f>
        <v>#VALUE!</v>
      </c>
      <c r="N810" t="e">
        <f>FIND("@", SUBSTITUTE(tblPassengerNames[[#This Row],[InParenthesesCleaned]], " ", "@", tblPassengerNames[[#This Row],[P_NSpaces]]))</f>
        <v>#VALUE!</v>
      </c>
      <c r="O810" t="e">
        <f>IF(tblPassengerNames[[#This Row],[P_NSpaces]] = 0,
    tblPassengerNames[[#This Row],[InParenthesesCleaned]],
    LEFT(tblPassengerNames[[#This Row],[InParenthesesCleaned]], tblPassengerNames[[#This Row],[P_FinalSpacePos]] - 1)
)</f>
        <v>#VALUE!</v>
      </c>
      <c r="P810" t="str">
        <f>IFERROR(tblPassengerNames[[#This Row],[P_Forenames]], tblPassengerNames[[#This Row],[ConvForenames]])</f>
        <v>Robina Maggie 'Ruby'</v>
      </c>
      <c r="Q810" t="str">
        <f>MID(tblPassengerNames[[#This Row],[Name]], tblPassengerNames[[#This Row],[CommaPos]] + 2, tblPassengerNames[[#This Row],[DotPos]] - tblPassengerNames[[#This Row],[CommaPos]] - 1)</f>
        <v>Miss.</v>
      </c>
      <c r="R810" t="str">
        <f>LEFT(tblPassengerNames[[#This Row],[Name]], tblPassengerNames[[#This Row],[CommaPos]] - 1)</f>
        <v>Ford</v>
      </c>
    </row>
    <row r="811" spans="2:18" x14ac:dyDescent="0.25">
      <c r="B811" s="21">
        <v>809</v>
      </c>
      <c r="C811" s="21" t="s">
        <v>944</v>
      </c>
      <c r="D811" s="21" t="s">
        <v>138</v>
      </c>
      <c r="E811">
        <f>FIND(",", tblPassengerNames[[#This Row],[Name]])</f>
        <v>5</v>
      </c>
      <c r="F811">
        <f>FIND(".", tblPassengerNames[[#This Row],[Name]])</f>
        <v>9</v>
      </c>
      <c r="G811" t="e">
        <f>FIND("(", tblPassengerNames[[#This Row],[Name]])</f>
        <v>#VALUE!</v>
      </c>
      <c r="H811" t="e">
        <f>FIND(")", tblPassengerNames[[#This Row],[Name]])</f>
        <v>#VALUE!</v>
      </c>
      <c r="I811">
        <f>IFERROR(tblPassengerNames[[#This Row],[OpenParPos]] - 2, LEN(tblPassengerNames[[#This Row],[Name]]))</f>
        <v>16</v>
      </c>
      <c r="J811" t="str">
        <f>MID(tblPassengerNames[[#This Row],[Name]], tblPassengerNames[[#This Row],[DotPos]] + 2, tblPassengerNames[[#This Row],[EndOfConvFNPos]] - tblPassengerNames[[#This Row],[DotPos]] - 1)</f>
        <v>Arthur</v>
      </c>
      <c r="K811" t="e">
        <f>MID(tblPassengerNames[[#This Row],[Name]], tblPassengerNames[[#This Row],[OpenParPos]] + 1, tblPassengerNames[[#This Row],[CloseParPos]] - tblPassengerNames[[#This Row],[OpenParPos]] - 1)</f>
        <v>#VALUE!</v>
      </c>
      <c r="L811" t="e">
        <f>IF(AND(LEFT(tblPassengerNames[[#This Row],[InParentheses]], 1) = "'", RIGHT(tblPassengerNames[[#This Row],[InParentheses]], 1) = "'"),
    #VALUE!,
    tblPassengerNames[[#This Row],[InParentheses]]
)</f>
        <v>#VALUE!</v>
      </c>
      <c r="M811" t="e">
        <f>LEN(tblPassengerNames[[#This Row],[InParenthesesCleaned]]) - LEN(SUBSTITUTE(tblPassengerNames[[#This Row],[InParenthesesCleaned]], " ", ""))</f>
        <v>#VALUE!</v>
      </c>
      <c r="N811" t="e">
        <f>FIND("@", SUBSTITUTE(tblPassengerNames[[#This Row],[InParenthesesCleaned]], " ", "@", tblPassengerNames[[#This Row],[P_NSpaces]]))</f>
        <v>#VALUE!</v>
      </c>
      <c r="O811" t="e">
        <f>IF(tblPassengerNames[[#This Row],[P_NSpaces]] = 0,
    tblPassengerNames[[#This Row],[InParenthesesCleaned]],
    LEFT(tblPassengerNames[[#This Row],[InParenthesesCleaned]], tblPassengerNames[[#This Row],[P_FinalSpacePos]] - 1)
)</f>
        <v>#VALUE!</v>
      </c>
      <c r="P811" t="str">
        <f>IFERROR(tblPassengerNames[[#This Row],[P_Forenames]], tblPassengerNames[[#This Row],[ConvForenames]])</f>
        <v>Arthur</v>
      </c>
      <c r="Q811" t="str">
        <f>MID(tblPassengerNames[[#This Row],[Name]], tblPassengerNames[[#This Row],[CommaPos]] + 2, tblPassengerNames[[#This Row],[DotPos]] - tblPassengerNames[[#This Row],[CommaPos]] - 1)</f>
        <v>Mr.</v>
      </c>
      <c r="R811" t="str">
        <f>LEFT(tblPassengerNames[[#This Row],[Name]], tblPassengerNames[[#This Row],[CommaPos]] - 1)</f>
        <v>Ford</v>
      </c>
    </row>
    <row r="812" spans="2:18" x14ac:dyDescent="0.25">
      <c r="B812" s="21">
        <v>810</v>
      </c>
      <c r="C812" s="21" t="s">
        <v>945</v>
      </c>
      <c r="D812" s="21" t="s">
        <v>138</v>
      </c>
      <c r="E812">
        <f>FIND(",", tblPassengerNames[[#This Row],[Name]])</f>
        <v>5</v>
      </c>
      <c r="F812">
        <f>FIND(".", tblPassengerNames[[#This Row],[Name]])</f>
        <v>9</v>
      </c>
      <c r="G812" t="e">
        <f>FIND("(", tblPassengerNames[[#This Row],[Name]])</f>
        <v>#VALUE!</v>
      </c>
      <c r="H812" t="e">
        <f>FIND(")", tblPassengerNames[[#This Row],[Name]])</f>
        <v>#VALUE!</v>
      </c>
      <c r="I812">
        <f>IFERROR(tblPassengerNames[[#This Row],[OpenParPos]] - 2, LEN(tblPassengerNames[[#This Row],[Name]]))</f>
        <v>23</v>
      </c>
      <c r="J812" t="str">
        <f>MID(tblPassengerNames[[#This Row],[Name]], tblPassengerNames[[#This Row],[DotPos]] + 2, tblPassengerNames[[#This Row],[EndOfConvFNPos]] - tblPassengerNames[[#This Row],[DotPos]] - 1)</f>
        <v>Edward Watson</v>
      </c>
      <c r="K812" t="e">
        <f>MID(tblPassengerNames[[#This Row],[Name]], tblPassengerNames[[#This Row],[OpenParPos]] + 1, tblPassengerNames[[#This Row],[CloseParPos]] - tblPassengerNames[[#This Row],[OpenParPos]] - 1)</f>
        <v>#VALUE!</v>
      </c>
      <c r="L812" t="e">
        <f>IF(AND(LEFT(tblPassengerNames[[#This Row],[InParentheses]], 1) = "'", RIGHT(tblPassengerNames[[#This Row],[InParentheses]], 1) = "'"),
    #VALUE!,
    tblPassengerNames[[#This Row],[InParentheses]]
)</f>
        <v>#VALUE!</v>
      </c>
      <c r="M812" t="e">
        <f>LEN(tblPassengerNames[[#This Row],[InParenthesesCleaned]]) - LEN(SUBSTITUTE(tblPassengerNames[[#This Row],[InParenthesesCleaned]], " ", ""))</f>
        <v>#VALUE!</v>
      </c>
      <c r="N812" t="e">
        <f>FIND("@", SUBSTITUTE(tblPassengerNames[[#This Row],[InParenthesesCleaned]], " ", "@", tblPassengerNames[[#This Row],[P_NSpaces]]))</f>
        <v>#VALUE!</v>
      </c>
      <c r="O812" t="e">
        <f>IF(tblPassengerNames[[#This Row],[P_NSpaces]] = 0,
    tblPassengerNames[[#This Row],[InParenthesesCleaned]],
    LEFT(tblPassengerNames[[#This Row],[InParenthesesCleaned]], tblPassengerNames[[#This Row],[P_FinalSpacePos]] - 1)
)</f>
        <v>#VALUE!</v>
      </c>
      <c r="P812" t="str">
        <f>IFERROR(tblPassengerNames[[#This Row],[P_Forenames]], tblPassengerNames[[#This Row],[ConvForenames]])</f>
        <v>Edward Watson</v>
      </c>
      <c r="Q812" t="str">
        <f>MID(tblPassengerNames[[#This Row],[Name]], tblPassengerNames[[#This Row],[CommaPos]] + 2, tblPassengerNames[[#This Row],[DotPos]] - tblPassengerNames[[#This Row],[CommaPos]] - 1)</f>
        <v>Mr.</v>
      </c>
      <c r="R812" t="str">
        <f>LEFT(tblPassengerNames[[#This Row],[Name]], tblPassengerNames[[#This Row],[CommaPos]] - 1)</f>
        <v>Ford</v>
      </c>
    </row>
    <row r="813" spans="2:18" x14ac:dyDescent="0.25">
      <c r="B813" s="21">
        <v>811</v>
      </c>
      <c r="C813" s="21" t="s">
        <v>946</v>
      </c>
      <c r="D813" s="21" t="s">
        <v>138</v>
      </c>
      <c r="E813">
        <f>FIND(",", tblPassengerNames[[#This Row],[Name]])</f>
        <v>5</v>
      </c>
      <c r="F813">
        <f>FIND(".", tblPassengerNames[[#This Row],[Name]])</f>
        <v>9</v>
      </c>
      <c r="G813" t="e">
        <f>FIND("(", tblPassengerNames[[#This Row],[Name]])</f>
        <v>#VALUE!</v>
      </c>
      <c r="H813" t="e">
        <f>FIND(")", tblPassengerNames[[#This Row],[Name]])</f>
        <v>#VALUE!</v>
      </c>
      <c r="I813">
        <f>IFERROR(tblPassengerNames[[#This Row],[OpenParPos]] - 2, LEN(tblPassengerNames[[#This Row],[Name]]))</f>
        <v>22</v>
      </c>
      <c r="J813" t="str">
        <f>MID(tblPassengerNames[[#This Row],[Name]], tblPassengerNames[[#This Row],[DotPos]] + 2, tblPassengerNames[[#This Row],[EndOfConvFNPos]] - tblPassengerNames[[#This Row],[DotPos]] - 1)</f>
        <v>William Neal</v>
      </c>
      <c r="K813" t="e">
        <f>MID(tblPassengerNames[[#This Row],[Name]], tblPassengerNames[[#This Row],[OpenParPos]] + 1, tblPassengerNames[[#This Row],[CloseParPos]] - tblPassengerNames[[#This Row],[OpenParPos]] - 1)</f>
        <v>#VALUE!</v>
      </c>
      <c r="L813" t="e">
        <f>IF(AND(LEFT(tblPassengerNames[[#This Row],[InParentheses]], 1) = "'", RIGHT(tblPassengerNames[[#This Row],[InParentheses]], 1) = "'"),
    #VALUE!,
    tblPassengerNames[[#This Row],[InParentheses]]
)</f>
        <v>#VALUE!</v>
      </c>
      <c r="M813" t="e">
        <f>LEN(tblPassengerNames[[#This Row],[InParenthesesCleaned]]) - LEN(SUBSTITUTE(tblPassengerNames[[#This Row],[InParenthesesCleaned]], " ", ""))</f>
        <v>#VALUE!</v>
      </c>
      <c r="N813" t="e">
        <f>FIND("@", SUBSTITUTE(tblPassengerNames[[#This Row],[InParenthesesCleaned]], " ", "@", tblPassengerNames[[#This Row],[P_NSpaces]]))</f>
        <v>#VALUE!</v>
      </c>
      <c r="O813" t="e">
        <f>IF(tblPassengerNames[[#This Row],[P_NSpaces]] = 0,
    tblPassengerNames[[#This Row],[InParenthesesCleaned]],
    LEFT(tblPassengerNames[[#This Row],[InParenthesesCleaned]], tblPassengerNames[[#This Row],[P_FinalSpacePos]] - 1)
)</f>
        <v>#VALUE!</v>
      </c>
      <c r="P813" t="str">
        <f>IFERROR(tblPassengerNames[[#This Row],[P_Forenames]], tblPassengerNames[[#This Row],[ConvForenames]])</f>
        <v>William Neal</v>
      </c>
      <c r="Q813" t="str">
        <f>MID(tblPassengerNames[[#This Row],[Name]], tblPassengerNames[[#This Row],[CommaPos]] + 2, tblPassengerNames[[#This Row],[DotPos]] - tblPassengerNames[[#This Row],[CommaPos]] - 1)</f>
        <v>Mr.</v>
      </c>
      <c r="R813" t="str">
        <f>LEFT(tblPassengerNames[[#This Row],[Name]], tblPassengerNames[[#This Row],[CommaPos]] - 1)</f>
        <v>Ford</v>
      </c>
    </row>
    <row r="814" spans="2:18" x14ac:dyDescent="0.25">
      <c r="B814" s="21">
        <v>812</v>
      </c>
      <c r="C814" s="21" t="s">
        <v>947</v>
      </c>
      <c r="D814" s="21" t="s">
        <v>136</v>
      </c>
      <c r="E814">
        <f>FIND(",", tblPassengerNames[[#This Row],[Name]])</f>
        <v>5</v>
      </c>
      <c r="F814">
        <f>FIND(".", tblPassengerNames[[#This Row],[Name]])</f>
        <v>10</v>
      </c>
      <c r="G814">
        <f>FIND("(", tblPassengerNames[[#This Row],[Name]])</f>
        <v>19</v>
      </c>
      <c r="H814">
        <f>FIND(")", tblPassengerNames[[#This Row],[Name]])</f>
        <v>39</v>
      </c>
      <c r="I814">
        <f>IFERROR(tblPassengerNames[[#This Row],[OpenParPos]] - 2, LEN(tblPassengerNames[[#This Row],[Name]]))</f>
        <v>17</v>
      </c>
      <c r="J814" t="str">
        <f>MID(tblPassengerNames[[#This Row],[Name]], tblPassengerNames[[#This Row],[DotPos]] + 2, tblPassengerNames[[#This Row],[EndOfConvFNPos]] - tblPassengerNames[[#This Row],[DotPos]] - 1)</f>
        <v>Edward</v>
      </c>
      <c r="K814" t="str">
        <f>MID(tblPassengerNames[[#This Row],[Name]], tblPassengerNames[[#This Row],[OpenParPos]] + 1, tblPassengerNames[[#This Row],[CloseParPos]] - tblPassengerNames[[#This Row],[OpenParPos]] - 1)</f>
        <v>Margaret Ann Watson</v>
      </c>
      <c r="L814" t="str">
        <f>IF(AND(LEFT(tblPassengerNames[[#This Row],[InParentheses]], 1) = "'", RIGHT(tblPassengerNames[[#This Row],[InParentheses]], 1) = "'"),
    #VALUE!,
    tblPassengerNames[[#This Row],[InParentheses]]
)</f>
        <v>Margaret Ann Watson</v>
      </c>
      <c r="M814">
        <f>LEN(tblPassengerNames[[#This Row],[InParenthesesCleaned]]) - LEN(SUBSTITUTE(tblPassengerNames[[#This Row],[InParenthesesCleaned]], " ", ""))</f>
        <v>2</v>
      </c>
      <c r="N814">
        <f>FIND("@", SUBSTITUTE(tblPassengerNames[[#This Row],[InParenthesesCleaned]], " ", "@", tblPassengerNames[[#This Row],[P_NSpaces]]))</f>
        <v>13</v>
      </c>
      <c r="O814" t="str">
        <f>IF(tblPassengerNames[[#This Row],[P_NSpaces]] = 0,
    tblPassengerNames[[#This Row],[InParenthesesCleaned]],
    LEFT(tblPassengerNames[[#This Row],[InParenthesesCleaned]], tblPassengerNames[[#This Row],[P_FinalSpacePos]] - 1)
)</f>
        <v>Margaret Ann</v>
      </c>
      <c r="P814" t="str">
        <f>IFERROR(tblPassengerNames[[#This Row],[P_Forenames]], tblPassengerNames[[#This Row],[ConvForenames]])</f>
        <v>Margaret Ann</v>
      </c>
      <c r="Q814" t="str">
        <f>MID(tblPassengerNames[[#This Row],[Name]], tblPassengerNames[[#This Row],[CommaPos]] + 2, tblPassengerNames[[#This Row],[DotPos]] - tblPassengerNames[[#This Row],[CommaPos]] - 1)</f>
        <v>Mrs.</v>
      </c>
      <c r="R814" t="str">
        <f>LEFT(tblPassengerNames[[#This Row],[Name]], tblPassengerNames[[#This Row],[CommaPos]] - 1)</f>
        <v>Ford</v>
      </c>
    </row>
    <row r="815" spans="2:18" x14ac:dyDescent="0.25">
      <c r="B815" s="21">
        <v>813</v>
      </c>
      <c r="C815" s="21" t="s">
        <v>948</v>
      </c>
      <c r="D815" s="21" t="s">
        <v>138</v>
      </c>
      <c r="E815">
        <f>FIND(",", tblPassengerNames[[#This Row],[Name]])</f>
        <v>4</v>
      </c>
      <c r="F815">
        <f>FIND(".", tblPassengerNames[[#This Row],[Name]])</f>
        <v>8</v>
      </c>
      <c r="G815" t="e">
        <f>FIND("(", tblPassengerNames[[#This Row],[Name]])</f>
        <v>#VALUE!</v>
      </c>
      <c r="H815" t="e">
        <f>FIND(")", tblPassengerNames[[#This Row],[Name]])</f>
        <v>#VALUE!</v>
      </c>
      <c r="I815">
        <f>IFERROR(tblPassengerNames[[#This Row],[OpenParPos]] - 2, LEN(tblPassengerNames[[#This Row],[Name]]))</f>
        <v>16</v>
      </c>
      <c r="J815" t="str">
        <f>MID(tblPassengerNames[[#This Row],[Name]], tblPassengerNames[[#This Row],[DotPos]] + 2, tblPassengerNames[[#This Row],[EndOfConvFNPos]] - tblPassengerNames[[#This Row],[DotPos]] - 1)</f>
        <v>Patrick</v>
      </c>
      <c r="K815" t="e">
        <f>MID(tblPassengerNames[[#This Row],[Name]], tblPassengerNames[[#This Row],[OpenParPos]] + 1, tblPassengerNames[[#This Row],[CloseParPos]] - tblPassengerNames[[#This Row],[OpenParPos]] - 1)</f>
        <v>#VALUE!</v>
      </c>
      <c r="L815" t="e">
        <f>IF(AND(LEFT(tblPassengerNames[[#This Row],[InParentheses]], 1) = "'", RIGHT(tblPassengerNames[[#This Row],[InParentheses]], 1) = "'"),
    #VALUE!,
    tblPassengerNames[[#This Row],[InParentheses]]
)</f>
        <v>#VALUE!</v>
      </c>
      <c r="M815" t="e">
        <f>LEN(tblPassengerNames[[#This Row],[InParenthesesCleaned]]) - LEN(SUBSTITUTE(tblPassengerNames[[#This Row],[InParenthesesCleaned]], " ", ""))</f>
        <v>#VALUE!</v>
      </c>
      <c r="N815" t="e">
        <f>FIND("@", SUBSTITUTE(tblPassengerNames[[#This Row],[InParenthesesCleaned]], " ", "@", tblPassengerNames[[#This Row],[P_NSpaces]]))</f>
        <v>#VALUE!</v>
      </c>
      <c r="O815" t="e">
        <f>IF(tblPassengerNames[[#This Row],[P_NSpaces]] = 0,
    tblPassengerNames[[#This Row],[InParenthesesCleaned]],
    LEFT(tblPassengerNames[[#This Row],[InParenthesesCleaned]], tblPassengerNames[[#This Row],[P_FinalSpacePos]] - 1)
)</f>
        <v>#VALUE!</v>
      </c>
      <c r="P815" t="str">
        <f>IFERROR(tblPassengerNames[[#This Row],[P_Forenames]], tblPassengerNames[[#This Row],[ConvForenames]])</f>
        <v>Patrick</v>
      </c>
      <c r="Q815" t="str">
        <f>MID(tblPassengerNames[[#This Row],[Name]], tblPassengerNames[[#This Row],[CommaPos]] + 2, tblPassengerNames[[#This Row],[DotPos]] - tblPassengerNames[[#This Row],[CommaPos]] - 1)</f>
        <v>Mr.</v>
      </c>
      <c r="R815" t="str">
        <f>LEFT(tblPassengerNames[[#This Row],[Name]], tblPassengerNames[[#This Row],[CommaPos]] - 1)</f>
        <v>Fox</v>
      </c>
    </row>
    <row r="816" spans="2:18" x14ac:dyDescent="0.25">
      <c r="B816" s="21">
        <v>814</v>
      </c>
      <c r="C816" s="21" t="s">
        <v>949</v>
      </c>
      <c r="D816" s="21" t="s">
        <v>138</v>
      </c>
      <c r="E816">
        <f>FIND(",", tblPassengerNames[[#This Row],[Name]])</f>
        <v>9</v>
      </c>
      <c r="F816">
        <f>FIND(".", tblPassengerNames[[#This Row],[Name]])</f>
        <v>13</v>
      </c>
      <c r="G816">
        <f>FIND("(", tblPassengerNames[[#This Row],[Name]])</f>
        <v>23</v>
      </c>
      <c r="H816">
        <f>FIND(")", tblPassengerNames[[#This Row],[Name]])</f>
        <v>38</v>
      </c>
      <c r="I816">
        <f>IFERROR(tblPassengerNames[[#This Row],[OpenParPos]] - 2, LEN(tblPassengerNames[[#This Row],[Name]]))</f>
        <v>21</v>
      </c>
      <c r="J816" t="str">
        <f>MID(tblPassengerNames[[#This Row],[Name]], tblPassengerNames[[#This Row],[DotPos]] + 2, tblPassengerNames[[#This Row],[EndOfConvFNPos]] - tblPassengerNames[[#This Row],[DotPos]] - 1)</f>
        <v>Charles</v>
      </c>
      <c r="K816" t="str">
        <f>MID(tblPassengerNames[[#This Row],[Name]], tblPassengerNames[[#This Row],[OpenParPos]] + 1, tblPassengerNames[[#This Row],[CloseParPos]] - tblPassengerNames[[#This Row],[OpenParPos]] - 1)</f>
        <v>Charles Fardon</v>
      </c>
      <c r="L816" t="str">
        <f>IF(AND(LEFT(tblPassengerNames[[#This Row],[InParentheses]], 1) = "'", RIGHT(tblPassengerNames[[#This Row],[InParentheses]], 1) = "'"),
    #VALUE!,
    tblPassengerNames[[#This Row],[InParentheses]]
)</f>
        <v>Charles Fardon</v>
      </c>
      <c r="M816">
        <f>LEN(tblPassengerNames[[#This Row],[InParenthesesCleaned]]) - LEN(SUBSTITUTE(tblPassengerNames[[#This Row],[InParenthesesCleaned]], " ", ""))</f>
        <v>1</v>
      </c>
      <c r="N816">
        <f>FIND("@", SUBSTITUTE(tblPassengerNames[[#This Row],[InParenthesesCleaned]], " ", "@", tblPassengerNames[[#This Row],[P_NSpaces]]))</f>
        <v>8</v>
      </c>
      <c r="O816" t="str">
        <f>IF(tblPassengerNames[[#This Row],[P_NSpaces]] = 0,
    tblPassengerNames[[#This Row],[InParenthesesCleaned]],
    LEFT(tblPassengerNames[[#This Row],[InParenthesesCleaned]], tblPassengerNames[[#This Row],[P_FinalSpacePos]] - 1)
)</f>
        <v>Charles</v>
      </c>
      <c r="P816" t="str">
        <f>IFERROR(tblPassengerNames[[#This Row],[P_Forenames]], tblPassengerNames[[#This Row],[ConvForenames]])</f>
        <v>Charles</v>
      </c>
      <c r="Q816" t="str">
        <f>MID(tblPassengerNames[[#This Row],[Name]], tblPassengerNames[[#This Row],[CommaPos]] + 2, tblPassengerNames[[#This Row],[DotPos]] - tblPassengerNames[[#This Row],[CommaPos]] - 1)</f>
        <v>Mr.</v>
      </c>
      <c r="R816" t="str">
        <f>LEFT(tblPassengerNames[[#This Row],[Name]], tblPassengerNames[[#This Row],[CommaPos]] - 1)</f>
        <v>Franklin</v>
      </c>
    </row>
    <row r="817" spans="2:18" x14ac:dyDescent="0.25">
      <c r="B817" s="21">
        <v>815</v>
      </c>
      <c r="C817" s="21" t="s">
        <v>950</v>
      </c>
      <c r="D817" s="21" t="s">
        <v>138</v>
      </c>
      <c r="E817">
        <f>FIND(",", tblPassengerNames[[#This Row],[Name]])</f>
        <v>10</v>
      </c>
      <c r="F817">
        <f>FIND(".", tblPassengerNames[[#This Row],[Name]])</f>
        <v>14</v>
      </c>
      <c r="G817" t="e">
        <f>FIND("(", tblPassengerNames[[#This Row],[Name]])</f>
        <v>#VALUE!</v>
      </c>
      <c r="H817" t="e">
        <f>FIND(")", tblPassengerNames[[#This Row],[Name]])</f>
        <v>#VALUE!</v>
      </c>
      <c r="I817">
        <f>IFERROR(tblPassengerNames[[#This Row],[OpenParPos]] - 2, LEN(tblPassengerNames[[#This Row],[Name]]))</f>
        <v>21</v>
      </c>
      <c r="J817" t="str">
        <f>MID(tblPassengerNames[[#This Row],[Name]], tblPassengerNames[[#This Row],[DotPos]] + 2, tblPassengerNames[[#This Row],[EndOfConvFNPos]] - tblPassengerNames[[#This Row],[DotPos]] - 1)</f>
        <v>Martin</v>
      </c>
      <c r="K817" t="e">
        <f>MID(tblPassengerNames[[#This Row],[Name]], tblPassengerNames[[#This Row],[OpenParPos]] + 1, tblPassengerNames[[#This Row],[CloseParPos]] - tblPassengerNames[[#This Row],[OpenParPos]] - 1)</f>
        <v>#VALUE!</v>
      </c>
      <c r="L817" t="e">
        <f>IF(AND(LEFT(tblPassengerNames[[#This Row],[InParentheses]], 1) = "'", RIGHT(tblPassengerNames[[#This Row],[InParentheses]], 1) = "'"),
    #VALUE!,
    tblPassengerNames[[#This Row],[InParentheses]]
)</f>
        <v>#VALUE!</v>
      </c>
      <c r="M817" t="e">
        <f>LEN(tblPassengerNames[[#This Row],[InParenthesesCleaned]]) - LEN(SUBSTITUTE(tblPassengerNames[[#This Row],[InParenthesesCleaned]], " ", ""))</f>
        <v>#VALUE!</v>
      </c>
      <c r="N817" t="e">
        <f>FIND("@", SUBSTITUTE(tblPassengerNames[[#This Row],[InParenthesesCleaned]], " ", "@", tblPassengerNames[[#This Row],[P_NSpaces]]))</f>
        <v>#VALUE!</v>
      </c>
      <c r="O817" t="e">
        <f>IF(tblPassengerNames[[#This Row],[P_NSpaces]] = 0,
    tblPassengerNames[[#This Row],[InParenthesesCleaned]],
    LEFT(tblPassengerNames[[#This Row],[InParenthesesCleaned]], tblPassengerNames[[#This Row],[P_FinalSpacePos]] - 1)
)</f>
        <v>#VALUE!</v>
      </c>
      <c r="P817" t="str">
        <f>IFERROR(tblPassengerNames[[#This Row],[P_Forenames]], tblPassengerNames[[#This Row],[ConvForenames]])</f>
        <v>Martin</v>
      </c>
      <c r="Q817" t="str">
        <f>MID(tblPassengerNames[[#This Row],[Name]], tblPassengerNames[[#This Row],[CommaPos]] + 2, tblPassengerNames[[#This Row],[DotPos]] - tblPassengerNames[[#This Row],[CommaPos]] - 1)</f>
        <v>Mr.</v>
      </c>
      <c r="R817" t="str">
        <f>LEFT(tblPassengerNames[[#This Row],[Name]], tblPassengerNames[[#This Row],[CommaPos]] - 1)</f>
        <v>Gallagher</v>
      </c>
    </row>
    <row r="818" spans="2:18" x14ac:dyDescent="0.25">
      <c r="B818" s="21">
        <v>816</v>
      </c>
      <c r="C818" s="21" t="s">
        <v>951</v>
      </c>
      <c r="D818" s="21" t="s">
        <v>138</v>
      </c>
      <c r="E818">
        <f>FIND(",", tblPassengerNames[[#This Row],[Name]])</f>
        <v>9</v>
      </c>
      <c r="F818">
        <f>FIND(".", tblPassengerNames[[#This Row],[Name]])</f>
        <v>13</v>
      </c>
      <c r="G818" t="e">
        <f>FIND("(", tblPassengerNames[[#This Row],[Name]])</f>
        <v>#VALUE!</v>
      </c>
      <c r="H818" t="e">
        <f>FIND(")", tblPassengerNames[[#This Row],[Name]])</f>
        <v>#VALUE!</v>
      </c>
      <c r="I818">
        <f>IFERROR(tblPassengerNames[[#This Row],[OpenParPos]] - 2, LEN(tblPassengerNames[[#This Row],[Name]]))</f>
        <v>18</v>
      </c>
      <c r="J818" t="str">
        <f>MID(tblPassengerNames[[#This Row],[Name]], tblPassengerNames[[#This Row],[DotPos]] + 2, tblPassengerNames[[#This Row],[EndOfConvFNPos]] - tblPassengerNames[[#This Row],[DotPos]] - 1)</f>
        <v>John</v>
      </c>
      <c r="K818" t="e">
        <f>MID(tblPassengerNames[[#This Row],[Name]], tblPassengerNames[[#This Row],[OpenParPos]] + 1, tblPassengerNames[[#This Row],[CloseParPos]] - tblPassengerNames[[#This Row],[OpenParPos]] - 1)</f>
        <v>#VALUE!</v>
      </c>
      <c r="L818" t="e">
        <f>IF(AND(LEFT(tblPassengerNames[[#This Row],[InParentheses]], 1) = "'", RIGHT(tblPassengerNames[[#This Row],[InParentheses]], 1) = "'"),
    #VALUE!,
    tblPassengerNames[[#This Row],[InParentheses]]
)</f>
        <v>#VALUE!</v>
      </c>
      <c r="M818" t="e">
        <f>LEN(tblPassengerNames[[#This Row],[InParenthesesCleaned]]) - LEN(SUBSTITUTE(tblPassengerNames[[#This Row],[InParenthesesCleaned]], " ", ""))</f>
        <v>#VALUE!</v>
      </c>
      <c r="N818" t="e">
        <f>FIND("@", SUBSTITUTE(tblPassengerNames[[#This Row],[InParenthesesCleaned]], " ", "@", tblPassengerNames[[#This Row],[P_NSpaces]]))</f>
        <v>#VALUE!</v>
      </c>
      <c r="O818" t="e">
        <f>IF(tblPassengerNames[[#This Row],[P_NSpaces]] = 0,
    tblPassengerNames[[#This Row],[InParenthesesCleaned]],
    LEFT(tblPassengerNames[[#This Row],[InParenthesesCleaned]], tblPassengerNames[[#This Row],[P_FinalSpacePos]] - 1)
)</f>
        <v>#VALUE!</v>
      </c>
      <c r="P818" t="str">
        <f>IFERROR(tblPassengerNames[[#This Row],[P_Forenames]], tblPassengerNames[[#This Row],[ConvForenames]])</f>
        <v>John</v>
      </c>
      <c r="Q818" t="str">
        <f>MID(tblPassengerNames[[#This Row],[Name]], tblPassengerNames[[#This Row],[CommaPos]] + 2, tblPassengerNames[[#This Row],[DotPos]] - tblPassengerNames[[#This Row],[CommaPos]] - 1)</f>
        <v>Mr.</v>
      </c>
      <c r="R818" t="str">
        <f>LEFT(tblPassengerNames[[#This Row],[Name]], tblPassengerNames[[#This Row],[CommaPos]] - 1)</f>
        <v>Garfirth</v>
      </c>
    </row>
    <row r="819" spans="2:18" x14ac:dyDescent="0.25">
      <c r="B819" s="21">
        <v>817</v>
      </c>
      <c r="C819" s="21" t="s">
        <v>952</v>
      </c>
      <c r="D819" s="21" t="s">
        <v>138</v>
      </c>
      <c r="E819">
        <f>FIND(",", tblPassengerNames[[#This Row],[Name]])</f>
        <v>11</v>
      </c>
      <c r="F819">
        <f>FIND(".", tblPassengerNames[[#This Row],[Name]])</f>
        <v>15</v>
      </c>
      <c r="G819" t="e">
        <f>FIND("(", tblPassengerNames[[#This Row],[Name]])</f>
        <v>#VALUE!</v>
      </c>
      <c r="H819" t="e">
        <f>FIND(")", tblPassengerNames[[#This Row],[Name]])</f>
        <v>#VALUE!</v>
      </c>
      <c r="I819">
        <f>IFERROR(tblPassengerNames[[#This Row],[OpenParPos]] - 2, LEN(tblPassengerNames[[#This Row],[Name]]))</f>
        <v>22</v>
      </c>
      <c r="J819" t="str">
        <f>MID(tblPassengerNames[[#This Row],[Name]], tblPassengerNames[[#This Row],[DotPos]] + 2, tblPassengerNames[[#This Row],[EndOfConvFNPos]] - tblPassengerNames[[#This Row],[DotPos]] - 1)</f>
        <v>Stanio</v>
      </c>
      <c r="K819" t="e">
        <f>MID(tblPassengerNames[[#This Row],[Name]], tblPassengerNames[[#This Row],[OpenParPos]] + 1, tblPassengerNames[[#This Row],[CloseParPos]] - tblPassengerNames[[#This Row],[OpenParPos]] - 1)</f>
        <v>#VALUE!</v>
      </c>
      <c r="L819" t="e">
        <f>IF(AND(LEFT(tblPassengerNames[[#This Row],[InParentheses]], 1) = "'", RIGHT(tblPassengerNames[[#This Row],[InParentheses]], 1) = "'"),
    #VALUE!,
    tblPassengerNames[[#This Row],[InParentheses]]
)</f>
        <v>#VALUE!</v>
      </c>
      <c r="M819" t="e">
        <f>LEN(tblPassengerNames[[#This Row],[InParenthesesCleaned]]) - LEN(SUBSTITUTE(tblPassengerNames[[#This Row],[InParenthesesCleaned]], " ", ""))</f>
        <v>#VALUE!</v>
      </c>
      <c r="N819" t="e">
        <f>FIND("@", SUBSTITUTE(tblPassengerNames[[#This Row],[InParenthesesCleaned]], " ", "@", tblPassengerNames[[#This Row],[P_NSpaces]]))</f>
        <v>#VALUE!</v>
      </c>
      <c r="O819" t="e">
        <f>IF(tblPassengerNames[[#This Row],[P_NSpaces]] = 0,
    tblPassengerNames[[#This Row],[InParenthesesCleaned]],
    LEFT(tblPassengerNames[[#This Row],[InParenthesesCleaned]], tblPassengerNames[[#This Row],[P_FinalSpacePos]] - 1)
)</f>
        <v>#VALUE!</v>
      </c>
      <c r="P819" t="str">
        <f>IFERROR(tblPassengerNames[[#This Row],[P_Forenames]], tblPassengerNames[[#This Row],[ConvForenames]])</f>
        <v>Stanio</v>
      </c>
      <c r="Q819" t="str">
        <f>MID(tblPassengerNames[[#This Row],[Name]], tblPassengerNames[[#This Row],[CommaPos]] + 2, tblPassengerNames[[#This Row],[DotPos]] - tblPassengerNames[[#This Row],[CommaPos]] - 1)</f>
        <v>Mr.</v>
      </c>
      <c r="R819" t="str">
        <f>LEFT(tblPassengerNames[[#This Row],[Name]], tblPassengerNames[[#This Row],[CommaPos]] - 1)</f>
        <v>Gheorgheff</v>
      </c>
    </row>
    <row r="820" spans="2:18" x14ac:dyDescent="0.25">
      <c r="B820" s="21">
        <v>818</v>
      </c>
      <c r="C820" s="21" t="s">
        <v>953</v>
      </c>
      <c r="D820" s="21" t="s">
        <v>138</v>
      </c>
      <c r="E820">
        <f>FIND(",", tblPassengerNames[[#This Row],[Name]])</f>
        <v>9</v>
      </c>
      <c r="F820">
        <f>FIND(".", tblPassengerNames[[#This Row],[Name]])</f>
        <v>13</v>
      </c>
      <c r="G820" t="e">
        <f>FIND("(", tblPassengerNames[[#This Row],[Name]])</f>
        <v>#VALUE!</v>
      </c>
      <c r="H820" t="e">
        <f>FIND(")", tblPassengerNames[[#This Row],[Name]])</f>
        <v>#VALUE!</v>
      </c>
      <c r="I820">
        <f>IFERROR(tblPassengerNames[[#This Row],[OpenParPos]] - 2, LEN(tblPassengerNames[[#This Row],[Name]]))</f>
        <v>21</v>
      </c>
      <c r="J820" t="str">
        <f>MID(tblPassengerNames[[#This Row],[Name]], tblPassengerNames[[#This Row],[DotPos]] + 2, tblPassengerNames[[#This Row],[EndOfConvFNPos]] - tblPassengerNames[[#This Row],[DotPos]] - 1)</f>
        <v>Eliezer</v>
      </c>
      <c r="K820" t="e">
        <f>MID(tblPassengerNames[[#This Row],[Name]], tblPassengerNames[[#This Row],[OpenParPos]] + 1, tblPassengerNames[[#This Row],[CloseParPos]] - tblPassengerNames[[#This Row],[OpenParPos]] - 1)</f>
        <v>#VALUE!</v>
      </c>
      <c r="L820" t="e">
        <f>IF(AND(LEFT(tblPassengerNames[[#This Row],[InParentheses]], 1) = "'", RIGHT(tblPassengerNames[[#This Row],[InParentheses]], 1) = "'"),
    #VALUE!,
    tblPassengerNames[[#This Row],[InParentheses]]
)</f>
        <v>#VALUE!</v>
      </c>
      <c r="M820" t="e">
        <f>LEN(tblPassengerNames[[#This Row],[InParenthesesCleaned]]) - LEN(SUBSTITUTE(tblPassengerNames[[#This Row],[InParenthesesCleaned]], " ", ""))</f>
        <v>#VALUE!</v>
      </c>
      <c r="N820" t="e">
        <f>FIND("@", SUBSTITUTE(tblPassengerNames[[#This Row],[InParenthesesCleaned]], " ", "@", tblPassengerNames[[#This Row],[P_NSpaces]]))</f>
        <v>#VALUE!</v>
      </c>
      <c r="O820" t="e">
        <f>IF(tblPassengerNames[[#This Row],[P_NSpaces]] = 0,
    tblPassengerNames[[#This Row],[InParenthesesCleaned]],
    LEFT(tblPassengerNames[[#This Row],[InParenthesesCleaned]], tblPassengerNames[[#This Row],[P_FinalSpacePos]] - 1)
)</f>
        <v>#VALUE!</v>
      </c>
      <c r="P820" t="str">
        <f>IFERROR(tblPassengerNames[[#This Row],[P_Forenames]], tblPassengerNames[[#This Row],[ConvForenames]])</f>
        <v>Eliezer</v>
      </c>
      <c r="Q820" t="str">
        <f>MID(tblPassengerNames[[#This Row],[Name]], tblPassengerNames[[#This Row],[CommaPos]] + 2, tblPassengerNames[[#This Row],[DotPos]] - tblPassengerNames[[#This Row],[CommaPos]] - 1)</f>
        <v>Mr.</v>
      </c>
      <c r="R820" t="str">
        <f>LEFT(tblPassengerNames[[#This Row],[Name]], tblPassengerNames[[#This Row],[CommaPos]] - 1)</f>
        <v>Gilinski</v>
      </c>
    </row>
    <row r="821" spans="2:18" x14ac:dyDescent="0.25">
      <c r="B821" s="21">
        <v>819</v>
      </c>
      <c r="C821" s="21" t="s">
        <v>954</v>
      </c>
      <c r="D821" s="21" t="s">
        <v>136</v>
      </c>
      <c r="E821">
        <f>FIND(",", tblPassengerNames[[#This Row],[Name]])</f>
        <v>8</v>
      </c>
      <c r="F821">
        <f>FIND(".", tblPassengerNames[[#This Row],[Name]])</f>
        <v>14</v>
      </c>
      <c r="G821" t="e">
        <f>FIND("(", tblPassengerNames[[#This Row],[Name]])</f>
        <v>#VALUE!</v>
      </c>
      <c r="H821" t="e">
        <f>FIND(")", tblPassengerNames[[#This Row],[Name]])</f>
        <v>#VALUE!</v>
      </c>
      <c r="I821">
        <f>IFERROR(tblPassengerNames[[#This Row],[OpenParPos]] - 2, LEN(tblPassengerNames[[#This Row],[Name]]))</f>
        <v>32</v>
      </c>
      <c r="J821" t="str">
        <f>MID(tblPassengerNames[[#This Row],[Name]], tblPassengerNames[[#This Row],[DotPos]] + 2, tblPassengerNames[[#This Row],[EndOfConvFNPos]] - tblPassengerNames[[#This Row],[DotPos]] - 1)</f>
        <v>Katherine 'Katie'</v>
      </c>
      <c r="K821" t="e">
        <f>MID(tblPassengerNames[[#This Row],[Name]], tblPassengerNames[[#This Row],[OpenParPos]] + 1, tblPassengerNames[[#This Row],[CloseParPos]] - tblPassengerNames[[#This Row],[OpenParPos]] - 1)</f>
        <v>#VALUE!</v>
      </c>
      <c r="L821" t="e">
        <f>IF(AND(LEFT(tblPassengerNames[[#This Row],[InParentheses]], 1) = "'", RIGHT(tblPassengerNames[[#This Row],[InParentheses]], 1) = "'"),
    #VALUE!,
    tblPassengerNames[[#This Row],[InParentheses]]
)</f>
        <v>#VALUE!</v>
      </c>
      <c r="M821" t="e">
        <f>LEN(tblPassengerNames[[#This Row],[InParenthesesCleaned]]) - LEN(SUBSTITUTE(tblPassengerNames[[#This Row],[InParenthesesCleaned]], " ", ""))</f>
        <v>#VALUE!</v>
      </c>
      <c r="N821" t="e">
        <f>FIND("@", SUBSTITUTE(tblPassengerNames[[#This Row],[InParenthesesCleaned]], " ", "@", tblPassengerNames[[#This Row],[P_NSpaces]]))</f>
        <v>#VALUE!</v>
      </c>
      <c r="O821" t="e">
        <f>IF(tblPassengerNames[[#This Row],[P_NSpaces]] = 0,
    tblPassengerNames[[#This Row],[InParenthesesCleaned]],
    LEFT(tblPassengerNames[[#This Row],[InParenthesesCleaned]], tblPassengerNames[[#This Row],[P_FinalSpacePos]] - 1)
)</f>
        <v>#VALUE!</v>
      </c>
      <c r="P821" t="str">
        <f>IFERROR(tblPassengerNames[[#This Row],[P_Forenames]], tblPassengerNames[[#This Row],[ConvForenames]])</f>
        <v>Katherine 'Katie'</v>
      </c>
      <c r="Q821" t="str">
        <f>MID(tblPassengerNames[[#This Row],[Name]], tblPassengerNames[[#This Row],[CommaPos]] + 2, tblPassengerNames[[#This Row],[DotPos]] - tblPassengerNames[[#This Row],[CommaPos]] - 1)</f>
        <v>Miss.</v>
      </c>
      <c r="R821" t="str">
        <f>LEFT(tblPassengerNames[[#This Row],[Name]], tblPassengerNames[[#This Row],[CommaPos]] - 1)</f>
        <v>Gilnagh</v>
      </c>
    </row>
    <row r="822" spans="2:18" x14ac:dyDescent="0.25">
      <c r="B822" s="21">
        <v>820</v>
      </c>
      <c r="C822" s="21" t="s">
        <v>955</v>
      </c>
      <c r="D822" s="21" t="s">
        <v>136</v>
      </c>
      <c r="E822">
        <f>FIND(",", tblPassengerNames[[#This Row],[Name]])</f>
        <v>6</v>
      </c>
      <c r="F822">
        <f>FIND(".", tblPassengerNames[[#This Row],[Name]])</f>
        <v>12</v>
      </c>
      <c r="G822" t="e">
        <f>FIND("(", tblPassengerNames[[#This Row],[Name]])</f>
        <v>#VALUE!</v>
      </c>
      <c r="H822" t="e">
        <f>FIND(")", tblPassengerNames[[#This Row],[Name]])</f>
        <v>#VALUE!</v>
      </c>
      <c r="I822">
        <f>IFERROR(tblPassengerNames[[#This Row],[OpenParPos]] - 2, LEN(tblPassengerNames[[#This Row],[Name]]))</f>
        <v>24</v>
      </c>
      <c r="J822" t="str">
        <f>MID(tblPassengerNames[[#This Row],[Name]], tblPassengerNames[[#This Row],[DotPos]] + 2, tblPassengerNames[[#This Row],[EndOfConvFNPos]] - tblPassengerNames[[#This Row],[DotPos]] - 1)</f>
        <v>Mary Agatha</v>
      </c>
      <c r="K822" t="e">
        <f>MID(tblPassengerNames[[#This Row],[Name]], tblPassengerNames[[#This Row],[OpenParPos]] + 1, tblPassengerNames[[#This Row],[CloseParPos]] - tblPassengerNames[[#This Row],[OpenParPos]] - 1)</f>
        <v>#VALUE!</v>
      </c>
      <c r="L822" t="e">
        <f>IF(AND(LEFT(tblPassengerNames[[#This Row],[InParentheses]], 1) = "'", RIGHT(tblPassengerNames[[#This Row],[InParentheses]], 1) = "'"),
    #VALUE!,
    tblPassengerNames[[#This Row],[InParentheses]]
)</f>
        <v>#VALUE!</v>
      </c>
      <c r="M822" t="e">
        <f>LEN(tblPassengerNames[[#This Row],[InParenthesesCleaned]]) - LEN(SUBSTITUTE(tblPassengerNames[[#This Row],[InParenthesesCleaned]], " ", ""))</f>
        <v>#VALUE!</v>
      </c>
      <c r="N822" t="e">
        <f>FIND("@", SUBSTITUTE(tblPassengerNames[[#This Row],[InParenthesesCleaned]], " ", "@", tblPassengerNames[[#This Row],[P_NSpaces]]))</f>
        <v>#VALUE!</v>
      </c>
      <c r="O822" t="e">
        <f>IF(tblPassengerNames[[#This Row],[P_NSpaces]] = 0,
    tblPassengerNames[[#This Row],[InParenthesesCleaned]],
    LEFT(tblPassengerNames[[#This Row],[InParenthesesCleaned]], tblPassengerNames[[#This Row],[P_FinalSpacePos]] - 1)
)</f>
        <v>#VALUE!</v>
      </c>
      <c r="P822" t="str">
        <f>IFERROR(tblPassengerNames[[#This Row],[P_Forenames]], tblPassengerNames[[#This Row],[ConvForenames]])</f>
        <v>Mary Agatha</v>
      </c>
      <c r="Q822" t="str">
        <f>MID(tblPassengerNames[[#This Row],[Name]], tblPassengerNames[[#This Row],[CommaPos]] + 2, tblPassengerNames[[#This Row],[DotPos]] - tblPassengerNames[[#This Row],[CommaPos]] - 1)</f>
        <v>Miss.</v>
      </c>
      <c r="R822" t="str">
        <f>LEFT(tblPassengerNames[[#This Row],[Name]], tblPassengerNames[[#This Row],[CommaPos]] - 1)</f>
        <v>Glynn</v>
      </c>
    </row>
    <row r="823" spans="2:18" x14ac:dyDescent="0.25">
      <c r="B823" s="21">
        <v>821</v>
      </c>
      <c r="C823" s="21" t="s">
        <v>956</v>
      </c>
      <c r="D823" s="21" t="s">
        <v>138</v>
      </c>
      <c r="E823">
        <f>FIND(",", tblPassengerNames[[#This Row],[Name]])</f>
        <v>10</v>
      </c>
      <c r="F823">
        <f>FIND(".", tblPassengerNames[[#This Row],[Name]])</f>
        <v>18</v>
      </c>
      <c r="G823" t="e">
        <f>FIND("(", tblPassengerNames[[#This Row],[Name]])</f>
        <v>#VALUE!</v>
      </c>
      <c r="H823" t="e">
        <f>FIND(")", tblPassengerNames[[#This Row],[Name]])</f>
        <v>#VALUE!</v>
      </c>
      <c r="I823">
        <f>IFERROR(tblPassengerNames[[#This Row],[OpenParPos]] - 2, LEN(tblPassengerNames[[#This Row],[Name]]))</f>
        <v>47</v>
      </c>
      <c r="J823" t="str">
        <f>MID(tblPassengerNames[[#This Row],[Name]], tblPassengerNames[[#This Row],[DotPos]] + 2, tblPassengerNames[[#This Row],[EndOfConvFNPos]] - tblPassengerNames[[#This Row],[DotPos]] - 1)</f>
        <v>Frank John William 'Frankie'</v>
      </c>
      <c r="K823" t="e">
        <f>MID(tblPassengerNames[[#This Row],[Name]], tblPassengerNames[[#This Row],[OpenParPos]] + 1, tblPassengerNames[[#This Row],[CloseParPos]] - tblPassengerNames[[#This Row],[OpenParPos]] - 1)</f>
        <v>#VALUE!</v>
      </c>
      <c r="L823" t="e">
        <f>IF(AND(LEFT(tblPassengerNames[[#This Row],[InParentheses]], 1) = "'", RIGHT(tblPassengerNames[[#This Row],[InParentheses]], 1) = "'"),
    #VALUE!,
    tblPassengerNames[[#This Row],[InParentheses]]
)</f>
        <v>#VALUE!</v>
      </c>
      <c r="M823" t="e">
        <f>LEN(tblPassengerNames[[#This Row],[InParenthesesCleaned]]) - LEN(SUBSTITUTE(tblPassengerNames[[#This Row],[InParenthesesCleaned]], " ", ""))</f>
        <v>#VALUE!</v>
      </c>
      <c r="N823" t="e">
        <f>FIND("@", SUBSTITUTE(tblPassengerNames[[#This Row],[InParenthesesCleaned]], " ", "@", tblPassengerNames[[#This Row],[P_NSpaces]]))</f>
        <v>#VALUE!</v>
      </c>
      <c r="O823" t="e">
        <f>IF(tblPassengerNames[[#This Row],[P_NSpaces]] = 0,
    tblPassengerNames[[#This Row],[InParenthesesCleaned]],
    LEFT(tblPassengerNames[[#This Row],[InParenthesesCleaned]], tblPassengerNames[[#This Row],[P_FinalSpacePos]] - 1)
)</f>
        <v>#VALUE!</v>
      </c>
      <c r="P823" t="str">
        <f>IFERROR(tblPassengerNames[[#This Row],[P_Forenames]], tblPassengerNames[[#This Row],[ConvForenames]])</f>
        <v>Frank John William 'Frankie'</v>
      </c>
      <c r="Q823" t="str">
        <f>MID(tblPassengerNames[[#This Row],[Name]], tblPassengerNames[[#This Row],[CommaPos]] + 2, tblPassengerNames[[#This Row],[DotPos]] - tblPassengerNames[[#This Row],[CommaPos]] - 1)</f>
        <v>Master.</v>
      </c>
      <c r="R823" t="str">
        <f>LEFT(tblPassengerNames[[#This Row],[Name]], tblPassengerNames[[#This Row],[CommaPos]] - 1)</f>
        <v>Goldsmith</v>
      </c>
    </row>
    <row r="824" spans="2:18" x14ac:dyDescent="0.25">
      <c r="B824" s="21">
        <v>822</v>
      </c>
      <c r="C824" s="21" t="s">
        <v>957</v>
      </c>
      <c r="D824" s="21" t="s">
        <v>138</v>
      </c>
      <c r="E824">
        <f>FIND(",", tblPassengerNames[[#This Row],[Name]])</f>
        <v>10</v>
      </c>
      <c r="F824">
        <f>FIND(".", tblPassengerNames[[#This Row],[Name]])</f>
        <v>14</v>
      </c>
      <c r="G824" t="e">
        <f>FIND("(", tblPassengerNames[[#This Row],[Name]])</f>
        <v>#VALUE!</v>
      </c>
      <c r="H824" t="e">
        <f>FIND(")", tblPassengerNames[[#This Row],[Name]])</f>
        <v>#VALUE!</v>
      </c>
      <c r="I824">
        <f>IFERROR(tblPassengerNames[[#This Row],[OpenParPos]] - 2, LEN(tblPassengerNames[[#This Row],[Name]]))</f>
        <v>25</v>
      </c>
      <c r="J824" t="str">
        <f>MID(tblPassengerNames[[#This Row],[Name]], tblPassengerNames[[#This Row],[DotPos]] + 2, tblPassengerNames[[#This Row],[EndOfConvFNPos]] - tblPassengerNames[[#This Row],[DotPos]] - 1)</f>
        <v>Frank John</v>
      </c>
      <c r="K824" t="e">
        <f>MID(tblPassengerNames[[#This Row],[Name]], tblPassengerNames[[#This Row],[OpenParPos]] + 1, tblPassengerNames[[#This Row],[CloseParPos]] - tblPassengerNames[[#This Row],[OpenParPos]] - 1)</f>
        <v>#VALUE!</v>
      </c>
      <c r="L824" t="e">
        <f>IF(AND(LEFT(tblPassengerNames[[#This Row],[InParentheses]], 1) = "'", RIGHT(tblPassengerNames[[#This Row],[InParentheses]], 1) = "'"),
    #VALUE!,
    tblPassengerNames[[#This Row],[InParentheses]]
)</f>
        <v>#VALUE!</v>
      </c>
      <c r="M824" t="e">
        <f>LEN(tblPassengerNames[[#This Row],[InParenthesesCleaned]]) - LEN(SUBSTITUTE(tblPassengerNames[[#This Row],[InParenthesesCleaned]], " ", ""))</f>
        <v>#VALUE!</v>
      </c>
      <c r="N824" t="e">
        <f>FIND("@", SUBSTITUTE(tblPassengerNames[[#This Row],[InParenthesesCleaned]], " ", "@", tblPassengerNames[[#This Row],[P_NSpaces]]))</f>
        <v>#VALUE!</v>
      </c>
      <c r="O824" t="e">
        <f>IF(tblPassengerNames[[#This Row],[P_NSpaces]] = 0,
    tblPassengerNames[[#This Row],[InParenthesesCleaned]],
    LEFT(tblPassengerNames[[#This Row],[InParenthesesCleaned]], tblPassengerNames[[#This Row],[P_FinalSpacePos]] - 1)
)</f>
        <v>#VALUE!</v>
      </c>
      <c r="P824" t="str">
        <f>IFERROR(tblPassengerNames[[#This Row],[P_Forenames]], tblPassengerNames[[#This Row],[ConvForenames]])</f>
        <v>Frank John</v>
      </c>
      <c r="Q824" t="str">
        <f>MID(tblPassengerNames[[#This Row],[Name]], tblPassengerNames[[#This Row],[CommaPos]] + 2, tblPassengerNames[[#This Row],[DotPos]] - tblPassengerNames[[#This Row],[CommaPos]] - 1)</f>
        <v>Mr.</v>
      </c>
      <c r="R824" t="str">
        <f>LEFT(tblPassengerNames[[#This Row],[Name]], tblPassengerNames[[#This Row],[CommaPos]] - 1)</f>
        <v>Goldsmith</v>
      </c>
    </row>
    <row r="825" spans="2:18" x14ac:dyDescent="0.25">
      <c r="B825" s="21">
        <v>823</v>
      </c>
      <c r="C825" s="21" t="s">
        <v>958</v>
      </c>
      <c r="D825" s="21" t="s">
        <v>138</v>
      </c>
      <c r="E825">
        <f>FIND(",", tblPassengerNames[[#This Row],[Name]])</f>
        <v>10</v>
      </c>
      <c r="F825">
        <f>FIND(".", tblPassengerNames[[#This Row],[Name]])</f>
        <v>14</v>
      </c>
      <c r="G825" t="e">
        <f>FIND("(", tblPassengerNames[[#This Row],[Name]])</f>
        <v>#VALUE!</v>
      </c>
      <c r="H825" t="e">
        <f>FIND(")", tblPassengerNames[[#This Row],[Name]])</f>
        <v>#VALUE!</v>
      </c>
      <c r="I825">
        <f>IFERROR(tblPassengerNames[[#This Row],[OpenParPos]] - 2, LEN(tblPassengerNames[[#This Row],[Name]]))</f>
        <v>21</v>
      </c>
      <c r="J825" t="str">
        <f>MID(tblPassengerNames[[#This Row],[Name]], tblPassengerNames[[#This Row],[DotPos]] + 2, tblPassengerNames[[#This Row],[EndOfConvFNPos]] - tblPassengerNames[[#This Row],[DotPos]] - 1)</f>
        <v>Nathan</v>
      </c>
      <c r="K825" t="e">
        <f>MID(tblPassengerNames[[#This Row],[Name]], tblPassengerNames[[#This Row],[OpenParPos]] + 1, tblPassengerNames[[#This Row],[CloseParPos]] - tblPassengerNames[[#This Row],[OpenParPos]] - 1)</f>
        <v>#VALUE!</v>
      </c>
      <c r="L825" t="e">
        <f>IF(AND(LEFT(tblPassengerNames[[#This Row],[InParentheses]], 1) = "'", RIGHT(tblPassengerNames[[#This Row],[InParentheses]], 1) = "'"),
    #VALUE!,
    tblPassengerNames[[#This Row],[InParentheses]]
)</f>
        <v>#VALUE!</v>
      </c>
      <c r="M825" t="e">
        <f>LEN(tblPassengerNames[[#This Row],[InParenthesesCleaned]]) - LEN(SUBSTITUTE(tblPassengerNames[[#This Row],[InParenthesesCleaned]], " ", ""))</f>
        <v>#VALUE!</v>
      </c>
      <c r="N825" t="e">
        <f>FIND("@", SUBSTITUTE(tblPassengerNames[[#This Row],[InParenthesesCleaned]], " ", "@", tblPassengerNames[[#This Row],[P_NSpaces]]))</f>
        <v>#VALUE!</v>
      </c>
      <c r="O825" t="e">
        <f>IF(tblPassengerNames[[#This Row],[P_NSpaces]] = 0,
    tblPassengerNames[[#This Row],[InParenthesesCleaned]],
    LEFT(tblPassengerNames[[#This Row],[InParenthesesCleaned]], tblPassengerNames[[#This Row],[P_FinalSpacePos]] - 1)
)</f>
        <v>#VALUE!</v>
      </c>
      <c r="P825" t="str">
        <f>IFERROR(tblPassengerNames[[#This Row],[P_Forenames]], tblPassengerNames[[#This Row],[ConvForenames]])</f>
        <v>Nathan</v>
      </c>
      <c r="Q825" t="str">
        <f>MID(tblPassengerNames[[#This Row],[Name]], tblPassengerNames[[#This Row],[CommaPos]] + 2, tblPassengerNames[[#This Row],[DotPos]] - tblPassengerNames[[#This Row],[CommaPos]] - 1)</f>
        <v>Mr.</v>
      </c>
      <c r="R825" t="str">
        <f>LEFT(tblPassengerNames[[#This Row],[Name]], tblPassengerNames[[#This Row],[CommaPos]] - 1)</f>
        <v>Goldsmith</v>
      </c>
    </row>
    <row r="826" spans="2:18" x14ac:dyDescent="0.25">
      <c r="B826" s="21">
        <v>824</v>
      </c>
      <c r="C826" s="21" t="s">
        <v>959</v>
      </c>
      <c r="D826" s="21" t="s">
        <v>136</v>
      </c>
      <c r="E826">
        <f>FIND(",", tblPassengerNames[[#This Row],[Name]])</f>
        <v>10</v>
      </c>
      <c r="F826">
        <f>FIND(".", tblPassengerNames[[#This Row],[Name]])</f>
        <v>15</v>
      </c>
      <c r="G826">
        <f>FIND("(", tblPassengerNames[[#This Row],[Name]])</f>
        <v>28</v>
      </c>
      <c r="H826">
        <f>FIND(")", tblPassengerNames[[#This Row],[Name]])</f>
        <v>46</v>
      </c>
      <c r="I826">
        <f>IFERROR(tblPassengerNames[[#This Row],[OpenParPos]] - 2, LEN(tblPassengerNames[[#This Row],[Name]]))</f>
        <v>26</v>
      </c>
      <c r="J826" t="str">
        <f>MID(tblPassengerNames[[#This Row],[Name]], tblPassengerNames[[#This Row],[DotPos]] + 2, tblPassengerNames[[#This Row],[EndOfConvFNPos]] - tblPassengerNames[[#This Row],[DotPos]] - 1)</f>
        <v>Frank John</v>
      </c>
      <c r="K826" t="str">
        <f>MID(tblPassengerNames[[#This Row],[Name]], tblPassengerNames[[#This Row],[OpenParPos]] + 1, tblPassengerNames[[#This Row],[CloseParPos]] - tblPassengerNames[[#This Row],[OpenParPos]] - 1)</f>
        <v>Emily Alice Brown</v>
      </c>
      <c r="L826" t="str">
        <f>IF(AND(LEFT(tblPassengerNames[[#This Row],[InParentheses]], 1) = "'", RIGHT(tblPassengerNames[[#This Row],[InParentheses]], 1) = "'"),
    #VALUE!,
    tblPassengerNames[[#This Row],[InParentheses]]
)</f>
        <v>Emily Alice Brown</v>
      </c>
      <c r="M826">
        <f>LEN(tblPassengerNames[[#This Row],[InParenthesesCleaned]]) - LEN(SUBSTITUTE(tblPassengerNames[[#This Row],[InParenthesesCleaned]], " ", ""))</f>
        <v>2</v>
      </c>
      <c r="N826">
        <f>FIND("@", SUBSTITUTE(tblPassengerNames[[#This Row],[InParenthesesCleaned]], " ", "@", tblPassengerNames[[#This Row],[P_NSpaces]]))</f>
        <v>12</v>
      </c>
      <c r="O826" t="str">
        <f>IF(tblPassengerNames[[#This Row],[P_NSpaces]] = 0,
    tblPassengerNames[[#This Row],[InParenthesesCleaned]],
    LEFT(tblPassengerNames[[#This Row],[InParenthesesCleaned]], tblPassengerNames[[#This Row],[P_FinalSpacePos]] - 1)
)</f>
        <v>Emily Alice</v>
      </c>
      <c r="P826" t="str">
        <f>IFERROR(tblPassengerNames[[#This Row],[P_Forenames]], tblPassengerNames[[#This Row],[ConvForenames]])</f>
        <v>Emily Alice</v>
      </c>
      <c r="Q826" t="str">
        <f>MID(tblPassengerNames[[#This Row],[Name]], tblPassengerNames[[#This Row],[CommaPos]] + 2, tblPassengerNames[[#This Row],[DotPos]] - tblPassengerNames[[#This Row],[CommaPos]] - 1)</f>
        <v>Mrs.</v>
      </c>
      <c r="R826" t="str">
        <f>LEFT(tblPassengerNames[[#This Row],[Name]], tblPassengerNames[[#This Row],[CommaPos]] - 1)</f>
        <v>Goldsmith</v>
      </c>
    </row>
    <row r="827" spans="2:18" x14ac:dyDescent="0.25">
      <c r="B827" s="21">
        <v>825</v>
      </c>
      <c r="C827" s="21" t="s">
        <v>960</v>
      </c>
      <c r="D827" s="21" t="s">
        <v>138</v>
      </c>
      <c r="E827">
        <f>FIND(",", tblPassengerNames[[#This Row],[Name]])</f>
        <v>10</v>
      </c>
      <c r="F827">
        <f>FIND(".", tblPassengerNames[[#This Row],[Name]])</f>
        <v>14</v>
      </c>
      <c r="G827" t="e">
        <f>FIND("(", tblPassengerNames[[#This Row],[Name]])</f>
        <v>#VALUE!</v>
      </c>
      <c r="H827" t="e">
        <f>FIND(")", tblPassengerNames[[#This Row],[Name]])</f>
        <v>#VALUE!</v>
      </c>
      <c r="I827">
        <f>IFERROR(tblPassengerNames[[#This Row],[OpenParPos]] - 2, LEN(tblPassengerNames[[#This Row],[Name]]))</f>
        <v>31</v>
      </c>
      <c r="J827" t="str">
        <f>MID(tblPassengerNames[[#This Row],[Name]], tblPassengerNames[[#This Row],[DotPos]] + 2, tblPassengerNames[[#This Row],[EndOfConvFNPos]] - tblPassengerNames[[#This Row],[DotPos]] - 1)</f>
        <v>Manuel Estanslas</v>
      </c>
      <c r="K827" t="e">
        <f>MID(tblPassengerNames[[#This Row],[Name]], tblPassengerNames[[#This Row],[OpenParPos]] + 1, tblPassengerNames[[#This Row],[CloseParPos]] - tblPassengerNames[[#This Row],[OpenParPos]] - 1)</f>
        <v>#VALUE!</v>
      </c>
      <c r="L827" t="e">
        <f>IF(AND(LEFT(tblPassengerNames[[#This Row],[InParentheses]], 1) = "'", RIGHT(tblPassengerNames[[#This Row],[InParentheses]], 1) = "'"),
    #VALUE!,
    tblPassengerNames[[#This Row],[InParentheses]]
)</f>
        <v>#VALUE!</v>
      </c>
      <c r="M827" t="e">
        <f>LEN(tblPassengerNames[[#This Row],[InParenthesesCleaned]]) - LEN(SUBSTITUTE(tblPassengerNames[[#This Row],[InParenthesesCleaned]], " ", ""))</f>
        <v>#VALUE!</v>
      </c>
      <c r="N827" t="e">
        <f>FIND("@", SUBSTITUTE(tblPassengerNames[[#This Row],[InParenthesesCleaned]], " ", "@", tblPassengerNames[[#This Row],[P_NSpaces]]))</f>
        <v>#VALUE!</v>
      </c>
      <c r="O827" t="e">
        <f>IF(tblPassengerNames[[#This Row],[P_NSpaces]] = 0,
    tblPassengerNames[[#This Row],[InParenthesesCleaned]],
    LEFT(tblPassengerNames[[#This Row],[InParenthesesCleaned]], tblPassengerNames[[#This Row],[P_FinalSpacePos]] - 1)
)</f>
        <v>#VALUE!</v>
      </c>
      <c r="P827" t="str">
        <f>IFERROR(tblPassengerNames[[#This Row],[P_Forenames]], tblPassengerNames[[#This Row],[ConvForenames]])</f>
        <v>Manuel Estanslas</v>
      </c>
      <c r="Q827" t="str">
        <f>MID(tblPassengerNames[[#This Row],[Name]], tblPassengerNames[[#This Row],[CommaPos]] + 2, tblPassengerNames[[#This Row],[DotPos]] - tblPassengerNames[[#This Row],[CommaPos]] - 1)</f>
        <v>Mr.</v>
      </c>
      <c r="R827" t="str">
        <f>LEFT(tblPassengerNames[[#This Row],[Name]], tblPassengerNames[[#This Row],[CommaPos]] - 1)</f>
        <v>Goncalves</v>
      </c>
    </row>
    <row r="828" spans="2:18" x14ac:dyDescent="0.25">
      <c r="B828" s="21">
        <v>826</v>
      </c>
      <c r="C828" s="21" t="s">
        <v>961</v>
      </c>
      <c r="D828" s="21" t="s">
        <v>138</v>
      </c>
      <c r="E828">
        <f>FIND(",", tblPassengerNames[[#This Row],[Name]])</f>
        <v>8</v>
      </c>
      <c r="F828">
        <f>FIND(".", tblPassengerNames[[#This Row],[Name]])</f>
        <v>16</v>
      </c>
      <c r="G828" t="e">
        <f>FIND("(", tblPassengerNames[[#This Row],[Name]])</f>
        <v>#VALUE!</v>
      </c>
      <c r="H828" t="e">
        <f>FIND(")", tblPassengerNames[[#This Row],[Name]])</f>
        <v>#VALUE!</v>
      </c>
      <c r="I828">
        <f>IFERROR(tblPassengerNames[[#This Row],[OpenParPos]] - 2, LEN(tblPassengerNames[[#This Row],[Name]]))</f>
        <v>30</v>
      </c>
      <c r="J828" t="str">
        <f>MID(tblPassengerNames[[#This Row],[Name]], tblPassengerNames[[#This Row],[DotPos]] + 2, tblPassengerNames[[#This Row],[EndOfConvFNPos]] - tblPassengerNames[[#This Row],[DotPos]] - 1)</f>
        <v>Harold Victor</v>
      </c>
      <c r="K828" t="e">
        <f>MID(tblPassengerNames[[#This Row],[Name]], tblPassengerNames[[#This Row],[OpenParPos]] + 1, tblPassengerNames[[#This Row],[CloseParPos]] - tblPassengerNames[[#This Row],[OpenParPos]] - 1)</f>
        <v>#VALUE!</v>
      </c>
      <c r="L828" t="e">
        <f>IF(AND(LEFT(tblPassengerNames[[#This Row],[InParentheses]], 1) = "'", RIGHT(tblPassengerNames[[#This Row],[InParentheses]], 1) = "'"),
    #VALUE!,
    tblPassengerNames[[#This Row],[InParentheses]]
)</f>
        <v>#VALUE!</v>
      </c>
      <c r="M828" t="e">
        <f>LEN(tblPassengerNames[[#This Row],[InParenthesesCleaned]]) - LEN(SUBSTITUTE(tblPassengerNames[[#This Row],[InParenthesesCleaned]], " ", ""))</f>
        <v>#VALUE!</v>
      </c>
      <c r="N828" t="e">
        <f>FIND("@", SUBSTITUTE(tblPassengerNames[[#This Row],[InParenthesesCleaned]], " ", "@", tblPassengerNames[[#This Row],[P_NSpaces]]))</f>
        <v>#VALUE!</v>
      </c>
      <c r="O828" t="e">
        <f>IF(tblPassengerNames[[#This Row],[P_NSpaces]] = 0,
    tblPassengerNames[[#This Row],[InParenthesesCleaned]],
    LEFT(tblPassengerNames[[#This Row],[InParenthesesCleaned]], tblPassengerNames[[#This Row],[P_FinalSpacePos]] - 1)
)</f>
        <v>#VALUE!</v>
      </c>
      <c r="P828" t="str">
        <f>IFERROR(tblPassengerNames[[#This Row],[P_Forenames]], tblPassengerNames[[#This Row],[ConvForenames]])</f>
        <v>Harold Victor</v>
      </c>
      <c r="Q828" t="str">
        <f>MID(tblPassengerNames[[#This Row],[Name]], tblPassengerNames[[#This Row],[CommaPos]] + 2, tblPassengerNames[[#This Row],[DotPos]] - tblPassengerNames[[#This Row],[CommaPos]] - 1)</f>
        <v>Master.</v>
      </c>
      <c r="R828" t="str">
        <f>LEFT(tblPassengerNames[[#This Row],[Name]], tblPassengerNames[[#This Row],[CommaPos]] - 1)</f>
        <v>Goodwin</v>
      </c>
    </row>
    <row r="829" spans="2:18" x14ac:dyDescent="0.25">
      <c r="B829" s="21">
        <v>827</v>
      </c>
      <c r="C829" s="21" t="s">
        <v>962</v>
      </c>
      <c r="D829" s="21" t="s">
        <v>138</v>
      </c>
      <c r="E829">
        <f>FIND(",", tblPassengerNames[[#This Row],[Name]])</f>
        <v>8</v>
      </c>
      <c r="F829">
        <f>FIND(".", tblPassengerNames[[#This Row],[Name]])</f>
        <v>16</v>
      </c>
      <c r="G829" t="e">
        <f>FIND("(", tblPassengerNames[[#This Row],[Name]])</f>
        <v>#VALUE!</v>
      </c>
      <c r="H829" t="e">
        <f>FIND(")", tblPassengerNames[[#This Row],[Name]])</f>
        <v>#VALUE!</v>
      </c>
      <c r="I829">
        <f>IFERROR(tblPassengerNames[[#This Row],[OpenParPos]] - 2, LEN(tblPassengerNames[[#This Row],[Name]]))</f>
        <v>31</v>
      </c>
      <c r="J829" t="str">
        <f>MID(tblPassengerNames[[#This Row],[Name]], tblPassengerNames[[#This Row],[DotPos]] + 2, tblPassengerNames[[#This Row],[EndOfConvFNPos]] - tblPassengerNames[[#This Row],[DotPos]] - 1)</f>
        <v>Sidney Leonard</v>
      </c>
      <c r="K829" t="e">
        <f>MID(tblPassengerNames[[#This Row],[Name]], tblPassengerNames[[#This Row],[OpenParPos]] + 1, tblPassengerNames[[#This Row],[CloseParPos]] - tblPassengerNames[[#This Row],[OpenParPos]] - 1)</f>
        <v>#VALUE!</v>
      </c>
      <c r="L829" t="e">
        <f>IF(AND(LEFT(tblPassengerNames[[#This Row],[InParentheses]], 1) = "'", RIGHT(tblPassengerNames[[#This Row],[InParentheses]], 1) = "'"),
    #VALUE!,
    tblPassengerNames[[#This Row],[InParentheses]]
)</f>
        <v>#VALUE!</v>
      </c>
      <c r="M829" t="e">
        <f>LEN(tblPassengerNames[[#This Row],[InParenthesesCleaned]]) - LEN(SUBSTITUTE(tblPassengerNames[[#This Row],[InParenthesesCleaned]], " ", ""))</f>
        <v>#VALUE!</v>
      </c>
      <c r="N829" t="e">
        <f>FIND("@", SUBSTITUTE(tblPassengerNames[[#This Row],[InParenthesesCleaned]], " ", "@", tblPassengerNames[[#This Row],[P_NSpaces]]))</f>
        <v>#VALUE!</v>
      </c>
      <c r="O829" t="e">
        <f>IF(tblPassengerNames[[#This Row],[P_NSpaces]] = 0,
    tblPassengerNames[[#This Row],[InParenthesesCleaned]],
    LEFT(tblPassengerNames[[#This Row],[InParenthesesCleaned]], tblPassengerNames[[#This Row],[P_FinalSpacePos]] - 1)
)</f>
        <v>#VALUE!</v>
      </c>
      <c r="P829" t="str">
        <f>IFERROR(tblPassengerNames[[#This Row],[P_Forenames]], tblPassengerNames[[#This Row],[ConvForenames]])</f>
        <v>Sidney Leonard</v>
      </c>
      <c r="Q829" t="str">
        <f>MID(tblPassengerNames[[#This Row],[Name]], tblPassengerNames[[#This Row],[CommaPos]] + 2, tblPassengerNames[[#This Row],[DotPos]] - tblPassengerNames[[#This Row],[CommaPos]] - 1)</f>
        <v>Master.</v>
      </c>
      <c r="R829" t="str">
        <f>LEFT(tblPassengerNames[[#This Row],[Name]], tblPassengerNames[[#This Row],[CommaPos]] - 1)</f>
        <v>Goodwin</v>
      </c>
    </row>
    <row r="830" spans="2:18" x14ac:dyDescent="0.25">
      <c r="B830" s="21">
        <v>828</v>
      </c>
      <c r="C830" s="21" t="s">
        <v>963</v>
      </c>
      <c r="D830" s="21" t="s">
        <v>138</v>
      </c>
      <c r="E830">
        <f>FIND(",", tblPassengerNames[[#This Row],[Name]])</f>
        <v>8</v>
      </c>
      <c r="F830">
        <f>FIND(".", tblPassengerNames[[#This Row],[Name]])</f>
        <v>16</v>
      </c>
      <c r="G830" t="e">
        <f>FIND("(", tblPassengerNames[[#This Row],[Name]])</f>
        <v>#VALUE!</v>
      </c>
      <c r="H830" t="e">
        <f>FIND(")", tblPassengerNames[[#This Row],[Name]])</f>
        <v>#VALUE!</v>
      </c>
      <c r="I830">
        <f>IFERROR(tblPassengerNames[[#This Row],[OpenParPos]] - 2, LEN(tblPassengerNames[[#This Row],[Name]]))</f>
        <v>34</v>
      </c>
      <c r="J830" t="str">
        <f>MID(tblPassengerNames[[#This Row],[Name]], tblPassengerNames[[#This Row],[DotPos]] + 2, tblPassengerNames[[#This Row],[EndOfConvFNPos]] - tblPassengerNames[[#This Row],[DotPos]] - 1)</f>
        <v>William Frederick</v>
      </c>
      <c r="K830" t="e">
        <f>MID(tblPassengerNames[[#This Row],[Name]], tblPassengerNames[[#This Row],[OpenParPos]] + 1, tblPassengerNames[[#This Row],[CloseParPos]] - tblPassengerNames[[#This Row],[OpenParPos]] - 1)</f>
        <v>#VALUE!</v>
      </c>
      <c r="L830" t="e">
        <f>IF(AND(LEFT(tblPassengerNames[[#This Row],[InParentheses]], 1) = "'", RIGHT(tblPassengerNames[[#This Row],[InParentheses]], 1) = "'"),
    #VALUE!,
    tblPassengerNames[[#This Row],[InParentheses]]
)</f>
        <v>#VALUE!</v>
      </c>
      <c r="M830" t="e">
        <f>LEN(tblPassengerNames[[#This Row],[InParenthesesCleaned]]) - LEN(SUBSTITUTE(tblPassengerNames[[#This Row],[InParenthesesCleaned]], " ", ""))</f>
        <v>#VALUE!</v>
      </c>
      <c r="N830" t="e">
        <f>FIND("@", SUBSTITUTE(tblPassengerNames[[#This Row],[InParenthesesCleaned]], " ", "@", tblPassengerNames[[#This Row],[P_NSpaces]]))</f>
        <v>#VALUE!</v>
      </c>
      <c r="O830" t="e">
        <f>IF(tblPassengerNames[[#This Row],[P_NSpaces]] = 0,
    tblPassengerNames[[#This Row],[InParenthesesCleaned]],
    LEFT(tblPassengerNames[[#This Row],[InParenthesesCleaned]], tblPassengerNames[[#This Row],[P_FinalSpacePos]] - 1)
)</f>
        <v>#VALUE!</v>
      </c>
      <c r="P830" t="str">
        <f>IFERROR(tblPassengerNames[[#This Row],[P_Forenames]], tblPassengerNames[[#This Row],[ConvForenames]])</f>
        <v>William Frederick</v>
      </c>
      <c r="Q830" t="str">
        <f>MID(tblPassengerNames[[#This Row],[Name]], tblPassengerNames[[#This Row],[CommaPos]] + 2, tblPassengerNames[[#This Row],[DotPos]] - tblPassengerNames[[#This Row],[CommaPos]] - 1)</f>
        <v>Master.</v>
      </c>
      <c r="R830" t="str">
        <f>LEFT(tblPassengerNames[[#This Row],[Name]], tblPassengerNames[[#This Row],[CommaPos]] - 1)</f>
        <v>Goodwin</v>
      </c>
    </row>
    <row r="831" spans="2:18" x14ac:dyDescent="0.25">
      <c r="B831" s="21">
        <v>829</v>
      </c>
      <c r="C831" s="21" t="s">
        <v>964</v>
      </c>
      <c r="D831" s="21" t="s">
        <v>136</v>
      </c>
      <c r="E831">
        <f>FIND(",", tblPassengerNames[[#This Row],[Name]])</f>
        <v>8</v>
      </c>
      <c r="F831">
        <f>FIND(".", tblPassengerNames[[#This Row],[Name]])</f>
        <v>14</v>
      </c>
      <c r="G831" t="e">
        <f>FIND("(", tblPassengerNames[[#This Row],[Name]])</f>
        <v>#VALUE!</v>
      </c>
      <c r="H831" t="e">
        <f>FIND(")", tblPassengerNames[[#This Row],[Name]])</f>
        <v>#VALUE!</v>
      </c>
      <c r="I831">
        <f>IFERROR(tblPassengerNames[[#This Row],[OpenParPos]] - 2, LEN(tblPassengerNames[[#This Row],[Name]]))</f>
        <v>27</v>
      </c>
      <c r="J831" t="str">
        <f>MID(tblPassengerNames[[#This Row],[Name]], tblPassengerNames[[#This Row],[DotPos]] + 2, tblPassengerNames[[#This Row],[EndOfConvFNPos]] - tblPassengerNames[[#This Row],[DotPos]] - 1)</f>
        <v>Jessie Allis</v>
      </c>
      <c r="K831" t="e">
        <f>MID(tblPassengerNames[[#This Row],[Name]], tblPassengerNames[[#This Row],[OpenParPos]] + 1, tblPassengerNames[[#This Row],[CloseParPos]] - tblPassengerNames[[#This Row],[OpenParPos]] - 1)</f>
        <v>#VALUE!</v>
      </c>
      <c r="L831" t="e">
        <f>IF(AND(LEFT(tblPassengerNames[[#This Row],[InParentheses]], 1) = "'", RIGHT(tblPassengerNames[[#This Row],[InParentheses]], 1) = "'"),
    #VALUE!,
    tblPassengerNames[[#This Row],[InParentheses]]
)</f>
        <v>#VALUE!</v>
      </c>
      <c r="M831" t="e">
        <f>LEN(tblPassengerNames[[#This Row],[InParenthesesCleaned]]) - LEN(SUBSTITUTE(tblPassengerNames[[#This Row],[InParenthesesCleaned]], " ", ""))</f>
        <v>#VALUE!</v>
      </c>
      <c r="N831" t="e">
        <f>FIND("@", SUBSTITUTE(tblPassengerNames[[#This Row],[InParenthesesCleaned]], " ", "@", tblPassengerNames[[#This Row],[P_NSpaces]]))</f>
        <v>#VALUE!</v>
      </c>
      <c r="O831" t="e">
        <f>IF(tblPassengerNames[[#This Row],[P_NSpaces]] = 0,
    tblPassengerNames[[#This Row],[InParenthesesCleaned]],
    LEFT(tblPassengerNames[[#This Row],[InParenthesesCleaned]], tblPassengerNames[[#This Row],[P_FinalSpacePos]] - 1)
)</f>
        <v>#VALUE!</v>
      </c>
      <c r="P831" t="str">
        <f>IFERROR(tblPassengerNames[[#This Row],[P_Forenames]], tblPassengerNames[[#This Row],[ConvForenames]])</f>
        <v>Jessie Allis</v>
      </c>
      <c r="Q831" t="str">
        <f>MID(tblPassengerNames[[#This Row],[Name]], tblPassengerNames[[#This Row],[CommaPos]] + 2, tblPassengerNames[[#This Row],[DotPos]] - tblPassengerNames[[#This Row],[CommaPos]] - 1)</f>
        <v>Miss.</v>
      </c>
      <c r="R831" t="str">
        <f>LEFT(tblPassengerNames[[#This Row],[Name]], tblPassengerNames[[#This Row],[CommaPos]] - 1)</f>
        <v>Goodwin</v>
      </c>
    </row>
    <row r="832" spans="2:18" x14ac:dyDescent="0.25">
      <c r="B832" s="21">
        <v>830</v>
      </c>
      <c r="C832" s="21" t="s">
        <v>965</v>
      </c>
      <c r="D832" s="21" t="s">
        <v>136</v>
      </c>
      <c r="E832">
        <f>FIND(",", tblPassengerNames[[#This Row],[Name]])</f>
        <v>8</v>
      </c>
      <c r="F832">
        <f>FIND(".", tblPassengerNames[[#This Row],[Name]])</f>
        <v>14</v>
      </c>
      <c r="G832" t="e">
        <f>FIND("(", tblPassengerNames[[#This Row],[Name]])</f>
        <v>#VALUE!</v>
      </c>
      <c r="H832" t="e">
        <f>FIND(")", tblPassengerNames[[#This Row],[Name]])</f>
        <v>#VALUE!</v>
      </c>
      <c r="I832">
        <f>IFERROR(tblPassengerNames[[#This Row],[OpenParPos]] - 2, LEN(tblPassengerNames[[#This Row],[Name]]))</f>
        <v>26</v>
      </c>
      <c r="J832" t="str">
        <f>MID(tblPassengerNames[[#This Row],[Name]], tblPassengerNames[[#This Row],[DotPos]] + 2, tblPassengerNames[[#This Row],[EndOfConvFNPos]] - tblPassengerNames[[#This Row],[DotPos]] - 1)</f>
        <v>Lillian Amy</v>
      </c>
      <c r="K832" t="e">
        <f>MID(tblPassengerNames[[#This Row],[Name]], tblPassengerNames[[#This Row],[OpenParPos]] + 1, tblPassengerNames[[#This Row],[CloseParPos]] - tblPassengerNames[[#This Row],[OpenParPos]] - 1)</f>
        <v>#VALUE!</v>
      </c>
      <c r="L832" t="e">
        <f>IF(AND(LEFT(tblPassengerNames[[#This Row],[InParentheses]], 1) = "'", RIGHT(tblPassengerNames[[#This Row],[InParentheses]], 1) = "'"),
    #VALUE!,
    tblPassengerNames[[#This Row],[InParentheses]]
)</f>
        <v>#VALUE!</v>
      </c>
      <c r="M832" t="e">
        <f>LEN(tblPassengerNames[[#This Row],[InParenthesesCleaned]]) - LEN(SUBSTITUTE(tblPassengerNames[[#This Row],[InParenthesesCleaned]], " ", ""))</f>
        <v>#VALUE!</v>
      </c>
      <c r="N832" t="e">
        <f>FIND("@", SUBSTITUTE(tblPassengerNames[[#This Row],[InParenthesesCleaned]], " ", "@", tblPassengerNames[[#This Row],[P_NSpaces]]))</f>
        <v>#VALUE!</v>
      </c>
      <c r="O832" t="e">
        <f>IF(tblPassengerNames[[#This Row],[P_NSpaces]] = 0,
    tblPassengerNames[[#This Row],[InParenthesesCleaned]],
    LEFT(tblPassengerNames[[#This Row],[InParenthesesCleaned]], tblPassengerNames[[#This Row],[P_FinalSpacePos]] - 1)
)</f>
        <v>#VALUE!</v>
      </c>
      <c r="P832" t="str">
        <f>IFERROR(tblPassengerNames[[#This Row],[P_Forenames]], tblPassengerNames[[#This Row],[ConvForenames]])</f>
        <v>Lillian Amy</v>
      </c>
      <c r="Q832" t="str">
        <f>MID(tblPassengerNames[[#This Row],[Name]], tblPassengerNames[[#This Row],[CommaPos]] + 2, tblPassengerNames[[#This Row],[DotPos]] - tblPassengerNames[[#This Row],[CommaPos]] - 1)</f>
        <v>Miss.</v>
      </c>
      <c r="R832" t="str">
        <f>LEFT(tblPassengerNames[[#This Row],[Name]], tblPassengerNames[[#This Row],[CommaPos]] - 1)</f>
        <v>Goodwin</v>
      </c>
    </row>
    <row r="833" spans="2:18" x14ac:dyDescent="0.25">
      <c r="B833" s="21">
        <v>831</v>
      </c>
      <c r="C833" s="21" t="s">
        <v>966</v>
      </c>
      <c r="D833" s="21" t="s">
        <v>138</v>
      </c>
      <c r="E833">
        <f>FIND(",", tblPassengerNames[[#This Row],[Name]])</f>
        <v>8</v>
      </c>
      <c r="F833">
        <f>FIND(".", tblPassengerNames[[#This Row],[Name]])</f>
        <v>12</v>
      </c>
      <c r="G833" t="e">
        <f>FIND("(", tblPassengerNames[[#This Row],[Name]])</f>
        <v>#VALUE!</v>
      </c>
      <c r="H833" t="e">
        <f>FIND(")", tblPassengerNames[[#This Row],[Name]])</f>
        <v>#VALUE!</v>
      </c>
      <c r="I833">
        <f>IFERROR(tblPassengerNames[[#This Row],[OpenParPos]] - 2, LEN(tblPassengerNames[[#This Row],[Name]]))</f>
        <v>27</v>
      </c>
      <c r="J833" t="str">
        <f>MID(tblPassengerNames[[#This Row],[Name]], tblPassengerNames[[#This Row],[DotPos]] + 2, tblPassengerNames[[#This Row],[EndOfConvFNPos]] - tblPassengerNames[[#This Row],[DotPos]] - 1)</f>
        <v>Charles Edward</v>
      </c>
      <c r="K833" t="e">
        <f>MID(tblPassengerNames[[#This Row],[Name]], tblPassengerNames[[#This Row],[OpenParPos]] + 1, tblPassengerNames[[#This Row],[CloseParPos]] - tblPassengerNames[[#This Row],[OpenParPos]] - 1)</f>
        <v>#VALUE!</v>
      </c>
      <c r="L833" t="e">
        <f>IF(AND(LEFT(tblPassengerNames[[#This Row],[InParentheses]], 1) = "'", RIGHT(tblPassengerNames[[#This Row],[InParentheses]], 1) = "'"),
    #VALUE!,
    tblPassengerNames[[#This Row],[InParentheses]]
)</f>
        <v>#VALUE!</v>
      </c>
      <c r="M833" t="e">
        <f>LEN(tblPassengerNames[[#This Row],[InParenthesesCleaned]]) - LEN(SUBSTITUTE(tblPassengerNames[[#This Row],[InParenthesesCleaned]], " ", ""))</f>
        <v>#VALUE!</v>
      </c>
      <c r="N833" t="e">
        <f>FIND("@", SUBSTITUTE(tblPassengerNames[[#This Row],[InParenthesesCleaned]], " ", "@", tblPassengerNames[[#This Row],[P_NSpaces]]))</f>
        <v>#VALUE!</v>
      </c>
      <c r="O833" t="e">
        <f>IF(tblPassengerNames[[#This Row],[P_NSpaces]] = 0,
    tblPassengerNames[[#This Row],[InParenthesesCleaned]],
    LEFT(tblPassengerNames[[#This Row],[InParenthesesCleaned]], tblPassengerNames[[#This Row],[P_FinalSpacePos]] - 1)
)</f>
        <v>#VALUE!</v>
      </c>
      <c r="P833" t="str">
        <f>IFERROR(tblPassengerNames[[#This Row],[P_Forenames]], tblPassengerNames[[#This Row],[ConvForenames]])</f>
        <v>Charles Edward</v>
      </c>
      <c r="Q833" t="str">
        <f>MID(tblPassengerNames[[#This Row],[Name]], tblPassengerNames[[#This Row],[CommaPos]] + 2, tblPassengerNames[[#This Row],[DotPos]] - tblPassengerNames[[#This Row],[CommaPos]] - 1)</f>
        <v>Mr.</v>
      </c>
      <c r="R833" t="str">
        <f>LEFT(tblPassengerNames[[#This Row],[Name]], tblPassengerNames[[#This Row],[CommaPos]] - 1)</f>
        <v>Goodwin</v>
      </c>
    </row>
    <row r="834" spans="2:18" x14ac:dyDescent="0.25">
      <c r="B834" s="21">
        <v>832</v>
      </c>
      <c r="C834" s="21" t="s">
        <v>967</v>
      </c>
      <c r="D834" s="21" t="s">
        <v>138</v>
      </c>
      <c r="E834">
        <f>FIND(",", tblPassengerNames[[#This Row],[Name]])</f>
        <v>8</v>
      </c>
      <c r="F834">
        <f>FIND(".", tblPassengerNames[[#This Row],[Name]])</f>
        <v>12</v>
      </c>
      <c r="G834" t="e">
        <f>FIND("(", tblPassengerNames[[#This Row],[Name]])</f>
        <v>#VALUE!</v>
      </c>
      <c r="H834" t="e">
        <f>FIND(")", tblPassengerNames[[#This Row],[Name]])</f>
        <v>#VALUE!</v>
      </c>
      <c r="I834">
        <f>IFERROR(tblPassengerNames[[#This Row],[OpenParPos]] - 2, LEN(tblPassengerNames[[#This Row],[Name]]))</f>
        <v>30</v>
      </c>
      <c r="J834" t="str">
        <f>MID(tblPassengerNames[[#This Row],[Name]], tblPassengerNames[[#This Row],[DotPos]] + 2, tblPassengerNames[[#This Row],[EndOfConvFNPos]] - tblPassengerNames[[#This Row],[DotPos]] - 1)</f>
        <v>Charles Frederick</v>
      </c>
      <c r="K834" t="e">
        <f>MID(tblPassengerNames[[#This Row],[Name]], tblPassengerNames[[#This Row],[OpenParPos]] + 1, tblPassengerNames[[#This Row],[CloseParPos]] - tblPassengerNames[[#This Row],[OpenParPos]] - 1)</f>
        <v>#VALUE!</v>
      </c>
      <c r="L834" t="e">
        <f>IF(AND(LEFT(tblPassengerNames[[#This Row],[InParentheses]], 1) = "'", RIGHT(tblPassengerNames[[#This Row],[InParentheses]], 1) = "'"),
    #VALUE!,
    tblPassengerNames[[#This Row],[InParentheses]]
)</f>
        <v>#VALUE!</v>
      </c>
      <c r="M834" t="e">
        <f>LEN(tblPassengerNames[[#This Row],[InParenthesesCleaned]]) - LEN(SUBSTITUTE(tblPassengerNames[[#This Row],[InParenthesesCleaned]], " ", ""))</f>
        <v>#VALUE!</v>
      </c>
      <c r="N834" t="e">
        <f>FIND("@", SUBSTITUTE(tblPassengerNames[[#This Row],[InParenthesesCleaned]], " ", "@", tblPassengerNames[[#This Row],[P_NSpaces]]))</f>
        <v>#VALUE!</v>
      </c>
      <c r="O834" t="e">
        <f>IF(tblPassengerNames[[#This Row],[P_NSpaces]] = 0,
    tblPassengerNames[[#This Row],[InParenthesesCleaned]],
    LEFT(tblPassengerNames[[#This Row],[InParenthesesCleaned]], tblPassengerNames[[#This Row],[P_FinalSpacePos]] - 1)
)</f>
        <v>#VALUE!</v>
      </c>
      <c r="P834" t="str">
        <f>IFERROR(tblPassengerNames[[#This Row],[P_Forenames]], tblPassengerNames[[#This Row],[ConvForenames]])</f>
        <v>Charles Frederick</v>
      </c>
      <c r="Q834" t="str">
        <f>MID(tblPassengerNames[[#This Row],[Name]], tblPassengerNames[[#This Row],[CommaPos]] + 2, tblPassengerNames[[#This Row],[DotPos]] - tblPassengerNames[[#This Row],[CommaPos]] - 1)</f>
        <v>Mr.</v>
      </c>
      <c r="R834" t="str">
        <f>LEFT(tblPassengerNames[[#This Row],[Name]], tblPassengerNames[[#This Row],[CommaPos]] - 1)</f>
        <v>Goodwin</v>
      </c>
    </row>
    <row r="835" spans="2:18" x14ac:dyDescent="0.25">
      <c r="B835" s="21">
        <v>833</v>
      </c>
      <c r="C835" s="21" t="s">
        <v>968</v>
      </c>
      <c r="D835" s="21" t="s">
        <v>136</v>
      </c>
      <c r="E835">
        <f>FIND(",", tblPassengerNames[[#This Row],[Name]])</f>
        <v>8</v>
      </c>
      <c r="F835">
        <f>FIND(".", tblPassengerNames[[#This Row],[Name]])</f>
        <v>13</v>
      </c>
      <c r="G835">
        <f>FIND("(", tblPassengerNames[[#This Row],[Name]])</f>
        <v>25</v>
      </c>
      <c r="H835">
        <f>FIND(")", tblPassengerNames[[#This Row],[Name]])</f>
        <v>39</v>
      </c>
      <c r="I835">
        <f>IFERROR(tblPassengerNames[[#This Row],[OpenParPos]] - 2, LEN(tblPassengerNames[[#This Row],[Name]]))</f>
        <v>23</v>
      </c>
      <c r="J835" t="str">
        <f>MID(tblPassengerNames[[#This Row],[Name]], tblPassengerNames[[#This Row],[DotPos]] + 2, tblPassengerNames[[#This Row],[EndOfConvFNPos]] - tblPassengerNames[[#This Row],[DotPos]] - 1)</f>
        <v>Frederick</v>
      </c>
      <c r="K835" t="str">
        <f>MID(tblPassengerNames[[#This Row],[Name]], tblPassengerNames[[#This Row],[OpenParPos]] + 1, tblPassengerNames[[#This Row],[CloseParPos]] - tblPassengerNames[[#This Row],[OpenParPos]] - 1)</f>
        <v>Augusta Tyler</v>
      </c>
      <c r="L835" t="str">
        <f>IF(AND(LEFT(tblPassengerNames[[#This Row],[InParentheses]], 1) = "'", RIGHT(tblPassengerNames[[#This Row],[InParentheses]], 1) = "'"),
    #VALUE!,
    tblPassengerNames[[#This Row],[InParentheses]]
)</f>
        <v>Augusta Tyler</v>
      </c>
      <c r="M835">
        <f>LEN(tblPassengerNames[[#This Row],[InParenthesesCleaned]]) - LEN(SUBSTITUTE(tblPassengerNames[[#This Row],[InParenthesesCleaned]], " ", ""))</f>
        <v>1</v>
      </c>
      <c r="N835">
        <f>FIND("@", SUBSTITUTE(tblPassengerNames[[#This Row],[InParenthesesCleaned]], " ", "@", tblPassengerNames[[#This Row],[P_NSpaces]]))</f>
        <v>8</v>
      </c>
      <c r="O835" t="str">
        <f>IF(tblPassengerNames[[#This Row],[P_NSpaces]] = 0,
    tblPassengerNames[[#This Row],[InParenthesesCleaned]],
    LEFT(tblPassengerNames[[#This Row],[InParenthesesCleaned]], tblPassengerNames[[#This Row],[P_FinalSpacePos]] - 1)
)</f>
        <v>Augusta</v>
      </c>
      <c r="P835" t="str">
        <f>IFERROR(tblPassengerNames[[#This Row],[P_Forenames]], tblPassengerNames[[#This Row],[ConvForenames]])</f>
        <v>Augusta</v>
      </c>
      <c r="Q835" t="str">
        <f>MID(tblPassengerNames[[#This Row],[Name]], tblPassengerNames[[#This Row],[CommaPos]] + 2, tblPassengerNames[[#This Row],[DotPos]] - tblPassengerNames[[#This Row],[CommaPos]] - 1)</f>
        <v>Mrs.</v>
      </c>
      <c r="R835" t="str">
        <f>LEFT(tblPassengerNames[[#This Row],[Name]], tblPassengerNames[[#This Row],[CommaPos]] - 1)</f>
        <v>Goodwin</v>
      </c>
    </row>
    <row r="836" spans="2:18" x14ac:dyDescent="0.25">
      <c r="B836" s="21">
        <v>834</v>
      </c>
      <c r="C836" s="21" t="s">
        <v>969</v>
      </c>
      <c r="D836" s="21" t="s">
        <v>138</v>
      </c>
      <c r="E836">
        <f>FIND(",", tblPassengerNames[[#This Row],[Name]])</f>
        <v>6</v>
      </c>
      <c r="F836">
        <f>FIND(".", tblPassengerNames[[#This Row],[Name]])</f>
        <v>10</v>
      </c>
      <c r="G836" t="e">
        <f>FIND("(", tblPassengerNames[[#This Row],[Name]])</f>
        <v>#VALUE!</v>
      </c>
      <c r="H836" t="e">
        <f>FIND(")", tblPassengerNames[[#This Row],[Name]])</f>
        <v>#VALUE!</v>
      </c>
      <c r="I836">
        <f>IFERROR(tblPassengerNames[[#This Row],[OpenParPos]] - 2, LEN(tblPassengerNames[[#This Row],[Name]]))</f>
        <v>23</v>
      </c>
      <c r="J836" t="str">
        <f>MID(tblPassengerNames[[#This Row],[Name]], tblPassengerNames[[#This Row],[DotPos]] + 2, tblPassengerNames[[#This Row],[EndOfConvFNPos]] - tblPassengerNames[[#This Row],[DotPos]] - 1)</f>
        <v>George Henry</v>
      </c>
      <c r="K836" t="e">
        <f>MID(tblPassengerNames[[#This Row],[Name]], tblPassengerNames[[#This Row],[OpenParPos]] + 1, tblPassengerNames[[#This Row],[CloseParPos]] - tblPassengerNames[[#This Row],[OpenParPos]] - 1)</f>
        <v>#VALUE!</v>
      </c>
      <c r="L836" t="e">
        <f>IF(AND(LEFT(tblPassengerNames[[#This Row],[InParentheses]], 1) = "'", RIGHT(tblPassengerNames[[#This Row],[InParentheses]], 1) = "'"),
    #VALUE!,
    tblPassengerNames[[#This Row],[InParentheses]]
)</f>
        <v>#VALUE!</v>
      </c>
      <c r="M836" t="e">
        <f>LEN(tblPassengerNames[[#This Row],[InParenthesesCleaned]]) - LEN(SUBSTITUTE(tblPassengerNames[[#This Row],[InParenthesesCleaned]], " ", ""))</f>
        <v>#VALUE!</v>
      </c>
      <c r="N836" t="e">
        <f>FIND("@", SUBSTITUTE(tblPassengerNames[[#This Row],[InParenthesesCleaned]], " ", "@", tblPassengerNames[[#This Row],[P_NSpaces]]))</f>
        <v>#VALUE!</v>
      </c>
      <c r="O836" t="e">
        <f>IF(tblPassengerNames[[#This Row],[P_NSpaces]] = 0,
    tblPassengerNames[[#This Row],[InParenthesesCleaned]],
    LEFT(tblPassengerNames[[#This Row],[InParenthesesCleaned]], tblPassengerNames[[#This Row],[P_FinalSpacePos]] - 1)
)</f>
        <v>#VALUE!</v>
      </c>
      <c r="P836" t="str">
        <f>IFERROR(tblPassengerNames[[#This Row],[P_Forenames]], tblPassengerNames[[#This Row],[ConvForenames]])</f>
        <v>George Henry</v>
      </c>
      <c r="Q836" t="str">
        <f>MID(tblPassengerNames[[#This Row],[Name]], tblPassengerNames[[#This Row],[CommaPos]] + 2, tblPassengerNames[[#This Row],[DotPos]] - tblPassengerNames[[#This Row],[CommaPos]] - 1)</f>
        <v>Mr.</v>
      </c>
      <c r="R836" t="str">
        <f>LEFT(tblPassengerNames[[#This Row],[Name]], tblPassengerNames[[#This Row],[CommaPos]] - 1)</f>
        <v>Green</v>
      </c>
    </row>
    <row r="837" spans="2:18" x14ac:dyDescent="0.25">
      <c r="B837" s="21">
        <v>835</v>
      </c>
      <c r="C837" s="21" t="s">
        <v>970</v>
      </c>
      <c r="D837" s="21" t="s">
        <v>138</v>
      </c>
      <c r="E837">
        <f>FIND(",", tblPassengerNames[[#This Row],[Name]])</f>
        <v>11</v>
      </c>
      <c r="F837">
        <f>FIND(".", tblPassengerNames[[#This Row],[Name]])</f>
        <v>15</v>
      </c>
      <c r="G837" t="e">
        <f>FIND("(", tblPassengerNames[[#This Row],[Name]])</f>
        <v>#VALUE!</v>
      </c>
      <c r="H837" t="e">
        <f>FIND(")", tblPassengerNames[[#This Row],[Name]])</f>
        <v>#VALUE!</v>
      </c>
      <c r="I837">
        <f>IFERROR(tblPassengerNames[[#This Row],[OpenParPos]] - 2, LEN(tblPassengerNames[[#This Row],[Name]]))</f>
        <v>32</v>
      </c>
      <c r="J837" t="str">
        <f>MID(tblPassengerNames[[#This Row],[Name]], tblPassengerNames[[#This Row],[DotPos]] + 2, tblPassengerNames[[#This Row],[EndOfConvFNPos]] - tblPassengerNames[[#This Row],[DotPos]] - 1)</f>
        <v>Daniel Danielsen</v>
      </c>
      <c r="K837" t="e">
        <f>MID(tblPassengerNames[[#This Row],[Name]], tblPassengerNames[[#This Row],[OpenParPos]] + 1, tblPassengerNames[[#This Row],[CloseParPos]] - tblPassengerNames[[#This Row],[OpenParPos]] - 1)</f>
        <v>#VALUE!</v>
      </c>
      <c r="L837" t="e">
        <f>IF(AND(LEFT(tblPassengerNames[[#This Row],[InParentheses]], 1) = "'", RIGHT(tblPassengerNames[[#This Row],[InParentheses]], 1) = "'"),
    #VALUE!,
    tblPassengerNames[[#This Row],[InParentheses]]
)</f>
        <v>#VALUE!</v>
      </c>
      <c r="M837" t="e">
        <f>LEN(tblPassengerNames[[#This Row],[InParenthesesCleaned]]) - LEN(SUBSTITUTE(tblPassengerNames[[#This Row],[InParenthesesCleaned]], " ", ""))</f>
        <v>#VALUE!</v>
      </c>
      <c r="N837" t="e">
        <f>FIND("@", SUBSTITUTE(tblPassengerNames[[#This Row],[InParenthesesCleaned]], " ", "@", tblPassengerNames[[#This Row],[P_NSpaces]]))</f>
        <v>#VALUE!</v>
      </c>
      <c r="O837" t="e">
        <f>IF(tblPassengerNames[[#This Row],[P_NSpaces]] = 0,
    tblPassengerNames[[#This Row],[InParenthesesCleaned]],
    LEFT(tblPassengerNames[[#This Row],[InParenthesesCleaned]], tblPassengerNames[[#This Row],[P_FinalSpacePos]] - 1)
)</f>
        <v>#VALUE!</v>
      </c>
      <c r="P837" t="str">
        <f>IFERROR(tblPassengerNames[[#This Row],[P_Forenames]], tblPassengerNames[[#This Row],[ConvForenames]])</f>
        <v>Daniel Danielsen</v>
      </c>
      <c r="Q837" t="str">
        <f>MID(tblPassengerNames[[#This Row],[Name]], tblPassengerNames[[#This Row],[CommaPos]] + 2, tblPassengerNames[[#This Row],[DotPos]] - tblPassengerNames[[#This Row],[CommaPos]] - 1)</f>
        <v>Mr.</v>
      </c>
      <c r="R837" t="str">
        <f>LEFT(tblPassengerNames[[#This Row],[Name]], tblPassengerNames[[#This Row],[CommaPos]] - 1)</f>
        <v>Gronnestad</v>
      </c>
    </row>
    <row r="838" spans="2:18" x14ac:dyDescent="0.25">
      <c r="B838" s="21">
        <v>836</v>
      </c>
      <c r="C838" s="21" t="s">
        <v>971</v>
      </c>
      <c r="D838" s="21" t="s">
        <v>138</v>
      </c>
      <c r="E838">
        <f>FIND(",", tblPassengerNames[[#This Row],[Name]])</f>
        <v>6</v>
      </c>
      <c r="F838">
        <f>FIND(".", tblPassengerNames[[#This Row],[Name]])</f>
        <v>10</v>
      </c>
      <c r="G838" t="e">
        <f>FIND("(", tblPassengerNames[[#This Row],[Name]])</f>
        <v>#VALUE!</v>
      </c>
      <c r="H838" t="e">
        <f>FIND(")", tblPassengerNames[[#This Row],[Name]])</f>
        <v>#VALUE!</v>
      </c>
      <c r="I838">
        <f>IFERROR(tblPassengerNames[[#This Row],[OpenParPos]] - 2, LEN(tblPassengerNames[[#This Row],[Name]]))</f>
        <v>17</v>
      </c>
      <c r="J838" t="str">
        <f>MID(tblPassengerNames[[#This Row],[Name]], tblPassengerNames[[#This Row],[DotPos]] + 2, tblPassengerNames[[#This Row],[EndOfConvFNPos]] - tblPassengerNames[[#This Row],[DotPos]] - 1)</f>
        <v>Robert</v>
      </c>
      <c r="K838" t="e">
        <f>MID(tblPassengerNames[[#This Row],[Name]], tblPassengerNames[[#This Row],[OpenParPos]] + 1, tblPassengerNames[[#This Row],[CloseParPos]] - tblPassengerNames[[#This Row],[OpenParPos]] - 1)</f>
        <v>#VALUE!</v>
      </c>
      <c r="L838" t="e">
        <f>IF(AND(LEFT(tblPassengerNames[[#This Row],[InParentheses]], 1) = "'", RIGHT(tblPassengerNames[[#This Row],[InParentheses]], 1) = "'"),
    #VALUE!,
    tblPassengerNames[[#This Row],[InParentheses]]
)</f>
        <v>#VALUE!</v>
      </c>
      <c r="M838" t="e">
        <f>LEN(tblPassengerNames[[#This Row],[InParenthesesCleaned]]) - LEN(SUBSTITUTE(tblPassengerNames[[#This Row],[InParenthesesCleaned]], " ", ""))</f>
        <v>#VALUE!</v>
      </c>
      <c r="N838" t="e">
        <f>FIND("@", SUBSTITUTE(tblPassengerNames[[#This Row],[InParenthesesCleaned]], " ", "@", tblPassengerNames[[#This Row],[P_NSpaces]]))</f>
        <v>#VALUE!</v>
      </c>
      <c r="O838" t="e">
        <f>IF(tblPassengerNames[[#This Row],[P_NSpaces]] = 0,
    tblPassengerNames[[#This Row],[InParenthesesCleaned]],
    LEFT(tblPassengerNames[[#This Row],[InParenthesesCleaned]], tblPassengerNames[[#This Row],[P_FinalSpacePos]] - 1)
)</f>
        <v>#VALUE!</v>
      </c>
      <c r="P838" t="str">
        <f>IFERROR(tblPassengerNames[[#This Row],[P_Forenames]], tblPassengerNames[[#This Row],[ConvForenames]])</f>
        <v>Robert</v>
      </c>
      <c r="Q838" t="str">
        <f>MID(tblPassengerNames[[#This Row],[Name]], tblPassengerNames[[#This Row],[CommaPos]] + 2, tblPassengerNames[[#This Row],[DotPos]] - tblPassengerNames[[#This Row],[CommaPos]] - 1)</f>
        <v>Mr.</v>
      </c>
      <c r="R838" t="str">
        <f>LEFT(tblPassengerNames[[#This Row],[Name]], tblPassengerNames[[#This Row],[CommaPos]] - 1)</f>
        <v>Guest</v>
      </c>
    </row>
    <row r="839" spans="2:18" x14ac:dyDescent="0.25">
      <c r="B839" s="21">
        <v>837</v>
      </c>
      <c r="C839" s="21" t="s">
        <v>972</v>
      </c>
      <c r="D839" s="21" t="s">
        <v>138</v>
      </c>
      <c r="E839">
        <f>FIND(",", tblPassengerNames[[#This Row],[Name]])</f>
        <v>11</v>
      </c>
      <c r="F839">
        <f>FIND(".", tblPassengerNames[[#This Row],[Name]])</f>
        <v>15</v>
      </c>
      <c r="G839" t="e">
        <f>FIND("(", tblPassengerNames[[#This Row],[Name]])</f>
        <v>#VALUE!</v>
      </c>
      <c r="H839" t="e">
        <f>FIND(")", tblPassengerNames[[#This Row],[Name]])</f>
        <v>#VALUE!</v>
      </c>
      <c r="I839">
        <f>IFERROR(tblPassengerNames[[#This Row],[OpenParPos]] - 2, LEN(tblPassengerNames[[#This Row],[Name]]))</f>
        <v>29</v>
      </c>
      <c r="J839" t="str">
        <f>MID(tblPassengerNames[[#This Row],[Name]], tblPassengerNames[[#This Row],[DotPos]] + 2, tblPassengerNames[[#This Row],[EndOfConvFNPos]] - tblPassengerNames[[#This Row],[DotPos]] - 1)</f>
        <v>Alfred Ossian</v>
      </c>
      <c r="K839" t="e">
        <f>MID(tblPassengerNames[[#This Row],[Name]], tblPassengerNames[[#This Row],[OpenParPos]] + 1, tblPassengerNames[[#This Row],[CloseParPos]] - tblPassengerNames[[#This Row],[OpenParPos]] - 1)</f>
        <v>#VALUE!</v>
      </c>
      <c r="L839" t="e">
        <f>IF(AND(LEFT(tblPassengerNames[[#This Row],[InParentheses]], 1) = "'", RIGHT(tblPassengerNames[[#This Row],[InParentheses]], 1) = "'"),
    #VALUE!,
    tblPassengerNames[[#This Row],[InParentheses]]
)</f>
        <v>#VALUE!</v>
      </c>
      <c r="M839" t="e">
        <f>LEN(tblPassengerNames[[#This Row],[InParenthesesCleaned]]) - LEN(SUBSTITUTE(tblPassengerNames[[#This Row],[InParenthesesCleaned]], " ", ""))</f>
        <v>#VALUE!</v>
      </c>
      <c r="N839" t="e">
        <f>FIND("@", SUBSTITUTE(tblPassengerNames[[#This Row],[InParenthesesCleaned]], " ", "@", tblPassengerNames[[#This Row],[P_NSpaces]]))</f>
        <v>#VALUE!</v>
      </c>
      <c r="O839" t="e">
        <f>IF(tblPassengerNames[[#This Row],[P_NSpaces]] = 0,
    tblPassengerNames[[#This Row],[InParenthesesCleaned]],
    LEFT(tblPassengerNames[[#This Row],[InParenthesesCleaned]], tblPassengerNames[[#This Row],[P_FinalSpacePos]] - 1)
)</f>
        <v>#VALUE!</v>
      </c>
      <c r="P839" t="str">
        <f>IFERROR(tblPassengerNames[[#This Row],[P_Forenames]], tblPassengerNames[[#This Row],[ConvForenames]])</f>
        <v>Alfred Ossian</v>
      </c>
      <c r="Q839" t="str">
        <f>MID(tblPassengerNames[[#This Row],[Name]], tblPassengerNames[[#This Row],[CommaPos]] + 2, tblPassengerNames[[#This Row],[DotPos]] - tblPassengerNames[[#This Row],[CommaPos]] - 1)</f>
        <v>Mr.</v>
      </c>
      <c r="R839" t="str">
        <f>LEFT(tblPassengerNames[[#This Row],[Name]], tblPassengerNames[[#This Row],[CommaPos]] - 1)</f>
        <v>Gustafsson</v>
      </c>
    </row>
    <row r="840" spans="2:18" x14ac:dyDescent="0.25">
      <c r="B840" s="21">
        <v>838</v>
      </c>
      <c r="C840" s="21" t="s">
        <v>973</v>
      </c>
      <c r="D840" s="21" t="s">
        <v>138</v>
      </c>
      <c r="E840">
        <f>FIND(",", tblPassengerNames[[#This Row],[Name]])</f>
        <v>11</v>
      </c>
      <c r="F840">
        <f>FIND(".", tblPassengerNames[[#This Row],[Name]])</f>
        <v>15</v>
      </c>
      <c r="G840" t="e">
        <f>FIND("(", tblPassengerNames[[#This Row],[Name]])</f>
        <v>#VALUE!</v>
      </c>
      <c r="H840" t="e">
        <f>FIND(")", tblPassengerNames[[#This Row],[Name]])</f>
        <v>#VALUE!</v>
      </c>
      <c r="I840">
        <f>IFERROR(tblPassengerNames[[#This Row],[OpenParPos]] - 2, LEN(tblPassengerNames[[#This Row],[Name]]))</f>
        <v>30</v>
      </c>
      <c r="J840" t="str">
        <f>MID(tblPassengerNames[[#This Row],[Name]], tblPassengerNames[[#This Row],[DotPos]] + 2, tblPassengerNames[[#This Row],[EndOfConvFNPos]] - tblPassengerNames[[#This Row],[DotPos]] - 1)</f>
        <v>Anders Vilhelm</v>
      </c>
      <c r="K840" t="e">
        <f>MID(tblPassengerNames[[#This Row],[Name]], tblPassengerNames[[#This Row],[OpenParPos]] + 1, tblPassengerNames[[#This Row],[CloseParPos]] - tblPassengerNames[[#This Row],[OpenParPos]] - 1)</f>
        <v>#VALUE!</v>
      </c>
      <c r="L840" t="e">
        <f>IF(AND(LEFT(tblPassengerNames[[#This Row],[InParentheses]], 1) = "'", RIGHT(tblPassengerNames[[#This Row],[InParentheses]], 1) = "'"),
    #VALUE!,
    tblPassengerNames[[#This Row],[InParentheses]]
)</f>
        <v>#VALUE!</v>
      </c>
      <c r="M840" t="e">
        <f>LEN(tblPassengerNames[[#This Row],[InParenthesesCleaned]]) - LEN(SUBSTITUTE(tblPassengerNames[[#This Row],[InParenthesesCleaned]], " ", ""))</f>
        <v>#VALUE!</v>
      </c>
      <c r="N840" t="e">
        <f>FIND("@", SUBSTITUTE(tblPassengerNames[[#This Row],[InParenthesesCleaned]], " ", "@", tblPassengerNames[[#This Row],[P_NSpaces]]))</f>
        <v>#VALUE!</v>
      </c>
      <c r="O840" t="e">
        <f>IF(tblPassengerNames[[#This Row],[P_NSpaces]] = 0,
    tblPassengerNames[[#This Row],[InParenthesesCleaned]],
    LEFT(tblPassengerNames[[#This Row],[InParenthesesCleaned]], tblPassengerNames[[#This Row],[P_FinalSpacePos]] - 1)
)</f>
        <v>#VALUE!</v>
      </c>
      <c r="P840" t="str">
        <f>IFERROR(tblPassengerNames[[#This Row],[P_Forenames]], tblPassengerNames[[#This Row],[ConvForenames]])</f>
        <v>Anders Vilhelm</v>
      </c>
      <c r="Q840" t="str">
        <f>MID(tblPassengerNames[[#This Row],[Name]], tblPassengerNames[[#This Row],[CommaPos]] + 2, tblPassengerNames[[#This Row],[DotPos]] - tblPassengerNames[[#This Row],[CommaPos]] - 1)</f>
        <v>Mr.</v>
      </c>
      <c r="R840" t="str">
        <f>LEFT(tblPassengerNames[[#This Row],[Name]], tblPassengerNames[[#This Row],[CommaPos]] - 1)</f>
        <v>Gustafsson</v>
      </c>
    </row>
    <row r="841" spans="2:18" x14ac:dyDescent="0.25">
      <c r="B841" s="21">
        <v>839</v>
      </c>
      <c r="C841" s="21" t="s">
        <v>974</v>
      </c>
      <c r="D841" s="21" t="s">
        <v>138</v>
      </c>
      <c r="E841">
        <f>FIND(",", tblPassengerNames[[#This Row],[Name]])</f>
        <v>11</v>
      </c>
      <c r="F841">
        <f>FIND(".", tblPassengerNames[[#This Row],[Name]])</f>
        <v>15</v>
      </c>
      <c r="G841" t="e">
        <f>FIND("(", tblPassengerNames[[#This Row],[Name]])</f>
        <v>#VALUE!</v>
      </c>
      <c r="H841" t="e">
        <f>FIND(")", tblPassengerNames[[#This Row],[Name]])</f>
        <v>#VALUE!</v>
      </c>
      <c r="I841">
        <f>IFERROR(tblPassengerNames[[#This Row],[OpenParPos]] - 2, LEN(tblPassengerNames[[#This Row],[Name]]))</f>
        <v>28</v>
      </c>
      <c r="J841" t="str">
        <f>MID(tblPassengerNames[[#This Row],[Name]], tblPassengerNames[[#This Row],[DotPos]] + 2, tblPassengerNames[[#This Row],[EndOfConvFNPos]] - tblPassengerNames[[#This Row],[DotPos]] - 1)</f>
        <v>Johan Birger</v>
      </c>
      <c r="K841" t="e">
        <f>MID(tblPassengerNames[[#This Row],[Name]], tblPassengerNames[[#This Row],[OpenParPos]] + 1, tblPassengerNames[[#This Row],[CloseParPos]] - tblPassengerNames[[#This Row],[OpenParPos]] - 1)</f>
        <v>#VALUE!</v>
      </c>
      <c r="L841" t="e">
        <f>IF(AND(LEFT(tblPassengerNames[[#This Row],[InParentheses]], 1) = "'", RIGHT(tblPassengerNames[[#This Row],[InParentheses]], 1) = "'"),
    #VALUE!,
    tblPassengerNames[[#This Row],[InParentheses]]
)</f>
        <v>#VALUE!</v>
      </c>
      <c r="M841" t="e">
        <f>LEN(tblPassengerNames[[#This Row],[InParenthesesCleaned]]) - LEN(SUBSTITUTE(tblPassengerNames[[#This Row],[InParenthesesCleaned]], " ", ""))</f>
        <v>#VALUE!</v>
      </c>
      <c r="N841" t="e">
        <f>FIND("@", SUBSTITUTE(tblPassengerNames[[#This Row],[InParenthesesCleaned]], " ", "@", tblPassengerNames[[#This Row],[P_NSpaces]]))</f>
        <v>#VALUE!</v>
      </c>
      <c r="O841" t="e">
        <f>IF(tblPassengerNames[[#This Row],[P_NSpaces]] = 0,
    tblPassengerNames[[#This Row],[InParenthesesCleaned]],
    LEFT(tblPassengerNames[[#This Row],[InParenthesesCleaned]], tblPassengerNames[[#This Row],[P_FinalSpacePos]] - 1)
)</f>
        <v>#VALUE!</v>
      </c>
      <c r="P841" t="str">
        <f>IFERROR(tblPassengerNames[[#This Row],[P_Forenames]], tblPassengerNames[[#This Row],[ConvForenames]])</f>
        <v>Johan Birger</v>
      </c>
      <c r="Q841" t="str">
        <f>MID(tblPassengerNames[[#This Row],[Name]], tblPassengerNames[[#This Row],[CommaPos]] + 2, tblPassengerNames[[#This Row],[DotPos]] - tblPassengerNames[[#This Row],[CommaPos]] - 1)</f>
        <v>Mr.</v>
      </c>
      <c r="R841" t="str">
        <f>LEFT(tblPassengerNames[[#This Row],[Name]], tblPassengerNames[[#This Row],[CommaPos]] - 1)</f>
        <v>Gustafsson</v>
      </c>
    </row>
    <row r="842" spans="2:18" x14ac:dyDescent="0.25">
      <c r="B842" s="21">
        <v>840</v>
      </c>
      <c r="C842" s="21" t="s">
        <v>975</v>
      </c>
      <c r="D842" s="21" t="s">
        <v>138</v>
      </c>
      <c r="E842">
        <f>FIND(",", tblPassengerNames[[#This Row],[Name]])</f>
        <v>11</v>
      </c>
      <c r="F842">
        <f>FIND(".", tblPassengerNames[[#This Row],[Name]])</f>
        <v>15</v>
      </c>
      <c r="G842" t="e">
        <f>FIND("(", tblPassengerNames[[#This Row],[Name]])</f>
        <v>#VALUE!</v>
      </c>
      <c r="H842" t="e">
        <f>FIND(")", tblPassengerNames[[#This Row],[Name]])</f>
        <v>#VALUE!</v>
      </c>
      <c r="I842">
        <f>IFERROR(tblPassengerNames[[#This Row],[OpenParPos]] - 2, LEN(tblPassengerNames[[#This Row],[Name]]))</f>
        <v>27</v>
      </c>
      <c r="J842" t="str">
        <f>MID(tblPassengerNames[[#This Row],[Name]], tblPassengerNames[[#This Row],[DotPos]] + 2, tblPassengerNames[[#This Row],[EndOfConvFNPos]] - tblPassengerNames[[#This Row],[DotPos]] - 1)</f>
        <v>Karl Gideon</v>
      </c>
      <c r="K842" t="e">
        <f>MID(tblPassengerNames[[#This Row],[Name]], tblPassengerNames[[#This Row],[OpenParPos]] + 1, tblPassengerNames[[#This Row],[CloseParPos]] - tblPassengerNames[[#This Row],[OpenParPos]] - 1)</f>
        <v>#VALUE!</v>
      </c>
      <c r="L842" t="e">
        <f>IF(AND(LEFT(tblPassengerNames[[#This Row],[InParentheses]], 1) = "'", RIGHT(tblPassengerNames[[#This Row],[InParentheses]], 1) = "'"),
    #VALUE!,
    tblPassengerNames[[#This Row],[InParentheses]]
)</f>
        <v>#VALUE!</v>
      </c>
      <c r="M842" t="e">
        <f>LEN(tblPassengerNames[[#This Row],[InParenthesesCleaned]]) - LEN(SUBSTITUTE(tblPassengerNames[[#This Row],[InParenthesesCleaned]], " ", ""))</f>
        <v>#VALUE!</v>
      </c>
      <c r="N842" t="e">
        <f>FIND("@", SUBSTITUTE(tblPassengerNames[[#This Row],[InParenthesesCleaned]], " ", "@", tblPassengerNames[[#This Row],[P_NSpaces]]))</f>
        <v>#VALUE!</v>
      </c>
      <c r="O842" t="e">
        <f>IF(tblPassengerNames[[#This Row],[P_NSpaces]] = 0,
    tblPassengerNames[[#This Row],[InParenthesesCleaned]],
    LEFT(tblPassengerNames[[#This Row],[InParenthesesCleaned]], tblPassengerNames[[#This Row],[P_FinalSpacePos]] - 1)
)</f>
        <v>#VALUE!</v>
      </c>
      <c r="P842" t="str">
        <f>IFERROR(tblPassengerNames[[#This Row],[P_Forenames]], tblPassengerNames[[#This Row],[ConvForenames]])</f>
        <v>Karl Gideon</v>
      </c>
      <c r="Q842" t="str">
        <f>MID(tblPassengerNames[[#This Row],[Name]], tblPassengerNames[[#This Row],[CommaPos]] + 2, tblPassengerNames[[#This Row],[DotPos]] - tblPassengerNames[[#This Row],[CommaPos]] - 1)</f>
        <v>Mr.</v>
      </c>
      <c r="R842" t="str">
        <f>LEFT(tblPassengerNames[[#This Row],[Name]], tblPassengerNames[[#This Row],[CommaPos]] - 1)</f>
        <v>Gustafsson</v>
      </c>
    </row>
    <row r="843" spans="2:18" x14ac:dyDescent="0.25">
      <c r="B843" s="21">
        <v>841</v>
      </c>
      <c r="C843" s="21" t="s">
        <v>976</v>
      </c>
      <c r="D843" s="21" t="s">
        <v>136</v>
      </c>
      <c r="E843">
        <f>FIND(",", tblPassengerNames[[#This Row],[Name]])</f>
        <v>5</v>
      </c>
      <c r="F843">
        <f>FIND(".", tblPassengerNames[[#This Row],[Name]])</f>
        <v>11</v>
      </c>
      <c r="G843" t="e">
        <f>FIND("(", tblPassengerNames[[#This Row],[Name]])</f>
        <v>#VALUE!</v>
      </c>
      <c r="H843" t="e">
        <f>FIND(")", tblPassengerNames[[#This Row],[Name]])</f>
        <v>#VALUE!</v>
      </c>
      <c r="I843">
        <f>IFERROR(tblPassengerNames[[#This Row],[OpenParPos]] - 2, LEN(tblPassengerNames[[#This Row],[Name]]))</f>
        <v>19</v>
      </c>
      <c r="J843" t="str">
        <f>MID(tblPassengerNames[[#This Row],[Name]], tblPassengerNames[[#This Row],[DotPos]] + 2, tblPassengerNames[[#This Row],[EndOfConvFNPos]] - tblPassengerNames[[#This Row],[DotPos]] - 1)</f>
        <v>Aloisia</v>
      </c>
      <c r="K843" t="e">
        <f>MID(tblPassengerNames[[#This Row],[Name]], tblPassengerNames[[#This Row],[OpenParPos]] + 1, tblPassengerNames[[#This Row],[CloseParPos]] - tblPassengerNames[[#This Row],[OpenParPos]] - 1)</f>
        <v>#VALUE!</v>
      </c>
      <c r="L843" t="e">
        <f>IF(AND(LEFT(tblPassengerNames[[#This Row],[InParentheses]], 1) = "'", RIGHT(tblPassengerNames[[#This Row],[InParentheses]], 1) = "'"),
    #VALUE!,
    tblPassengerNames[[#This Row],[InParentheses]]
)</f>
        <v>#VALUE!</v>
      </c>
      <c r="M843" t="e">
        <f>LEN(tblPassengerNames[[#This Row],[InParenthesesCleaned]]) - LEN(SUBSTITUTE(tblPassengerNames[[#This Row],[InParenthesesCleaned]], " ", ""))</f>
        <v>#VALUE!</v>
      </c>
      <c r="N843" t="e">
        <f>FIND("@", SUBSTITUTE(tblPassengerNames[[#This Row],[InParenthesesCleaned]], " ", "@", tblPassengerNames[[#This Row],[P_NSpaces]]))</f>
        <v>#VALUE!</v>
      </c>
      <c r="O843" t="e">
        <f>IF(tblPassengerNames[[#This Row],[P_NSpaces]] = 0,
    tblPassengerNames[[#This Row],[InParenthesesCleaned]],
    LEFT(tblPassengerNames[[#This Row],[InParenthesesCleaned]], tblPassengerNames[[#This Row],[P_FinalSpacePos]] - 1)
)</f>
        <v>#VALUE!</v>
      </c>
      <c r="P843" t="str">
        <f>IFERROR(tblPassengerNames[[#This Row],[P_Forenames]], tblPassengerNames[[#This Row],[ConvForenames]])</f>
        <v>Aloisia</v>
      </c>
      <c r="Q843" t="str">
        <f>MID(tblPassengerNames[[#This Row],[Name]], tblPassengerNames[[#This Row],[CommaPos]] + 2, tblPassengerNames[[#This Row],[DotPos]] - tblPassengerNames[[#This Row],[CommaPos]] - 1)</f>
        <v>Miss.</v>
      </c>
      <c r="R843" t="str">
        <f>LEFT(tblPassengerNames[[#This Row],[Name]], tblPassengerNames[[#This Row],[CommaPos]] - 1)</f>
        <v>Haas</v>
      </c>
    </row>
    <row r="844" spans="2:18" x14ac:dyDescent="0.25">
      <c r="B844" s="21">
        <v>842</v>
      </c>
      <c r="C844" s="21" t="s">
        <v>977</v>
      </c>
      <c r="D844" s="21" t="s">
        <v>136</v>
      </c>
      <c r="E844">
        <f>FIND(",", tblPassengerNames[[#This Row],[Name]])</f>
        <v>9</v>
      </c>
      <c r="F844">
        <f>FIND(".", tblPassengerNames[[#This Row],[Name]])</f>
        <v>15</v>
      </c>
      <c r="G844" t="e">
        <f>FIND("(", tblPassengerNames[[#This Row],[Name]])</f>
        <v>#VALUE!</v>
      </c>
      <c r="H844" t="e">
        <f>FIND(")", tblPassengerNames[[#This Row],[Name]])</f>
        <v>#VALUE!</v>
      </c>
      <c r="I844">
        <f>IFERROR(tblPassengerNames[[#This Row],[OpenParPos]] - 2, LEN(tblPassengerNames[[#This Row],[Name]]))</f>
        <v>20</v>
      </c>
      <c r="J844" t="str">
        <f>MID(tblPassengerNames[[#This Row],[Name]], tblPassengerNames[[#This Row],[DotPos]] + 2, tblPassengerNames[[#This Row],[EndOfConvFNPos]] - tblPassengerNames[[#This Row],[DotPos]] - 1)</f>
        <v>Kate</v>
      </c>
      <c r="K844" t="e">
        <f>MID(tblPassengerNames[[#This Row],[Name]], tblPassengerNames[[#This Row],[OpenParPos]] + 1, tblPassengerNames[[#This Row],[CloseParPos]] - tblPassengerNames[[#This Row],[OpenParPos]] - 1)</f>
        <v>#VALUE!</v>
      </c>
      <c r="L844" t="e">
        <f>IF(AND(LEFT(tblPassengerNames[[#This Row],[InParentheses]], 1) = "'", RIGHT(tblPassengerNames[[#This Row],[InParentheses]], 1) = "'"),
    #VALUE!,
    tblPassengerNames[[#This Row],[InParentheses]]
)</f>
        <v>#VALUE!</v>
      </c>
      <c r="M844" t="e">
        <f>LEN(tblPassengerNames[[#This Row],[InParenthesesCleaned]]) - LEN(SUBSTITUTE(tblPassengerNames[[#This Row],[InParenthesesCleaned]], " ", ""))</f>
        <v>#VALUE!</v>
      </c>
      <c r="N844" t="e">
        <f>FIND("@", SUBSTITUTE(tblPassengerNames[[#This Row],[InParenthesesCleaned]], " ", "@", tblPassengerNames[[#This Row],[P_NSpaces]]))</f>
        <v>#VALUE!</v>
      </c>
      <c r="O844" t="e">
        <f>IF(tblPassengerNames[[#This Row],[P_NSpaces]] = 0,
    tblPassengerNames[[#This Row],[InParenthesesCleaned]],
    LEFT(tblPassengerNames[[#This Row],[InParenthesesCleaned]], tblPassengerNames[[#This Row],[P_FinalSpacePos]] - 1)
)</f>
        <v>#VALUE!</v>
      </c>
      <c r="P844" t="str">
        <f>IFERROR(tblPassengerNames[[#This Row],[P_Forenames]], tblPassengerNames[[#This Row],[ConvForenames]])</f>
        <v>Kate</v>
      </c>
      <c r="Q844" t="str">
        <f>MID(tblPassengerNames[[#This Row],[Name]], tblPassengerNames[[#This Row],[CommaPos]] + 2, tblPassengerNames[[#This Row],[DotPos]] - tblPassengerNames[[#This Row],[CommaPos]] - 1)</f>
        <v>Miss.</v>
      </c>
      <c r="R844" t="str">
        <f>LEFT(tblPassengerNames[[#This Row],[Name]], tblPassengerNames[[#This Row],[CommaPos]] - 1)</f>
        <v>Hagardon</v>
      </c>
    </row>
    <row r="845" spans="2:18" x14ac:dyDescent="0.25">
      <c r="B845" s="21">
        <v>843</v>
      </c>
      <c r="C845" s="21" t="s">
        <v>978</v>
      </c>
      <c r="D845" s="21" t="s">
        <v>138</v>
      </c>
      <c r="E845">
        <f>FIND(",", tblPassengerNames[[#This Row],[Name]])</f>
        <v>8</v>
      </c>
      <c r="F845">
        <f>FIND(".", tblPassengerNames[[#This Row],[Name]])</f>
        <v>12</v>
      </c>
      <c r="G845" t="e">
        <f>FIND("(", tblPassengerNames[[#This Row],[Name]])</f>
        <v>#VALUE!</v>
      </c>
      <c r="H845" t="e">
        <f>FIND(")", tblPassengerNames[[#This Row],[Name]])</f>
        <v>#VALUE!</v>
      </c>
      <c r="I845">
        <f>IFERROR(tblPassengerNames[[#This Row],[OpenParPos]] - 2, LEN(tblPassengerNames[[#This Row],[Name]]))</f>
        <v>31</v>
      </c>
      <c r="J845" t="str">
        <f>MID(tblPassengerNames[[#This Row],[Name]], tblPassengerNames[[#This Row],[DotPos]] + 2, tblPassengerNames[[#This Row],[EndOfConvFNPos]] - tblPassengerNames[[#This Row],[DotPos]] - 1)</f>
        <v>Ingvald Olai Olsen</v>
      </c>
      <c r="K845" t="e">
        <f>MID(tblPassengerNames[[#This Row],[Name]], tblPassengerNames[[#This Row],[OpenParPos]] + 1, tblPassengerNames[[#This Row],[CloseParPos]] - tblPassengerNames[[#This Row],[OpenParPos]] - 1)</f>
        <v>#VALUE!</v>
      </c>
      <c r="L845" t="e">
        <f>IF(AND(LEFT(tblPassengerNames[[#This Row],[InParentheses]], 1) = "'", RIGHT(tblPassengerNames[[#This Row],[InParentheses]], 1) = "'"),
    #VALUE!,
    tblPassengerNames[[#This Row],[InParentheses]]
)</f>
        <v>#VALUE!</v>
      </c>
      <c r="M845" t="e">
        <f>LEN(tblPassengerNames[[#This Row],[InParenthesesCleaned]]) - LEN(SUBSTITUTE(tblPassengerNames[[#This Row],[InParenthesesCleaned]], " ", ""))</f>
        <v>#VALUE!</v>
      </c>
      <c r="N845" t="e">
        <f>FIND("@", SUBSTITUTE(tblPassengerNames[[#This Row],[InParenthesesCleaned]], " ", "@", tblPassengerNames[[#This Row],[P_NSpaces]]))</f>
        <v>#VALUE!</v>
      </c>
      <c r="O845" t="e">
        <f>IF(tblPassengerNames[[#This Row],[P_NSpaces]] = 0,
    tblPassengerNames[[#This Row],[InParenthesesCleaned]],
    LEFT(tblPassengerNames[[#This Row],[InParenthesesCleaned]], tblPassengerNames[[#This Row],[P_FinalSpacePos]] - 1)
)</f>
        <v>#VALUE!</v>
      </c>
      <c r="P845" t="str">
        <f>IFERROR(tblPassengerNames[[#This Row],[P_Forenames]], tblPassengerNames[[#This Row],[ConvForenames]])</f>
        <v>Ingvald Olai Olsen</v>
      </c>
      <c r="Q845" t="str">
        <f>MID(tblPassengerNames[[#This Row],[Name]], tblPassengerNames[[#This Row],[CommaPos]] + 2, tblPassengerNames[[#This Row],[DotPos]] - tblPassengerNames[[#This Row],[CommaPos]] - 1)</f>
        <v>Mr.</v>
      </c>
      <c r="R845" t="str">
        <f>LEFT(tblPassengerNames[[#This Row],[Name]], tblPassengerNames[[#This Row],[CommaPos]] - 1)</f>
        <v>Hagland</v>
      </c>
    </row>
    <row r="846" spans="2:18" x14ac:dyDescent="0.25">
      <c r="B846" s="21">
        <v>844</v>
      </c>
      <c r="C846" s="21" t="s">
        <v>979</v>
      </c>
      <c r="D846" s="21" t="s">
        <v>138</v>
      </c>
      <c r="E846">
        <f>FIND(",", tblPassengerNames[[#This Row],[Name]])</f>
        <v>8</v>
      </c>
      <c r="F846">
        <f>FIND(".", tblPassengerNames[[#This Row],[Name]])</f>
        <v>12</v>
      </c>
      <c r="G846" t="e">
        <f>FIND("(", tblPassengerNames[[#This Row],[Name]])</f>
        <v>#VALUE!</v>
      </c>
      <c r="H846" t="e">
        <f>FIND(")", tblPassengerNames[[#This Row],[Name]])</f>
        <v>#VALUE!</v>
      </c>
      <c r="I846">
        <f>IFERROR(tblPassengerNames[[#This Row],[OpenParPos]] - 2, LEN(tblPassengerNames[[#This Row],[Name]]))</f>
        <v>36</v>
      </c>
      <c r="J846" t="str">
        <f>MID(tblPassengerNames[[#This Row],[Name]], tblPassengerNames[[#This Row],[DotPos]] + 2, tblPassengerNames[[#This Row],[EndOfConvFNPos]] - tblPassengerNames[[#This Row],[DotPos]] - 1)</f>
        <v>Konrad Mathias Reiersen</v>
      </c>
      <c r="K846" t="e">
        <f>MID(tblPassengerNames[[#This Row],[Name]], tblPassengerNames[[#This Row],[OpenParPos]] + 1, tblPassengerNames[[#This Row],[CloseParPos]] - tblPassengerNames[[#This Row],[OpenParPos]] - 1)</f>
        <v>#VALUE!</v>
      </c>
      <c r="L846" t="e">
        <f>IF(AND(LEFT(tblPassengerNames[[#This Row],[InParentheses]], 1) = "'", RIGHT(tblPassengerNames[[#This Row],[InParentheses]], 1) = "'"),
    #VALUE!,
    tblPassengerNames[[#This Row],[InParentheses]]
)</f>
        <v>#VALUE!</v>
      </c>
      <c r="M846" t="e">
        <f>LEN(tblPassengerNames[[#This Row],[InParenthesesCleaned]]) - LEN(SUBSTITUTE(tblPassengerNames[[#This Row],[InParenthesesCleaned]], " ", ""))</f>
        <v>#VALUE!</v>
      </c>
      <c r="N846" t="e">
        <f>FIND("@", SUBSTITUTE(tblPassengerNames[[#This Row],[InParenthesesCleaned]], " ", "@", tblPassengerNames[[#This Row],[P_NSpaces]]))</f>
        <v>#VALUE!</v>
      </c>
      <c r="O846" t="e">
        <f>IF(tblPassengerNames[[#This Row],[P_NSpaces]] = 0,
    tblPassengerNames[[#This Row],[InParenthesesCleaned]],
    LEFT(tblPassengerNames[[#This Row],[InParenthesesCleaned]], tblPassengerNames[[#This Row],[P_FinalSpacePos]] - 1)
)</f>
        <v>#VALUE!</v>
      </c>
      <c r="P846" t="str">
        <f>IFERROR(tblPassengerNames[[#This Row],[P_Forenames]], tblPassengerNames[[#This Row],[ConvForenames]])</f>
        <v>Konrad Mathias Reiersen</v>
      </c>
      <c r="Q846" t="str">
        <f>MID(tblPassengerNames[[#This Row],[Name]], tblPassengerNames[[#This Row],[CommaPos]] + 2, tblPassengerNames[[#This Row],[DotPos]] - tblPassengerNames[[#This Row],[CommaPos]] - 1)</f>
        <v>Mr.</v>
      </c>
      <c r="R846" t="str">
        <f>LEFT(tblPassengerNames[[#This Row],[Name]], tblPassengerNames[[#This Row],[CommaPos]] - 1)</f>
        <v>Hagland</v>
      </c>
    </row>
    <row r="847" spans="2:18" x14ac:dyDescent="0.25">
      <c r="B847" s="21">
        <v>845</v>
      </c>
      <c r="C847" s="21" t="s">
        <v>980</v>
      </c>
      <c r="D847" s="21" t="s">
        <v>138</v>
      </c>
      <c r="E847">
        <f>FIND(",", tblPassengerNames[[#This Row],[Name]])</f>
        <v>12</v>
      </c>
      <c r="F847">
        <f>FIND(".", tblPassengerNames[[#This Row],[Name]])</f>
        <v>16</v>
      </c>
      <c r="G847" t="e">
        <f>FIND("(", tblPassengerNames[[#This Row],[Name]])</f>
        <v>#VALUE!</v>
      </c>
      <c r="H847" t="e">
        <f>FIND(")", tblPassengerNames[[#This Row],[Name]])</f>
        <v>#VALUE!</v>
      </c>
      <c r="I847">
        <f>IFERROR(tblPassengerNames[[#This Row],[OpenParPos]] - 2, LEN(tblPassengerNames[[#This Row],[Name]]))</f>
        <v>30</v>
      </c>
      <c r="J847" t="str">
        <f>MID(tblPassengerNames[[#This Row],[Name]], tblPassengerNames[[#This Row],[DotPos]] + 2, tblPassengerNames[[#This Row],[EndOfConvFNPos]] - tblPassengerNames[[#This Row],[DotPos]] - 1)</f>
        <v>Pekka Pietari</v>
      </c>
      <c r="K847" t="e">
        <f>MID(tblPassengerNames[[#This Row],[Name]], tblPassengerNames[[#This Row],[OpenParPos]] + 1, tblPassengerNames[[#This Row],[CloseParPos]] - tblPassengerNames[[#This Row],[OpenParPos]] - 1)</f>
        <v>#VALUE!</v>
      </c>
      <c r="L847" t="e">
        <f>IF(AND(LEFT(tblPassengerNames[[#This Row],[InParentheses]], 1) = "'", RIGHT(tblPassengerNames[[#This Row],[InParentheses]], 1) = "'"),
    #VALUE!,
    tblPassengerNames[[#This Row],[InParentheses]]
)</f>
        <v>#VALUE!</v>
      </c>
      <c r="M847" t="e">
        <f>LEN(tblPassengerNames[[#This Row],[InParenthesesCleaned]]) - LEN(SUBSTITUTE(tblPassengerNames[[#This Row],[InParenthesesCleaned]], " ", ""))</f>
        <v>#VALUE!</v>
      </c>
      <c r="N847" t="e">
        <f>FIND("@", SUBSTITUTE(tblPassengerNames[[#This Row],[InParenthesesCleaned]], " ", "@", tblPassengerNames[[#This Row],[P_NSpaces]]))</f>
        <v>#VALUE!</v>
      </c>
      <c r="O847" t="e">
        <f>IF(tblPassengerNames[[#This Row],[P_NSpaces]] = 0,
    tblPassengerNames[[#This Row],[InParenthesesCleaned]],
    LEFT(tblPassengerNames[[#This Row],[InParenthesesCleaned]], tblPassengerNames[[#This Row],[P_FinalSpacePos]] - 1)
)</f>
        <v>#VALUE!</v>
      </c>
      <c r="P847" t="str">
        <f>IFERROR(tblPassengerNames[[#This Row],[P_Forenames]], tblPassengerNames[[#This Row],[ConvForenames]])</f>
        <v>Pekka Pietari</v>
      </c>
      <c r="Q847" t="str">
        <f>MID(tblPassengerNames[[#This Row],[Name]], tblPassengerNames[[#This Row],[CommaPos]] + 2, tblPassengerNames[[#This Row],[DotPos]] - tblPassengerNames[[#This Row],[CommaPos]] - 1)</f>
        <v>Mr.</v>
      </c>
      <c r="R847" t="str">
        <f>LEFT(tblPassengerNames[[#This Row],[Name]], tblPassengerNames[[#This Row],[CommaPos]] - 1)</f>
        <v>Hakkarainen</v>
      </c>
    </row>
    <row r="848" spans="2:18" x14ac:dyDescent="0.25">
      <c r="B848" s="21">
        <v>846</v>
      </c>
      <c r="C848" s="21" t="s">
        <v>981</v>
      </c>
      <c r="D848" s="21" t="s">
        <v>136</v>
      </c>
      <c r="E848">
        <f>FIND(",", tblPassengerNames[[#This Row],[Name]])</f>
        <v>12</v>
      </c>
      <c r="F848">
        <f>FIND(".", tblPassengerNames[[#This Row],[Name]])</f>
        <v>17</v>
      </c>
      <c r="G848">
        <f>FIND("(", tblPassengerNames[[#This Row],[Name]])</f>
        <v>33</v>
      </c>
      <c r="H848">
        <f>FIND(")", tblPassengerNames[[#This Row],[Name]])</f>
        <v>52</v>
      </c>
      <c r="I848">
        <f>IFERROR(tblPassengerNames[[#This Row],[OpenParPos]] - 2, LEN(tblPassengerNames[[#This Row],[Name]]))</f>
        <v>31</v>
      </c>
      <c r="J848" t="str">
        <f>MID(tblPassengerNames[[#This Row],[Name]], tblPassengerNames[[#This Row],[DotPos]] + 2, tblPassengerNames[[#This Row],[EndOfConvFNPos]] - tblPassengerNames[[#This Row],[DotPos]] - 1)</f>
        <v>Pekka Pietari</v>
      </c>
      <c r="K848" t="str">
        <f>MID(tblPassengerNames[[#This Row],[Name]], tblPassengerNames[[#This Row],[OpenParPos]] + 1, tblPassengerNames[[#This Row],[CloseParPos]] - tblPassengerNames[[#This Row],[OpenParPos]] - 1)</f>
        <v>Elin Matilda Dolck</v>
      </c>
      <c r="L848" t="str">
        <f>IF(AND(LEFT(tblPassengerNames[[#This Row],[InParentheses]], 1) = "'", RIGHT(tblPassengerNames[[#This Row],[InParentheses]], 1) = "'"),
    #VALUE!,
    tblPassengerNames[[#This Row],[InParentheses]]
)</f>
        <v>Elin Matilda Dolck</v>
      </c>
      <c r="M848">
        <f>LEN(tblPassengerNames[[#This Row],[InParenthesesCleaned]]) - LEN(SUBSTITUTE(tblPassengerNames[[#This Row],[InParenthesesCleaned]], " ", ""))</f>
        <v>2</v>
      </c>
      <c r="N848">
        <f>FIND("@", SUBSTITUTE(tblPassengerNames[[#This Row],[InParenthesesCleaned]], " ", "@", tblPassengerNames[[#This Row],[P_NSpaces]]))</f>
        <v>13</v>
      </c>
      <c r="O848" t="str">
        <f>IF(tblPassengerNames[[#This Row],[P_NSpaces]] = 0,
    tblPassengerNames[[#This Row],[InParenthesesCleaned]],
    LEFT(tblPassengerNames[[#This Row],[InParenthesesCleaned]], tblPassengerNames[[#This Row],[P_FinalSpacePos]] - 1)
)</f>
        <v>Elin Matilda</v>
      </c>
      <c r="P848" t="str">
        <f>IFERROR(tblPassengerNames[[#This Row],[P_Forenames]], tblPassengerNames[[#This Row],[ConvForenames]])</f>
        <v>Elin Matilda</v>
      </c>
      <c r="Q848" t="str">
        <f>MID(tblPassengerNames[[#This Row],[Name]], tblPassengerNames[[#This Row],[CommaPos]] + 2, tblPassengerNames[[#This Row],[DotPos]] - tblPassengerNames[[#This Row],[CommaPos]] - 1)</f>
        <v>Mrs.</v>
      </c>
      <c r="R848" t="str">
        <f>LEFT(tblPassengerNames[[#This Row],[Name]], tblPassengerNames[[#This Row],[CommaPos]] - 1)</f>
        <v>Hakkarainen</v>
      </c>
    </row>
    <row r="849" spans="2:18" x14ac:dyDescent="0.25">
      <c r="B849" s="21">
        <v>847</v>
      </c>
      <c r="C849" s="21" t="s">
        <v>982</v>
      </c>
      <c r="D849" s="21" t="s">
        <v>138</v>
      </c>
      <c r="E849">
        <f>FIND(",", tblPassengerNames[[#This Row],[Name]])</f>
        <v>6</v>
      </c>
      <c r="F849">
        <f>FIND(".", tblPassengerNames[[#This Row],[Name]])</f>
        <v>10</v>
      </c>
      <c r="G849" t="e">
        <f>FIND("(", tblPassengerNames[[#This Row],[Name]])</f>
        <v>#VALUE!</v>
      </c>
      <c r="H849" t="e">
        <f>FIND(")", tblPassengerNames[[#This Row],[Name]])</f>
        <v>#VALUE!</v>
      </c>
      <c r="I849">
        <f>IFERROR(tblPassengerNames[[#This Row],[OpenParPos]] - 2, LEN(tblPassengerNames[[#This Row],[Name]]))</f>
        <v>15</v>
      </c>
      <c r="J849" t="str">
        <f>MID(tblPassengerNames[[#This Row],[Name]], tblPassengerNames[[#This Row],[DotPos]] + 2, tblPassengerNames[[#This Row],[EndOfConvFNPos]] - tblPassengerNames[[#This Row],[DotPos]] - 1)</f>
        <v>Leon</v>
      </c>
      <c r="K849" t="e">
        <f>MID(tblPassengerNames[[#This Row],[Name]], tblPassengerNames[[#This Row],[OpenParPos]] + 1, tblPassengerNames[[#This Row],[CloseParPos]] - tblPassengerNames[[#This Row],[OpenParPos]] - 1)</f>
        <v>#VALUE!</v>
      </c>
      <c r="L849" t="e">
        <f>IF(AND(LEFT(tblPassengerNames[[#This Row],[InParentheses]], 1) = "'", RIGHT(tblPassengerNames[[#This Row],[InParentheses]], 1) = "'"),
    #VALUE!,
    tblPassengerNames[[#This Row],[InParentheses]]
)</f>
        <v>#VALUE!</v>
      </c>
      <c r="M849" t="e">
        <f>LEN(tblPassengerNames[[#This Row],[InParenthesesCleaned]]) - LEN(SUBSTITUTE(tblPassengerNames[[#This Row],[InParenthesesCleaned]], " ", ""))</f>
        <v>#VALUE!</v>
      </c>
      <c r="N849" t="e">
        <f>FIND("@", SUBSTITUTE(tblPassengerNames[[#This Row],[InParenthesesCleaned]], " ", "@", tblPassengerNames[[#This Row],[P_NSpaces]]))</f>
        <v>#VALUE!</v>
      </c>
      <c r="O849" t="e">
        <f>IF(tblPassengerNames[[#This Row],[P_NSpaces]] = 0,
    tblPassengerNames[[#This Row],[InParenthesesCleaned]],
    LEFT(tblPassengerNames[[#This Row],[InParenthesesCleaned]], tblPassengerNames[[#This Row],[P_FinalSpacePos]] - 1)
)</f>
        <v>#VALUE!</v>
      </c>
      <c r="P849" t="str">
        <f>IFERROR(tblPassengerNames[[#This Row],[P_Forenames]], tblPassengerNames[[#This Row],[ConvForenames]])</f>
        <v>Leon</v>
      </c>
      <c r="Q849" t="str">
        <f>MID(tblPassengerNames[[#This Row],[Name]], tblPassengerNames[[#This Row],[CommaPos]] + 2, tblPassengerNames[[#This Row],[DotPos]] - tblPassengerNames[[#This Row],[CommaPos]] - 1)</f>
        <v>Mr.</v>
      </c>
      <c r="R849" t="str">
        <f>LEFT(tblPassengerNames[[#This Row],[Name]], tblPassengerNames[[#This Row],[CommaPos]] - 1)</f>
        <v>Hampe</v>
      </c>
    </row>
    <row r="850" spans="2:18" x14ac:dyDescent="0.25">
      <c r="B850" s="21">
        <v>848</v>
      </c>
      <c r="C850" s="21" t="s">
        <v>983</v>
      </c>
      <c r="D850" s="21" t="s">
        <v>138</v>
      </c>
      <c r="E850">
        <f>FIND(",", tblPassengerNames[[#This Row],[Name]])</f>
        <v>6</v>
      </c>
      <c r="F850">
        <f>FIND(".", tblPassengerNames[[#This Row],[Name]])</f>
        <v>10</v>
      </c>
      <c r="G850" t="e">
        <f>FIND("(", tblPassengerNames[[#This Row],[Name]])</f>
        <v>#VALUE!</v>
      </c>
      <c r="H850" t="e">
        <f>FIND(")", tblPassengerNames[[#This Row],[Name]])</f>
        <v>#VALUE!</v>
      </c>
      <c r="I850">
        <f>IFERROR(tblPassengerNames[[#This Row],[OpenParPos]] - 2, LEN(tblPassengerNames[[#This Row],[Name]]))</f>
        <v>18</v>
      </c>
      <c r="J850" t="str">
        <f>MID(tblPassengerNames[[#This Row],[Name]], tblPassengerNames[[#This Row],[DotPos]] + 2, tblPassengerNames[[#This Row],[EndOfConvFNPos]] - tblPassengerNames[[#This Row],[DotPos]] - 1)</f>
        <v>Mansour</v>
      </c>
      <c r="K850" t="e">
        <f>MID(tblPassengerNames[[#This Row],[Name]], tblPassengerNames[[#This Row],[OpenParPos]] + 1, tblPassengerNames[[#This Row],[CloseParPos]] - tblPassengerNames[[#This Row],[OpenParPos]] - 1)</f>
        <v>#VALUE!</v>
      </c>
      <c r="L850" t="e">
        <f>IF(AND(LEFT(tblPassengerNames[[#This Row],[InParentheses]], 1) = "'", RIGHT(tblPassengerNames[[#This Row],[InParentheses]], 1) = "'"),
    #VALUE!,
    tblPassengerNames[[#This Row],[InParentheses]]
)</f>
        <v>#VALUE!</v>
      </c>
      <c r="M850" t="e">
        <f>LEN(tblPassengerNames[[#This Row],[InParenthesesCleaned]]) - LEN(SUBSTITUTE(tblPassengerNames[[#This Row],[InParenthesesCleaned]], " ", ""))</f>
        <v>#VALUE!</v>
      </c>
      <c r="N850" t="e">
        <f>FIND("@", SUBSTITUTE(tblPassengerNames[[#This Row],[InParenthesesCleaned]], " ", "@", tblPassengerNames[[#This Row],[P_NSpaces]]))</f>
        <v>#VALUE!</v>
      </c>
      <c r="O850" t="e">
        <f>IF(tblPassengerNames[[#This Row],[P_NSpaces]] = 0,
    tblPassengerNames[[#This Row],[InParenthesesCleaned]],
    LEFT(tblPassengerNames[[#This Row],[InParenthesesCleaned]], tblPassengerNames[[#This Row],[P_FinalSpacePos]] - 1)
)</f>
        <v>#VALUE!</v>
      </c>
      <c r="P850" t="str">
        <f>IFERROR(tblPassengerNames[[#This Row],[P_Forenames]], tblPassengerNames[[#This Row],[ConvForenames]])</f>
        <v>Mansour</v>
      </c>
      <c r="Q850" t="str">
        <f>MID(tblPassengerNames[[#This Row],[Name]], tblPassengerNames[[#This Row],[CommaPos]] + 2, tblPassengerNames[[#This Row],[DotPos]] - tblPassengerNames[[#This Row],[CommaPos]] - 1)</f>
        <v>Mr.</v>
      </c>
      <c r="R850" t="str">
        <f>LEFT(tblPassengerNames[[#This Row],[Name]], tblPassengerNames[[#This Row],[CommaPos]] - 1)</f>
        <v>Hanna</v>
      </c>
    </row>
    <row r="851" spans="2:18" x14ac:dyDescent="0.25">
      <c r="B851" s="21">
        <v>849</v>
      </c>
      <c r="C851" s="21" t="s">
        <v>984</v>
      </c>
      <c r="D851" s="21" t="s">
        <v>138</v>
      </c>
      <c r="E851">
        <f>FIND(",", tblPassengerNames[[#This Row],[Name]])</f>
        <v>7</v>
      </c>
      <c r="F851">
        <f>FIND(".", tblPassengerNames[[#This Row],[Name]])</f>
        <v>11</v>
      </c>
      <c r="G851" t="e">
        <f>FIND("(", tblPassengerNames[[#This Row],[Name]])</f>
        <v>#VALUE!</v>
      </c>
      <c r="H851" t="e">
        <f>FIND(")", tblPassengerNames[[#This Row],[Name]])</f>
        <v>#VALUE!</v>
      </c>
      <c r="I851">
        <f>IFERROR(tblPassengerNames[[#This Row],[OpenParPos]] - 2, LEN(tblPassengerNames[[#This Row],[Name]]))</f>
        <v>23</v>
      </c>
      <c r="J851" t="str">
        <f>MID(tblPassengerNames[[#This Row],[Name]], tblPassengerNames[[#This Row],[DotPos]] + 2, tblPassengerNames[[#This Row],[EndOfConvFNPos]] - tblPassengerNames[[#This Row],[DotPos]] - 1)</f>
        <v>Claus Peter</v>
      </c>
      <c r="K851" t="e">
        <f>MID(tblPassengerNames[[#This Row],[Name]], tblPassengerNames[[#This Row],[OpenParPos]] + 1, tblPassengerNames[[#This Row],[CloseParPos]] - tblPassengerNames[[#This Row],[OpenParPos]] - 1)</f>
        <v>#VALUE!</v>
      </c>
      <c r="L851" t="e">
        <f>IF(AND(LEFT(tblPassengerNames[[#This Row],[InParentheses]], 1) = "'", RIGHT(tblPassengerNames[[#This Row],[InParentheses]], 1) = "'"),
    #VALUE!,
    tblPassengerNames[[#This Row],[InParentheses]]
)</f>
        <v>#VALUE!</v>
      </c>
      <c r="M851" t="e">
        <f>LEN(tblPassengerNames[[#This Row],[InParenthesesCleaned]]) - LEN(SUBSTITUTE(tblPassengerNames[[#This Row],[InParenthesesCleaned]], " ", ""))</f>
        <v>#VALUE!</v>
      </c>
      <c r="N851" t="e">
        <f>FIND("@", SUBSTITUTE(tblPassengerNames[[#This Row],[InParenthesesCleaned]], " ", "@", tblPassengerNames[[#This Row],[P_NSpaces]]))</f>
        <v>#VALUE!</v>
      </c>
      <c r="O851" t="e">
        <f>IF(tblPassengerNames[[#This Row],[P_NSpaces]] = 0,
    tblPassengerNames[[#This Row],[InParenthesesCleaned]],
    LEFT(tblPassengerNames[[#This Row],[InParenthesesCleaned]], tblPassengerNames[[#This Row],[P_FinalSpacePos]] - 1)
)</f>
        <v>#VALUE!</v>
      </c>
      <c r="P851" t="str">
        <f>IFERROR(tblPassengerNames[[#This Row],[P_Forenames]], tblPassengerNames[[#This Row],[ConvForenames]])</f>
        <v>Claus Peter</v>
      </c>
      <c r="Q851" t="str">
        <f>MID(tblPassengerNames[[#This Row],[Name]], tblPassengerNames[[#This Row],[CommaPos]] + 2, tblPassengerNames[[#This Row],[DotPos]] - tblPassengerNames[[#This Row],[CommaPos]] - 1)</f>
        <v>Mr.</v>
      </c>
      <c r="R851" t="str">
        <f>LEFT(tblPassengerNames[[#This Row],[Name]], tblPassengerNames[[#This Row],[CommaPos]] - 1)</f>
        <v>Hansen</v>
      </c>
    </row>
    <row r="852" spans="2:18" x14ac:dyDescent="0.25">
      <c r="B852" s="21">
        <v>850</v>
      </c>
      <c r="C852" s="21" t="s">
        <v>985</v>
      </c>
      <c r="D852" s="21" t="s">
        <v>138</v>
      </c>
      <c r="E852">
        <f>FIND(",", tblPassengerNames[[#This Row],[Name]])</f>
        <v>7</v>
      </c>
      <c r="F852">
        <f>FIND(".", tblPassengerNames[[#This Row],[Name]])</f>
        <v>11</v>
      </c>
      <c r="G852" t="e">
        <f>FIND("(", tblPassengerNames[[#This Row],[Name]])</f>
        <v>#VALUE!</v>
      </c>
      <c r="H852" t="e">
        <f>FIND(")", tblPassengerNames[[#This Row],[Name]])</f>
        <v>#VALUE!</v>
      </c>
      <c r="I852">
        <f>IFERROR(tblPassengerNames[[#This Row],[OpenParPos]] - 2, LEN(tblPassengerNames[[#This Row],[Name]]))</f>
        <v>23</v>
      </c>
      <c r="J852" t="str">
        <f>MID(tblPassengerNames[[#This Row],[Name]], tblPassengerNames[[#This Row],[DotPos]] + 2, tblPassengerNames[[#This Row],[EndOfConvFNPos]] - tblPassengerNames[[#This Row],[DotPos]] - 1)</f>
        <v>Henrik Juul</v>
      </c>
      <c r="K852" t="e">
        <f>MID(tblPassengerNames[[#This Row],[Name]], tblPassengerNames[[#This Row],[OpenParPos]] + 1, tblPassengerNames[[#This Row],[CloseParPos]] - tblPassengerNames[[#This Row],[OpenParPos]] - 1)</f>
        <v>#VALUE!</v>
      </c>
      <c r="L852" t="e">
        <f>IF(AND(LEFT(tblPassengerNames[[#This Row],[InParentheses]], 1) = "'", RIGHT(tblPassengerNames[[#This Row],[InParentheses]], 1) = "'"),
    #VALUE!,
    tblPassengerNames[[#This Row],[InParentheses]]
)</f>
        <v>#VALUE!</v>
      </c>
      <c r="M852" t="e">
        <f>LEN(tblPassengerNames[[#This Row],[InParenthesesCleaned]]) - LEN(SUBSTITUTE(tblPassengerNames[[#This Row],[InParenthesesCleaned]], " ", ""))</f>
        <v>#VALUE!</v>
      </c>
      <c r="N852" t="e">
        <f>FIND("@", SUBSTITUTE(tblPassengerNames[[#This Row],[InParenthesesCleaned]], " ", "@", tblPassengerNames[[#This Row],[P_NSpaces]]))</f>
        <v>#VALUE!</v>
      </c>
      <c r="O852" t="e">
        <f>IF(tblPassengerNames[[#This Row],[P_NSpaces]] = 0,
    tblPassengerNames[[#This Row],[InParenthesesCleaned]],
    LEFT(tblPassengerNames[[#This Row],[InParenthesesCleaned]], tblPassengerNames[[#This Row],[P_FinalSpacePos]] - 1)
)</f>
        <v>#VALUE!</v>
      </c>
      <c r="P852" t="str">
        <f>IFERROR(tblPassengerNames[[#This Row],[P_Forenames]], tblPassengerNames[[#This Row],[ConvForenames]])</f>
        <v>Henrik Juul</v>
      </c>
      <c r="Q852" t="str">
        <f>MID(tblPassengerNames[[#This Row],[Name]], tblPassengerNames[[#This Row],[CommaPos]] + 2, tblPassengerNames[[#This Row],[DotPos]] - tblPassengerNames[[#This Row],[CommaPos]] - 1)</f>
        <v>Mr.</v>
      </c>
      <c r="R852" t="str">
        <f>LEFT(tblPassengerNames[[#This Row],[Name]], tblPassengerNames[[#This Row],[CommaPos]] - 1)</f>
        <v>Hansen</v>
      </c>
    </row>
    <row r="853" spans="2:18" x14ac:dyDescent="0.25">
      <c r="B853" s="21">
        <v>851</v>
      </c>
      <c r="C853" s="21" t="s">
        <v>986</v>
      </c>
      <c r="D853" s="21" t="s">
        <v>138</v>
      </c>
      <c r="E853">
        <f>FIND(",", tblPassengerNames[[#This Row],[Name]])</f>
        <v>7</v>
      </c>
      <c r="F853">
        <f>FIND(".", tblPassengerNames[[#This Row],[Name]])</f>
        <v>11</v>
      </c>
      <c r="G853" t="e">
        <f>FIND("(", tblPassengerNames[[#This Row],[Name]])</f>
        <v>#VALUE!</v>
      </c>
      <c r="H853" t="e">
        <f>FIND(")", tblPassengerNames[[#This Row],[Name]])</f>
        <v>#VALUE!</v>
      </c>
      <c r="I853">
        <f>IFERROR(tblPassengerNames[[#This Row],[OpenParPos]] - 2, LEN(tblPassengerNames[[#This Row],[Name]]))</f>
        <v>27</v>
      </c>
      <c r="J853" t="str">
        <f>MID(tblPassengerNames[[#This Row],[Name]], tblPassengerNames[[#This Row],[DotPos]] + 2, tblPassengerNames[[#This Row],[EndOfConvFNPos]] - tblPassengerNames[[#This Row],[DotPos]] - 1)</f>
        <v>Henry Damsgaard</v>
      </c>
      <c r="K853" t="e">
        <f>MID(tblPassengerNames[[#This Row],[Name]], tblPassengerNames[[#This Row],[OpenParPos]] + 1, tblPassengerNames[[#This Row],[CloseParPos]] - tblPassengerNames[[#This Row],[OpenParPos]] - 1)</f>
        <v>#VALUE!</v>
      </c>
      <c r="L853" t="e">
        <f>IF(AND(LEFT(tblPassengerNames[[#This Row],[InParentheses]], 1) = "'", RIGHT(tblPassengerNames[[#This Row],[InParentheses]], 1) = "'"),
    #VALUE!,
    tblPassengerNames[[#This Row],[InParentheses]]
)</f>
        <v>#VALUE!</v>
      </c>
      <c r="M853" t="e">
        <f>LEN(tblPassengerNames[[#This Row],[InParenthesesCleaned]]) - LEN(SUBSTITUTE(tblPassengerNames[[#This Row],[InParenthesesCleaned]], " ", ""))</f>
        <v>#VALUE!</v>
      </c>
      <c r="N853" t="e">
        <f>FIND("@", SUBSTITUTE(tblPassengerNames[[#This Row],[InParenthesesCleaned]], " ", "@", tblPassengerNames[[#This Row],[P_NSpaces]]))</f>
        <v>#VALUE!</v>
      </c>
      <c r="O853" t="e">
        <f>IF(tblPassengerNames[[#This Row],[P_NSpaces]] = 0,
    tblPassengerNames[[#This Row],[InParenthesesCleaned]],
    LEFT(tblPassengerNames[[#This Row],[InParenthesesCleaned]], tblPassengerNames[[#This Row],[P_FinalSpacePos]] - 1)
)</f>
        <v>#VALUE!</v>
      </c>
      <c r="P853" t="str">
        <f>IFERROR(tblPassengerNames[[#This Row],[P_Forenames]], tblPassengerNames[[#This Row],[ConvForenames]])</f>
        <v>Henry Damsgaard</v>
      </c>
      <c r="Q853" t="str">
        <f>MID(tblPassengerNames[[#This Row],[Name]], tblPassengerNames[[#This Row],[CommaPos]] + 2, tblPassengerNames[[#This Row],[DotPos]] - tblPassengerNames[[#This Row],[CommaPos]] - 1)</f>
        <v>Mr.</v>
      </c>
      <c r="R853" t="str">
        <f>LEFT(tblPassengerNames[[#This Row],[Name]], tblPassengerNames[[#This Row],[CommaPos]] - 1)</f>
        <v>Hansen</v>
      </c>
    </row>
    <row r="854" spans="2:18" x14ac:dyDescent="0.25">
      <c r="B854" s="21">
        <v>852</v>
      </c>
      <c r="C854" s="21" t="s">
        <v>987</v>
      </c>
      <c r="D854" s="21" t="s">
        <v>136</v>
      </c>
      <c r="E854">
        <f>FIND(",", tblPassengerNames[[#This Row],[Name]])</f>
        <v>7</v>
      </c>
      <c r="F854">
        <f>FIND(".", tblPassengerNames[[#This Row],[Name]])</f>
        <v>12</v>
      </c>
      <c r="G854">
        <f>FIND("(", tblPassengerNames[[#This Row],[Name]])</f>
        <v>26</v>
      </c>
      <c r="H854">
        <f>FIND(")", tblPassengerNames[[#This Row],[Name]])</f>
        <v>42</v>
      </c>
      <c r="I854">
        <f>IFERROR(tblPassengerNames[[#This Row],[OpenParPos]] - 2, LEN(tblPassengerNames[[#This Row],[Name]]))</f>
        <v>24</v>
      </c>
      <c r="J854" t="str">
        <f>MID(tblPassengerNames[[#This Row],[Name]], tblPassengerNames[[#This Row],[DotPos]] + 2, tblPassengerNames[[#This Row],[EndOfConvFNPos]] - tblPassengerNames[[#This Row],[DotPos]] - 1)</f>
        <v>Claus Peter</v>
      </c>
      <c r="K854" t="str">
        <f>MID(tblPassengerNames[[#This Row],[Name]], tblPassengerNames[[#This Row],[OpenParPos]] + 1, tblPassengerNames[[#This Row],[CloseParPos]] - tblPassengerNames[[#This Row],[OpenParPos]] - 1)</f>
        <v>Jennie L Howard</v>
      </c>
      <c r="L854" t="str">
        <f>IF(AND(LEFT(tblPassengerNames[[#This Row],[InParentheses]], 1) = "'", RIGHT(tblPassengerNames[[#This Row],[InParentheses]], 1) = "'"),
    #VALUE!,
    tblPassengerNames[[#This Row],[InParentheses]]
)</f>
        <v>Jennie L Howard</v>
      </c>
      <c r="M854">
        <f>LEN(tblPassengerNames[[#This Row],[InParenthesesCleaned]]) - LEN(SUBSTITUTE(tblPassengerNames[[#This Row],[InParenthesesCleaned]], " ", ""))</f>
        <v>2</v>
      </c>
      <c r="N854">
        <f>FIND("@", SUBSTITUTE(tblPassengerNames[[#This Row],[InParenthesesCleaned]], " ", "@", tblPassengerNames[[#This Row],[P_NSpaces]]))</f>
        <v>9</v>
      </c>
      <c r="O854" t="str">
        <f>IF(tblPassengerNames[[#This Row],[P_NSpaces]] = 0,
    tblPassengerNames[[#This Row],[InParenthesesCleaned]],
    LEFT(tblPassengerNames[[#This Row],[InParenthesesCleaned]], tblPassengerNames[[#This Row],[P_FinalSpacePos]] - 1)
)</f>
        <v>Jennie L</v>
      </c>
      <c r="P854" t="str">
        <f>IFERROR(tblPassengerNames[[#This Row],[P_Forenames]], tblPassengerNames[[#This Row],[ConvForenames]])</f>
        <v>Jennie L</v>
      </c>
      <c r="Q854" t="str">
        <f>MID(tblPassengerNames[[#This Row],[Name]], tblPassengerNames[[#This Row],[CommaPos]] + 2, tblPassengerNames[[#This Row],[DotPos]] - tblPassengerNames[[#This Row],[CommaPos]] - 1)</f>
        <v>Mrs.</v>
      </c>
      <c r="R854" t="str">
        <f>LEFT(tblPassengerNames[[#This Row],[Name]], tblPassengerNames[[#This Row],[CommaPos]] - 1)</f>
        <v>Hansen</v>
      </c>
    </row>
    <row r="855" spans="2:18" x14ac:dyDescent="0.25">
      <c r="B855" s="21">
        <v>853</v>
      </c>
      <c r="C855" s="21" t="s">
        <v>988</v>
      </c>
      <c r="D855" s="21" t="s">
        <v>136</v>
      </c>
      <c r="E855">
        <f>FIND(",", tblPassengerNames[[#This Row],[Name]])</f>
        <v>9</v>
      </c>
      <c r="F855">
        <f>FIND(".", tblPassengerNames[[#This Row],[Name]])</f>
        <v>15</v>
      </c>
      <c r="G855" t="e">
        <f>FIND("(", tblPassengerNames[[#This Row],[Name]])</f>
        <v>#VALUE!</v>
      </c>
      <c r="H855" t="e">
        <f>FIND(")", tblPassengerNames[[#This Row],[Name]])</f>
        <v>#VALUE!</v>
      </c>
      <c r="I855">
        <f>IFERROR(tblPassengerNames[[#This Row],[OpenParPos]] - 2, LEN(tblPassengerNames[[#This Row],[Name]]))</f>
        <v>28</v>
      </c>
      <c r="J855" t="str">
        <f>MID(tblPassengerNames[[#This Row],[Name]], tblPassengerNames[[#This Row],[DotPos]] + 2, tblPassengerNames[[#This Row],[EndOfConvFNPos]] - tblPassengerNames[[#This Row],[DotPos]] - 1)</f>
        <v>Alice Phoebe</v>
      </c>
      <c r="K855" t="e">
        <f>MID(tblPassengerNames[[#This Row],[Name]], tblPassengerNames[[#This Row],[OpenParPos]] + 1, tblPassengerNames[[#This Row],[CloseParPos]] - tblPassengerNames[[#This Row],[OpenParPos]] - 1)</f>
        <v>#VALUE!</v>
      </c>
      <c r="L855" t="e">
        <f>IF(AND(LEFT(tblPassengerNames[[#This Row],[InParentheses]], 1) = "'", RIGHT(tblPassengerNames[[#This Row],[InParentheses]], 1) = "'"),
    #VALUE!,
    tblPassengerNames[[#This Row],[InParentheses]]
)</f>
        <v>#VALUE!</v>
      </c>
      <c r="M855" t="e">
        <f>LEN(tblPassengerNames[[#This Row],[InParenthesesCleaned]]) - LEN(SUBSTITUTE(tblPassengerNames[[#This Row],[InParenthesesCleaned]], " ", ""))</f>
        <v>#VALUE!</v>
      </c>
      <c r="N855" t="e">
        <f>FIND("@", SUBSTITUTE(tblPassengerNames[[#This Row],[InParenthesesCleaned]], " ", "@", tblPassengerNames[[#This Row],[P_NSpaces]]))</f>
        <v>#VALUE!</v>
      </c>
      <c r="O855" t="e">
        <f>IF(tblPassengerNames[[#This Row],[P_NSpaces]] = 0,
    tblPassengerNames[[#This Row],[InParenthesesCleaned]],
    LEFT(tblPassengerNames[[#This Row],[InParenthesesCleaned]], tblPassengerNames[[#This Row],[P_FinalSpacePos]] - 1)
)</f>
        <v>#VALUE!</v>
      </c>
      <c r="P855" t="str">
        <f>IFERROR(tblPassengerNames[[#This Row],[P_Forenames]], tblPassengerNames[[#This Row],[ConvForenames]])</f>
        <v>Alice Phoebe</v>
      </c>
      <c r="Q855" t="str">
        <f>MID(tblPassengerNames[[#This Row],[Name]], tblPassengerNames[[#This Row],[CommaPos]] + 2, tblPassengerNames[[#This Row],[DotPos]] - tblPassengerNames[[#This Row],[CommaPos]] - 1)</f>
        <v>Miss.</v>
      </c>
      <c r="R855" t="str">
        <f>LEFT(tblPassengerNames[[#This Row],[Name]], tblPassengerNames[[#This Row],[CommaPos]] - 1)</f>
        <v>Harknett</v>
      </c>
    </row>
    <row r="856" spans="2:18" x14ac:dyDescent="0.25">
      <c r="B856" s="21">
        <v>854</v>
      </c>
      <c r="C856" s="21" t="s">
        <v>989</v>
      </c>
      <c r="D856" s="21" t="s">
        <v>138</v>
      </c>
      <c r="E856">
        <f>FIND(",", tblPassengerNames[[#This Row],[Name]])</f>
        <v>7</v>
      </c>
      <c r="F856">
        <f>FIND(".", tblPassengerNames[[#This Row],[Name]])</f>
        <v>11</v>
      </c>
      <c r="G856">
        <f>FIND("(", tblPassengerNames[[#This Row],[Name]])</f>
        <v>21</v>
      </c>
      <c r="H856">
        <f>FIND(")", tblPassengerNames[[#This Row],[Name]])</f>
        <v>34</v>
      </c>
      <c r="I856">
        <f>IFERROR(tblPassengerNames[[#This Row],[OpenParPos]] - 2, LEN(tblPassengerNames[[#This Row],[Name]]))</f>
        <v>19</v>
      </c>
      <c r="J856" t="str">
        <f>MID(tblPassengerNames[[#This Row],[Name]], tblPassengerNames[[#This Row],[DotPos]] + 2, tblPassengerNames[[#This Row],[EndOfConvFNPos]] - tblPassengerNames[[#This Row],[DotPos]] - 1)</f>
        <v>Abraham</v>
      </c>
      <c r="K856" t="str">
        <f>MID(tblPassengerNames[[#This Row],[Name]], tblPassengerNames[[#This Row],[OpenParPos]] + 1, tblPassengerNames[[#This Row],[CloseParPos]] - tblPassengerNames[[#This Row],[OpenParPos]] - 1)</f>
        <v>David Lishin</v>
      </c>
      <c r="L856" t="str">
        <f>IF(AND(LEFT(tblPassengerNames[[#This Row],[InParentheses]], 1) = "'", RIGHT(tblPassengerNames[[#This Row],[InParentheses]], 1) = "'"),
    #VALUE!,
    tblPassengerNames[[#This Row],[InParentheses]]
)</f>
        <v>David Lishin</v>
      </c>
      <c r="M856">
        <f>LEN(tblPassengerNames[[#This Row],[InParenthesesCleaned]]) - LEN(SUBSTITUTE(tblPassengerNames[[#This Row],[InParenthesesCleaned]], " ", ""))</f>
        <v>1</v>
      </c>
      <c r="N856">
        <f>FIND("@", SUBSTITUTE(tblPassengerNames[[#This Row],[InParenthesesCleaned]], " ", "@", tblPassengerNames[[#This Row],[P_NSpaces]]))</f>
        <v>6</v>
      </c>
      <c r="O856" t="str">
        <f>IF(tblPassengerNames[[#This Row],[P_NSpaces]] = 0,
    tblPassengerNames[[#This Row],[InParenthesesCleaned]],
    LEFT(tblPassengerNames[[#This Row],[InParenthesesCleaned]], tblPassengerNames[[#This Row],[P_FinalSpacePos]] - 1)
)</f>
        <v>David</v>
      </c>
      <c r="P856" t="str">
        <f>IFERROR(tblPassengerNames[[#This Row],[P_Forenames]], tblPassengerNames[[#This Row],[ConvForenames]])</f>
        <v>David</v>
      </c>
      <c r="Q856" t="str">
        <f>MID(tblPassengerNames[[#This Row],[Name]], tblPassengerNames[[#This Row],[CommaPos]] + 2, tblPassengerNames[[#This Row],[DotPos]] - tblPassengerNames[[#This Row],[CommaPos]] - 1)</f>
        <v>Mr.</v>
      </c>
      <c r="R856" t="str">
        <f>LEFT(tblPassengerNames[[#This Row],[Name]], tblPassengerNames[[#This Row],[CommaPos]] - 1)</f>
        <v>Harmer</v>
      </c>
    </row>
    <row r="857" spans="2:18" x14ac:dyDescent="0.25">
      <c r="B857" s="21">
        <v>855</v>
      </c>
      <c r="C857" s="21" t="s">
        <v>990</v>
      </c>
      <c r="D857" s="21" t="s">
        <v>138</v>
      </c>
      <c r="E857">
        <f>FIND(",", tblPassengerNames[[#This Row],[Name]])</f>
        <v>5</v>
      </c>
      <c r="F857">
        <f>FIND(".", tblPassengerNames[[#This Row],[Name]])</f>
        <v>9</v>
      </c>
      <c r="G857" t="e">
        <f>FIND("(", tblPassengerNames[[#This Row],[Name]])</f>
        <v>#VALUE!</v>
      </c>
      <c r="H857" t="e">
        <f>FIND(")", tblPassengerNames[[#This Row],[Name]])</f>
        <v>#VALUE!</v>
      </c>
      <c r="I857">
        <f>IFERROR(tblPassengerNames[[#This Row],[OpenParPos]] - 2, LEN(tblPassengerNames[[#This Row],[Name]]))</f>
        <v>15</v>
      </c>
      <c r="J857" t="str">
        <f>MID(tblPassengerNames[[#This Row],[Name]], tblPassengerNames[[#This Row],[DotPos]] + 2, tblPassengerNames[[#This Row],[EndOfConvFNPos]] - tblPassengerNames[[#This Row],[DotPos]] - 1)</f>
        <v>Henry</v>
      </c>
      <c r="K857" t="e">
        <f>MID(tblPassengerNames[[#This Row],[Name]], tblPassengerNames[[#This Row],[OpenParPos]] + 1, tblPassengerNames[[#This Row],[CloseParPos]] - tblPassengerNames[[#This Row],[OpenParPos]] - 1)</f>
        <v>#VALUE!</v>
      </c>
      <c r="L857" t="e">
        <f>IF(AND(LEFT(tblPassengerNames[[#This Row],[InParentheses]], 1) = "'", RIGHT(tblPassengerNames[[#This Row],[InParentheses]], 1) = "'"),
    #VALUE!,
    tblPassengerNames[[#This Row],[InParentheses]]
)</f>
        <v>#VALUE!</v>
      </c>
      <c r="M857" t="e">
        <f>LEN(tblPassengerNames[[#This Row],[InParenthesesCleaned]]) - LEN(SUBSTITUTE(tblPassengerNames[[#This Row],[InParenthesesCleaned]], " ", ""))</f>
        <v>#VALUE!</v>
      </c>
      <c r="N857" t="e">
        <f>FIND("@", SUBSTITUTE(tblPassengerNames[[#This Row],[InParenthesesCleaned]], " ", "@", tblPassengerNames[[#This Row],[P_NSpaces]]))</f>
        <v>#VALUE!</v>
      </c>
      <c r="O857" t="e">
        <f>IF(tblPassengerNames[[#This Row],[P_NSpaces]] = 0,
    tblPassengerNames[[#This Row],[InParenthesesCleaned]],
    LEFT(tblPassengerNames[[#This Row],[InParenthesesCleaned]], tblPassengerNames[[#This Row],[P_FinalSpacePos]] - 1)
)</f>
        <v>#VALUE!</v>
      </c>
      <c r="P857" t="str">
        <f>IFERROR(tblPassengerNames[[#This Row],[P_Forenames]], tblPassengerNames[[#This Row],[ConvForenames]])</f>
        <v>Henry</v>
      </c>
      <c r="Q857" t="str">
        <f>MID(tblPassengerNames[[#This Row],[Name]], tblPassengerNames[[#This Row],[CommaPos]] + 2, tblPassengerNames[[#This Row],[DotPos]] - tblPassengerNames[[#This Row],[CommaPos]] - 1)</f>
        <v>Mr.</v>
      </c>
      <c r="R857" t="str">
        <f>LEFT(tblPassengerNames[[#This Row],[Name]], tblPassengerNames[[#This Row],[CommaPos]] - 1)</f>
        <v>Hart</v>
      </c>
    </row>
    <row r="858" spans="2:18" x14ac:dyDescent="0.25">
      <c r="B858" s="21">
        <v>856</v>
      </c>
      <c r="C858" s="21" t="s">
        <v>991</v>
      </c>
      <c r="D858" s="21" t="s">
        <v>138</v>
      </c>
      <c r="E858">
        <f>FIND(",", tblPassengerNames[[#This Row],[Name]])</f>
        <v>7</v>
      </c>
      <c r="F858">
        <f>FIND(".", tblPassengerNames[[#This Row],[Name]])</f>
        <v>11</v>
      </c>
      <c r="G858" t="e">
        <f>FIND("(", tblPassengerNames[[#This Row],[Name]])</f>
        <v>#VALUE!</v>
      </c>
      <c r="H858" t="e">
        <f>FIND(")", tblPassengerNames[[#This Row],[Name]])</f>
        <v>#VALUE!</v>
      </c>
      <c r="I858">
        <f>IFERROR(tblPassengerNames[[#This Row],[OpenParPos]] - 2, LEN(tblPassengerNames[[#This Row],[Name]]))</f>
        <v>24</v>
      </c>
      <c r="J858" t="str">
        <f>MID(tblPassengerNames[[#This Row],[Name]], tblPassengerNames[[#This Row],[DotPos]] + 2, tblPassengerNames[[#This Row],[EndOfConvFNPos]] - tblPassengerNames[[#This Row],[DotPos]] - 1)</f>
        <v>Houssein G N</v>
      </c>
      <c r="K858" t="e">
        <f>MID(tblPassengerNames[[#This Row],[Name]], tblPassengerNames[[#This Row],[OpenParPos]] + 1, tblPassengerNames[[#This Row],[CloseParPos]] - tblPassengerNames[[#This Row],[OpenParPos]] - 1)</f>
        <v>#VALUE!</v>
      </c>
      <c r="L858" t="e">
        <f>IF(AND(LEFT(tblPassengerNames[[#This Row],[InParentheses]], 1) = "'", RIGHT(tblPassengerNames[[#This Row],[InParentheses]], 1) = "'"),
    #VALUE!,
    tblPassengerNames[[#This Row],[InParentheses]]
)</f>
        <v>#VALUE!</v>
      </c>
      <c r="M858" t="e">
        <f>LEN(tblPassengerNames[[#This Row],[InParenthesesCleaned]]) - LEN(SUBSTITUTE(tblPassengerNames[[#This Row],[InParenthesesCleaned]], " ", ""))</f>
        <v>#VALUE!</v>
      </c>
      <c r="N858" t="e">
        <f>FIND("@", SUBSTITUTE(tblPassengerNames[[#This Row],[InParenthesesCleaned]], " ", "@", tblPassengerNames[[#This Row],[P_NSpaces]]))</f>
        <v>#VALUE!</v>
      </c>
      <c r="O858" t="e">
        <f>IF(tblPassengerNames[[#This Row],[P_NSpaces]] = 0,
    tblPassengerNames[[#This Row],[InParenthesesCleaned]],
    LEFT(tblPassengerNames[[#This Row],[InParenthesesCleaned]], tblPassengerNames[[#This Row],[P_FinalSpacePos]] - 1)
)</f>
        <v>#VALUE!</v>
      </c>
      <c r="P858" t="str">
        <f>IFERROR(tblPassengerNames[[#This Row],[P_Forenames]], tblPassengerNames[[#This Row],[ConvForenames]])</f>
        <v>Houssein G N</v>
      </c>
      <c r="Q858" t="str">
        <f>MID(tblPassengerNames[[#This Row],[Name]], tblPassengerNames[[#This Row],[CommaPos]] + 2, tblPassengerNames[[#This Row],[DotPos]] - tblPassengerNames[[#This Row],[CommaPos]] - 1)</f>
        <v>Mr.</v>
      </c>
      <c r="R858" t="str">
        <f>LEFT(tblPassengerNames[[#This Row],[Name]], tblPassengerNames[[#This Row],[CommaPos]] - 1)</f>
        <v>Hassan</v>
      </c>
    </row>
    <row r="859" spans="2:18" x14ac:dyDescent="0.25">
      <c r="B859" s="21">
        <v>857</v>
      </c>
      <c r="C859" s="21" t="s">
        <v>992</v>
      </c>
      <c r="D859" s="21" t="s">
        <v>136</v>
      </c>
      <c r="E859">
        <f>FIND(",", tblPassengerNames[[#This Row],[Name]])</f>
        <v>6</v>
      </c>
      <c r="F859">
        <f>FIND(".", tblPassengerNames[[#This Row],[Name]])</f>
        <v>12</v>
      </c>
      <c r="G859" t="e">
        <f>FIND("(", tblPassengerNames[[#This Row],[Name]])</f>
        <v>#VALUE!</v>
      </c>
      <c r="H859" t="e">
        <f>FIND(")", tblPassengerNames[[#This Row],[Name]])</f>
        <v>#VALUE!</v>
      </c>
      <c r="I859">
        <f>IFERROR(tblPassengerNames[[#This Row],[OpenParPos]] - 2, LEN(tblPassengerNames[[#This Row],[Name]]))</f>
        <v>26</v>
      </c>
      <c r="J859" t="str">
        <f>MID(tblPassengerNames[[#This Row],[Name]], tblPassengerNames[[#This Row],[DotPos]] + 2, tblPassengerNames[[#This Row],[EndOfConvFNPos]] - tblPassengerNames[[#This Row],[DotPos]] - 1)</f>
        <v>Hanora 'Nora'</v>
      </c>
      <c r="K859" t="e">
        <f>MID(tblPassengerNames[[#This Row],[Name]], tblPassengerNames[[#This Row],[OpenParPos]] + 1, tblPassengerNames[[#This Row],[CloseParPos]] - tblPassengerNames[[#This Row],[OpenParPos]] - 1)</f>
        <v>#VALUE!</v>
      </c>
      <c r="L859" t="e">
        <f>IF(AND(LEFT(tblPassengerNames[[#This Row],[InParentheses]], 1) = "'", RIGHT(tblPassengerNames[[#This Row],[InParentheses]], 1) = "'"),
    #VALUE!,
    tblPassengerNames[[#This Row],[InParentheses]]
)</f>
        <v>#VALUE!</v>
      </c>
      <c r="M859" t="e">
        <f>LEN(tblPassengerNames[[#This Row],[InParenthesesCleaned]]) - LEN(SUBSTITUTE(tblPassengerNames[[#This Row],[InParenthesesCleaned]], " ", ""))</f>
        <v>#VALUE!</v>
      </c>
      <c r="N859" t="e">
        <f>FIND("@", SUBSTITUTE(tblPassengerNames[[#This Row],[InParenthesesCleaned]], " ", "@", tblPassengerNames[[#This Row],[P_NSpaces]]))</f>
        <v>#VALUE!</v>
      </c>
      <c r="O859" t="e">
        <f>IF(tblPassengerNames[[#This Row],[P_NSpaces]] = 0,
    tblPassengerNames[[#This Row],[InParenthesesCleaned]],
    LEFT(tblPassengerNames[[#This Row],[InParenthesesCleaned]], tblPassengerNames[[#This Row],[P_FinalSpacePos]] - 1)
)</f>
        <v>#VALUE!</v>
      </c>
      <c r="P859" t="str">
        <f>IFERROR(tblPassengerNames[[#This Row],[P_Forenames]], tblPassengerNames[[#This Row],[ConvForenames]])</f>
        <v>Hanora 'Nora'</v>
      </c>
      <c r="Q859" t="str">
        <f>MID(tblPassengerNames[[#This Row],[Name]], tblPassengerNames[[#This Row],[CommaPos]] + 2, tblPassengerNames[[#This Row],[DotPos]] - tblPassengerNames[[#This Row],[CommaPos]] - 1)</f>
        <v>Miss.</v>
      </c>
      <c r="R859" t="str">
        <f>LEFT(tblPassengerNames[[#This Row],[Name]], tblPassengerNames[[#This Row],[CommaPos]] - 1)</f>
        <v>Healy</v>
      </c>
    </row>
    <row r="860" spans="2:18" x14ac:dyDescent="0.25">
      <c r="B860" s="21">
        <v>858</v>
      </c>
      <c r="C860" s="21" t="s">
        <v>993</v>
      </c>
      <c r="D860" s="21" t="s">
        <v>138</v>
      </c>
      <c r="E860">
        <f>FIND(",", tblPassengerNames[[#This Row],[Name]])</f>
        <v>7</v>
      </c>
      <c r="F860">
        <f>FIND(".", tblPassengerNames[[#This Row],[Name]])</f>
        <v>11</v>
      </c>
      <c r="G860" t="e">
        <f>FIND("(", tblPassengerNames[[#This Row],[Name]])</f>
        <v>#VALUE!</v>
      </c>
      <c r="H860" t="e">
        <f>FIND(")", tblPassengerNames[[#This Row],[Name]])</f>
        <v>#VALUE!</v>
      </c>
      <c r="I860">
        <f>IFERROR(tblPassengerNames[[#This Row],[OpenParPos]] - 2, LEN(tblPassengerNames[[#This Row],[Name]]))</f>
        <v>23</v>
      </c>
      <c r="J860" t="str">
        <f>MID(tblPassengerNames[[#This Row],[Name]], tblPassengerNames[[#This Row],[DotPos]] + 2, tblPassengerNames[[#This Row],[EndOfConvFNPos]] - tblPassengerNames[[#This Row],[DotPos]] - 1)</f>
        <v>Oskar Arvid</v>
      </c>
      <c r="K860" t="e">
        <f>MID(tblPassengerNames[[#This Row],[Name]], tblPassengerNames[[#This Row],[OpenParPos]] + 1, tblPassengerNames[[#This Row],[CloseParPos]] - tblPassengerNames[[#This Row],[OpenParPos]] - 1)</f>
        <v>#VALUE!</v>
      </c>
      <c r="L860" t="e">
        <f>IF(AND(LEFT(tblPassengerNames[[#This Row],[InParentheses]], 1) = "'", RIGHT(tblPassengerNames[[#This Row],[InParentheses]], 1) = "'"),
    #VALUE!,
    tblPassengerNames[[#This Row],[InParentheses]]
)</f>
        <v>#VALUE!</v>
      </c>
      <c r="M860" t="e">
        <f>LEN(tblPassengerNames[[#This Row],[InParenthesesCleaned]]) - LEN(SUBSTITUTE(tblPassengerNames[[#This Row],[InParenthesesCleaned]], " ", ""))</f>
        <v>#VALUE!</v>
      </c>
      <c r="N860" t="e">
        <f>FIND("@", SUBSTITUTE(tblPassengerNames[[#This Row],[InParenthesesCleaned]], " ", "@", tblPassengerNames[[#This Row],[P_NSpaces]]))</f>
        <v>#VALUE!</v>
      </c>
      <c r="O860" t="e">
        <f>IF(tblPassengerNames[[#This Row],[P_NSpaces]] = 0,
    tblPassengerNames[[#This Row],[InParenthesesCleaned]],
    LEFT(tblPassengerNames[[#This Row],[InParenthesesCleaned]], tblPassengerNames[[#This Row],[P_FinalSpacePos]] - 1)
)</f>
        <v>#VALUE!</v>
      </c>
      <c r="P860" t="str">
        <f>IFERROR(tblPassengerNames[[#This Row],[P_Forenames]], tblPassengerNames[[#This Row],[ConvForenames]])</f>
        <v>Oskar Arvid</v>
      </c>
      <c r="Q860" t="str">
        <f>MID(tblPassengerNames[[#This Row],[Name]], tblPassengerNames[[#This Row],[CommaPos]] + 2, tblPassengerNames[[#This Row],[DotPos]] - tblPassengerNames[[#This Row],[CommaPos]] - 1)</f>
        <v>Mr.</v>
      </c>
      <c r="R860" t="str">
        <f>LEFT(tblPassengerNames[[#This Row],[Name]], tblPassengerNames[[#This Row],[CommaPos]] - 1)</f>
        <v>Hedman</v>
      </c>
    </row>
    <row r="861" spans="2:18" x14ac:dyDescent="0.25">
      <c r="B861" s="21">
        <v>859</v>
      </c>
      <c r="C861" s="21" t="s">
        <v>994</v>
      </c>
      <c r="D861" s="21" t="s">
        <v>138</v>
      </c>
      <c r="E861">
        <f>FIND(",", tblPassengerNames[[#This Row],[Name]])</f>
        <v>4</v>
      </c>
      <c r="F861">
        <f>FIND(".", tblPassengerNames[[#This Row],[Name]])</f>
        <v>8</v>
      </c>
      <c r="G861" t="e">
        <f>FIND("(", tblPassengerNames[[#This Row],[Name]])</f>
        <v>#VALUE!</v>
      </c>
      <c r="H861" t="e">
        <f>FIND(")", tblPassengerNames[[#This Row],[Name]])</f>
        <v>#VALUE!</v>
      </c>
      <c r="I861">
        <f>IFERROR(tblPassengerNames[[#This Row],[OpenParPos]] - 2, LEN(tblPassengerNames[[#This Row],[Name]]))</f>
        <v>13</v>
      </c>
      <c r="J861" t="str">
        <f>MID(tblPassengerNames[[#This Row],[Name]], tblPassengerNames[[#This Row],[DotPos]] + 2, tblPassengerNames[[#This Row],[EndOfConvFNPos]] - tblPassengerNames[[#This Row],[DotPos]] - 1)</f>
        <v>Ling</v>
      </c>
      <c r="K861" t="e">
        <f>MID(tblPassengerNames[[#This Row],[Name]], tblPassengerNames[[#This Row],[OpenParPos]] + 1, tblPassengerNames[[#This Row],[CloseParPos]] - tblPassengerNames[[#This Row],[OpenParPos]] - 1)</f>
        <v>#VALUE!</v>
      </c>
      <c r="L861" t="e">
        <f>IF(AND(LEFT(tblPassengerNames[[#This Row],[InParentheses]], 1) = "'", RIGHT(tblPassengerNames[[#This Row],[InParentheses]], 1) = "'"),
    #VALUE!,
    tblPassengerNames[[#This Row],[InParentheses]]
)</f>
        <v>#VALUE!</v>
      </c>
      <c r="M861" t="e">
        <f>LEN(tblPassengerNames[[#This Row],[InParenthesesCleaned]]) - LEN(SUBSTITUTE(tblPassengerNames[[#This Row],[InParenthesesCleaned]], " ", ""))</f>
        <v>#VALUE!</v>
      </c>
      <c r="N861" t="e">
        <f>FIND("@", SUBSTITUTE(tblPassengerNames[[#This Row],[InParenthesesCleaned]], " ", "@", tblPassengerNames[[#This Row],[P_NSpaces]]))</f>
        <v>#VALUE!</v>
      </c>
      <c r="O861" t="e">
        <f>IF(tblPassengerNames[[#This Row],[P_NSpaces]] = 0,
    tblPassengerNames[[#This Row],[InParenthesesCleaned]],
    LEFT(tblPassengerNames[[#This Row],[InParenthesesCleaned]], tblPassengerNames[[#This Row],[P_FinalSpacePos]] - 1)
)</f>
        <v>#VALUE!</v>
      </c>
      <c r="P861" t="str">
        <f>IFERROR(tblPassengerNames[[#This Row],[P_Forenames]], tblPassengerNames[[#This Row],[ConvForenames]])</f>
        <v>Ling</v>
      </c>
      <c r="Q861" t="str">
        <f>MID(tblPassengerNames[[#This Row],[Name]], tblPassengerNames[[#This Row],[CommaPos]] + 2, tblPassengerNames[[#This Row],[DotPos]] - tblPassengerNames[[#This Row],[CommaPos]] - 1)</f>
        <v>Mr.</v>
      </c>
      <c r="R861" t="str">
        <f>LEFT(tblPassengerNames[[#This Row],[Name]], tblPassengerNames[[#This Row],[CommaPos]] - 1)</f>
        <v>Hee</v>
      </c>
    </row>
    <row r="862" spans="2:18" x14ac:dyDescent="0.25">
      <c r="B862" s="21">
        <v>860</v>
      </c>
      <c r="C862" s="21" t="s">
        <v>995</v>
      </c>
      <c r="D862" s="21" t="s">
        <v>136</v>
      </c>
      <c r="E862">
        <f>FIND(",", tblPassengerNames[[#This Row],[Name]])</f>
        <v>8</v>
      </c>
      <c r="F862">
        <f>FIND(".", tblPassengerNames[[#This Row],[Name]])</f>
        <v>14</v>
      </c>
      <c r="G862" t="e">
        <f>FIND("(", tblPassengerNames[[#This Row],[Name]])</f>
        <v>#VALUE!</v>
      </c>
      <c r="H862" t="e">
        <f>FIND(")", tblPassengerNames[[#This Row],[Name]])</f>
        <v>#VALUE!</v>
      </c>
      <c r="I862">
        <f>IFERROR(tblPassengerNames[[#This Row],[OpenParPos]] - 2, LEN(tblPassengerNames[[#This Row],[Name]]))</f>
        <v>28</v>
      </c>
      <c r="J862" t="str">
        <f>MID(tblPassengerNames[[#This Row],[Name]], tblPassengerNames[[#This Row],[DotPos]] + 2, tblPassengerNames[[#This Row],[EndOfConvFNPos]] - tblPassengerNames[[#This Row],[DotPos]] - 1)</f>
        <v>Hanora 'Nora'</v>
      </c>
      <c r="K862" t="e">
        <f>MID(tblPassengerNames[[#This Row],[Name]], tblPassengerNames[[#This Row],[OpenParPos]] + 1, tblPassengerNames[[#This Row],[CloseParPos]] - tblPassengerNames[[#This Row],[OpenParPos]] - 1)</f>
        <v>#VALUE!</v>
      </c>
      <c r="L862" t="e">
        <f>IF(AND(LEFT(tblPassengerNames[[#This Row],[InParentheses]], 1) = "'", RIGHT(tblPassengerNames[[#This Row],[InParentheses]], 1) = "'"),
    #VALUE!,
    tblPassengerNames[[#This Row],[InParentheses]]
)</f>
        <v>#VALUE!</v>
      </c>
      <c r="M862" t="e">
        <f>LEN(tblPassengerNames[[#This Row],[InParenthesesCleaned]]) - LEN(SUBSTITUTE(tblPassengerNames[[#This Row],[InParenthesesCleaned]], " ", ""))</f>
        <v>#VALUE!</v>
      </c>
      <c r="N862" t="e">
        <f>FIND("@", SUBSTITUTE(tblPassengerNames[[#This Row],[InParenthesesCleaned]], " ", "@", tblPassengerNames[[#This Row],[P_NSpaces]]))</f>
        <v>#VALUE!</v>
      </c>
      <c r="O862" t="e">
        <f>IF(tblPassengerNames[[#This Row],[P_NSpaces]] = 0,
    tblPassengerNames[[#This Row],[InParenthesesCleaned]],
    LEFT(tblPassengerNames[[#This Row],[InParenthesesCleaned]], tblPassengerNames[[#This Row],[P_FinalSpacePos]] - 1)
)</f>
        <v>#VALUE!</v>
      </c>
      <c r="P862" t="str">
        <f>IFERROR(tblPassengerNames[[#This Row],[P_Forenames]], tblPassengerNames[[#This Row],[ConvForenames]])</f>
        <v>Hanora 'Nora'</v>
      </c>
      <c r="Q862" t="str">
        <f>MID(tblPassengerNames[[#This Row],[Name]], tblPassengerNames[[#This Row],[CommaPos]] + 2, tblPassengerNames[[#This Row],[DotPos]] - tblPassengerNames[[#This Row],[CommaPos]] - 1)</f>
        <v>Miss.</v>
      </c>
      <c r="R862" t="str">
        <f>LEFT(tblPassengerNames[[#This Row],[Name]], tblPassengerNames[[#This Row],[CommaPos]] - 1)</f>
        <v>Hegarty</v>
      </c>
    </row>
    <row r="863" spans="2:18" x14ac:dyDescent="0.25">
      <c r="B863" s="21">
        <v>861</v>
      </c>
      <c r="C863" s="21" t="s">
        <v>996</v>
      </c>
      <c r="D863" s="21" t="s">
        <v>136</v>
      </c>
      <c r="E863">
        <f>FIND(",", tblPassengerNames[[#This Row],[Name]])</f>
        <v>10</v>
      </c>
      <c r="F863">
        <f>FIND(".", tblPassengerNames[[#This Row],[Name]])</f>
        <v>16</v>
      </c>
      <c r="G863" t="e">
        <f>FIND("(", tblPassengerNames[[#This Row],[Name]])</f>
        <v>#VALUE!</v>
      </c>
      <c r="H863" t="e">
        <f>FIND(")", tblPassengerNames[[#This Row],[Name]])</f>
        <v>#VALUE!</v>
      </c>
      <c r="I863">
        <f>IFERROR(tblPassengerNames[[#This Row],[OpenParPos]] - 2, LEN(tblPassengerNames[[#This Row],[Name]]))</f>
        <v>22</v>
      </c>
      <c r="J863" t="str">
        <f>MID(tblPassengerNames[[#This Row],[Name]], tblPassengerNames[[#This Row],[DotPos]] + 2, tblPassengerNames[[#This Row],[EndOfConvFNPos]] - tblPassengerNames[[#This Row],[DotPos]] - 1)</f>
        <v>Laina</v>
      </c>
      <c r="K863" t="e">
        <f>MID(tblPassengerNames[[#This Row],[Name]], tblPassengerNames[[#This Row],[OpenParPos]] + 1, tblPassengerNames[[#This Row],[CloseParPos]] - tblPassengerNames[[#This Row],[OpenParPos]] - 1)</f>
        <v>#VALUE!</v>
      </c>
      <c r="L863" t="e">
        <f>IF(AND(LEFT(tblPassengerNames[[#This Row],[InParentheses]], 1) = "'", RIGHT(tblPassengerNames[[#This Row],[InParentheses]], 1) = "'"),
    #VALUE!,
    tblPassengerNames[[#This Row],[InParentheses]]
)</f>
        <v>#VALUE!</v>
      </c>
      <c r="M863" t="e">
        <f>LEN(tblPassengerNames[[#This Row],[InParenthesesCleaned]]) - LEN(SUBSTITUTE(tblPassengerNames[[#This Row],[InParenthesesCleaned]], " ", ""))</f>
        <v>#VALUE!</v>
      </c>
      <c r="N863" t="e">
        <f>FIND("@", SUBSTITUTE(tblPassengerNames[[#This Row],[InParenthesesCleaned]], " ", "@", tblPassengerNames[[#This Row],[P_NSpaces]]))</f>
        <v>#VALUE!</v>
      </c>
      <c r="O863" t="e">
        <f>IF(tblPassengerNames[[#This Row],[P_NSpaces]] = 0,
    tblPassengerNames[[#This Row],[InParenthesesCleaned]],
    LEFT(tblPassengerNames[[#This Row],[InParenthesesCleaned]], tblPassengerNames[[#This Row],[P_FinalSpacePos]] - 1)
)</f>
        <v>#VALUE!</v>
      </c>
      <c r="P863" t="str">
        <f>IFERROR(tblPassengerNames[[#This Row],[P_Forenames]], tblPassengerNames[[#This Row],[ConvForenames]])</f>
        <v>Laina</v>
      </c>
      <c r="Q863" t="str">
        <f>MID(tblPassengerNames[[#This Row],[Name]], tblPassengerNames[[#This Row],[CommaPos]] + 2, tblPassengerNames[[#This Row],[DotPos]] - tblPassengerNames[[#This Row],[CommaPos]] - 1)</f>
        <v>Miss.</v>
      </c>
      <c r="R863" t="str">
        <f>LEFT(tblPassengerNames[[#This Row],[Name]], tblPassengerNames[[#This Row],[CommaPos]] - 1)</f>
        <v>Heikkinen</v>
      </c>
    </row>
    <row r="864" spans="2:18" x14ac:dyDescent="0.25">
      <c r="B864" s="21">
        <v>862</v>
      </c>
      <c r="C864" s="21" t="s">
        <v>997</v>
      </c>
      <c r="D864" s="21" t="s">
        <v>136</v>
      </c>
      <c r="E864">
        <f>FIND(",", tblPassengerNames[[#This Row],[Name]])</f>
        <v>9</v>
      </c>
      <c r="F864">
        <f>FIND(".", tblPassengerNames[[#This Row],[Name]])</f>
        <v>15</v>
      </c>
      <c r="G864" t="e">
        <f>FIND("(", tblPassengerNames[[#This Row],[Name]])</f>
        <v>#VALUE!</v>
      </c>
      <c r="H864" t="e">
        <f>FIND(")", tblPassengerNames[[#This Row],[Name]])</f>
        <v>#VALUE!</v>
      </c>
      <c r="I864">
        <f>IFERROR(tblPassengerNames[[#This Row],[OpenParPos]] - 2, LEN(tblPassengerNames[[#This Row],[Name]]))</f>
        <v>28</v>
      </c>
      <c r="J864" t="str">
        <f>MID(tblPassengerNames[[#This Row],[Name]], tblPassengerNames[[#This Row],[DotPos]] + 2, tblPassengerNames[[#This Row],[EndOfConvFNPos]] - tblPassengerNames[[#This Row],[DotPos]] - 1)</f>
        <v>Wendla Maria</v>
      </c>
      <c r="K864" t="e">
        <f>MID(tblPassengerNames[[#This Row],[Name]], tblPassengerNames[[#This Row],[OpenParPos]] + 1, tblPassengerNames[[#This Row],[CloseParPos]] - tblPassengerNames[[#This Row],[OpenParPos]] - 1)</f>
        <v>#VALUE!</v>
      </c>
      <c r="L864" t="e">
        <f>IF(AND(LEFT(tblPassengerNames[[#This Row],[InParentheses]], 1) = "'", RIGHT(tblPassengerNames[[#This Row],[InParentheses]], 1) = "'"),
    #VALUE!,
    tblPassengerNames[[#This Row],[InParentheses]]
)</f>
        <v>#VALUE!</v>
      </c>
      <c r="M864" t="e">
        <f>LEN(tblPassengerNames[[#This Row],[InParenthesesCleaned]]) - LEN(SUBSTITUTE(tblPassengerNames[[#This Row],[InParenthesesCleaned]], " ", ""))</f>
        <v>#VALUE!</v>
      </c>
      <c r="N864" t="e">
        <f>FIND("@", SUBSTITUTE(tblPassengerNames[[#This Row],[InParenthesesCleaned]], " ", "@", tblPassengerNames[[#This Row],[P_NSpaces]]))</f>
        <v>#VALUE!</v>
      </c>
      <c r="O864" t="e">
        <f>IF(tblPassengerNames[[#This Row],[P_NSpaces]] = 0,
    tblPassengerNames[[#This Row],[InParenthesesCleaned]],
    LEFT(tblPassengerNames[[#This Row],[InParenthesesCleaned]], tblPassengerNames[[#This Row],[P_FinalSpacePos]] - 1)
)</f>
        <v>#VALUE!</v>
      </c>
      <c r="P864" t="str">
        <f>IFERROR(tblPassengerNames[[#This Row],[P_Forenames]], tblPassengerNames[[#This Row],[ConvForenames]])</f>
        <v>Wendla Maria</v>
      </c>
      <c r="Q864" t="str">
        <f>MID(tblPassengerNames[[#This Row],[Name]], tblPassengerNames[[#This Row],[CommaPos]] + 2, tblPassengerNames[[#This Row],[DotPos]] - tblPassengerNames[[#This Row],[CommaPos]] - 1)</f>
        <v>Miss.</v>
      </c>
      <c r="R864" t="str">
        <f>LEFT(tblPassengerNames[[#This Row],[Name]], tblPassengerNames[[#This Row],[CommaPos]] - 1)</f>
        <v>Heininen</v>
      </c>
    </row>
    <row r="865" spans="2:18" x14ac:dyDescent="0.25">
      <c r="B865" s="21">
        <v>863</v>
      </c>
      <c r="C865" s="21" t="s">
        <v>998</v>
      </c>
      <c r="D865" s="21" t="s">
        <v>136</v>
      </c>
      <c r="E865">
        <f>FIND(",", tblPassengerNames[[#This Row],[Name]])</f>
        <v>10</v>
      </c>
      <c r="F865">
        <f>FIND(".", tblPassengerNames[[#This Row],[Name]])</f>
        <v>16</v>
      </c>
      <c r="G865" t="e">
        <f>FIND("(", tblPassengerNames[[#This Row],[Name]])</f>
        <v>#VALUE!</v>
      </c>
      <c r="H865" t="e">
        <f>FIND(")", tblPassengerNames[[#This Row],[Name]])</f>
        <v>#VALUE!</v>
      </c>
      <c r="I865">
        <f>IFERROR(tblPassengerNames[[#This Row],[OpenParPos]] - 2, LEN(tblPassengerNames[[#This Row],[Name]]))</f>
        <v>28</v>
      </c>
      <c r="J865" t="str">
        <f>MID(tblPassengerNames[[#This Row],[Name]], tblPassengerNames[[#This Row],[DotPos]] + 2, tblPassengerNames[[#This Row],[EndOfConvFNPos]] - tblPassengerNames[[#This Row],[DotPos]] - 1)</f>
        <v>Hilda Maria</v>
      </c>
      <c r="K865" t="e">
        <f>MID(tblPassengerNames[[#This Row],[Name]], tblPassengerNames[[#This Row],[OpenParPos]] + 1, tblPassengerNames[[#This Row],[CloseParPos]] - tblPassengerNames[[#This Row],[OpenParPos]] - 1)</f>
        <v>#VALUE!</v>
      </c>
      <c r="L865" t="e">
        <f>IF(AND(LEFT(tblPassengerNames[[#This Row],[InParentheses]], 1) = "'", RIGHT(tblPassengerNames[[#This Row],[InParentheses]], 1) = "'"),
    #VALUE!,
    tblPassengerNames[[#This Row],[InParentheses]]
)</f>
        <v>#VALUE!</v>
      </c>
      <c r="M865" t="e">
        <f>LEN(tblPassengerNames[[#This Row],[InParenthesesCleaned]]) - LEN(SUBSTITUTE(tblPassengerNames[[#This Row],[InParenthesesCleaned]], " ", ""))</f>
        <v>#VALUE!</v>
      </c>
      <c r="N865" t="e">
        <f>FIND("@", SUBSTITUTE(tblPassengerNames[[#This Row],[InParenthesesCleaned]], " ", "@", tblPassengerNames[[#This Row],[P_NSpaces]]))</f>
        <v>#VALUE!</v>
      </c>
      <c r="O865" t="e">
        <f>IF(tblPassengerNames[[#This Row],[P_NSpaces]] = 0,
    tblPassengerNames[[#This Row],[InParenthesesCleaned]],
    LEFT(tblPassengerNames[[#This Row],[InParenthesesCleaned]], tblPassengerNames[[#This Row],[P_FinalSpacePos]] - 1)
)</f>
        <v>#VALUE!</v>
      </c>
      <c r="P865" t="str">
        <f>IFERROR(tblPassengerNames[[#This Row],[P_Forenames]], tblPassengerNames[[#This Row],[ConvForenames]])</f>
        <v>Hilda Maria</v>
      </c>
      <c r="Q865" t="str">
        <f>MID(tblPassengerNames[[#This Row],[Name]], tblPassengerNames[[#This Row],[CommaPos]] + 2, tblPassengerNames[[#This Row],[DotPos]] - tblPassengerNames[[#This Row],[CommaPos]] - 1)</f>
        <v>Miss.</v>
      </c>
      <c r="R865" t="str">
        <f>LEFT(tblPassengerNames[[#This Row],[Name]], tblPassengerNames[[#This Row],[CommaPos]] - 1)</f>
        <v>Hellstrom</v>
      </c>
    </row>
    <row r="866" spans="2:18" x14ac:dyDescent="0.25">
      <c r="B866" s="21">
        <v>864</v>
      </c>
      <c r="C866" s="21" t="s">
        <v>999</v>
      </c>
      <c r="D866" s="21" t="s">
        <v>138</v>
      </c>
      <c r="E866">
        <f>FIND(",", tblPassengerNames[[#This Row],[Name]])</f>
        <v>11</v>
      </c>
      <c r="F866">
        <f>FIND(".", tblPassengerNames[[#This Row],[Name]])</f>
        <v>15</v>
      </c>
      <c r="G866" t="e">
        <f>FIND("(", tblPassengerNames[[#This Row],[Name]])</f>
        <v>#VALUE!</v>
      </c>
      <c r="H866" t="e">
        <f>FIND(")", tblPassengerNames[[#This Row],[Name]])</f>
        <v>#VALUE!</v>
      </c>
      <c r="I866">
        <f>IFERROR(tblPassengerNames[[#This Row],[OpenParPos]] - 2, LEN(tblPassengerNames[[#This Row],[Name]]))</f>
        <v>22</v>
      </c>
      <c r="J866" t="str">
        <f>MID(tblPassengerNames[[#This Row],[Name]], tblPassengerNames[[#This Row],[DotPos]] + 2, tblPassengerNames[[#This Row],[EndOfConvFNPos]] - tblPassengerNames[[#This Row],[DotPos]] - 1)</f>
        <v>Ignjac</v>
      </c>
      <c r="K866" t="e">
        <f>MID(tblPassengerNames[[#This Row],[Name]], tblPassengerNames[[#This Row],[OpenParPos]] + 1, tblPassengerNames[[#This Row],[CloseParPos]] - tblPassengerNames[[#This Row],[OpenParPos]] - 1)</f>
        <v>#VALUE!</v>
      </c>
      <c r="L866" t="e">
        <f>IF(AND(LEFT(tblPassengerNames[[#This Row],[InParentheses]], 1) = "'", RIGHT(tblPassengerNames[[#This Row],[InParentheses]], 1) = "'"),
    #VALUE!,
    tblPassengerNames[[#This Row],[InParentheses]]
)</f>
        <v>#VALUE!</v>
      </c>
      <c r="M866" t="e">
        <f>LEN(tblPassengerNames[[#This Row],[InParenthesesCleaned]]) - LEN(SUBSTITUTE(tblPassengerNames[[#This Row],[InParenthesesCleaned]], " ", ""))</f>
        <v>#VALUE!</v>
      </c>
      <c r="N866" t="e">
        <f>FIND("@", SUBSTITUTE(tblPassengerNames[[#This Row],[InParenthesesCleaned]], " ", "@", tblPassengerNames[[#This Row],[P_NSpaces]]))</f>
        <v>#VALUE!</v>
      </c>
      <c r="O866" t="e">
        <f>IF(tblPassengerNames[[#This Row],[P_NSpaces]] = 0,
    tblPassengerNames[[#This Row],[InParenthesesCleaned]],
    LEFT(tblPassengerNames[[#This Row],[InParenthesesCleaned]], tblPassengerNames[[#This Row],[P_FinalSpacePos]] - 1)
)</f>
        <v>#VALUE!</v>
      </c>
      <c r="P866" t="str">
        <f>IFERROR(tblPassengerNames[[#This Row],[P_Forenames]], tblPassengerNames[[#This Row],[ConvForenames]])</f>
        <v>Ignjac</v>
      </c>
      <c r="Q866" t="str">
        <f>MID(tblPassengerNames[[#This Row],[Name]], tblPassengerNames[[#This Row],[CommaPos]] + 2, tblPassengerNames[[#This Row],[DotPos]] - tblPassengerNames[[#This Row],[CommaPos]] - 1)</f>
        <v>Mr.</v>
      </c>
      <c r="R866" t="str">
        <f>LEFT(tblPassengerNames[[#This Row],[Name]], tblPassengerNames[[#This Row],[CommaPos]] - 1)</f>
        <v>Hendekovic</v>
      </c>
    </row>
    <row r="867" spans="2:18" x14ac:dyDescent="0.25">
      <c r="B867" s="21">
        <v>865</v>
      </c>
      <c r="C867" s="21" t="s">
        <v>1000</v>
      </c>
      <c r="D867" s="21" t="s">
        <v>136</v>
      </c>
      <c r="E867">
        <f>FIND(",", tblPassengerNames[[#This Row],[Name]])</f>
        <v>11</v>
      </c>
      <c r="F867">
        <f>FIND(".", tblPassengerNames[[#This Row],[Name]])</f>
        <v>17</v>
      </c>
      <c r="G867" t="e">
        <f>FIND("(", tblPassengerNames[[#This Row],[Name]])</f>
        <v>#VALUE!</v>
      </c>
      <c r="H867" t="e">
        <f>FIND(")", tblPassengerNames[[#This Row],[Name]])</f>
        <v>#VALUE!</v>
      </c>
      <c r="I867">
        <f>IFERROR(tblPassengerNames[[#This Row],[OpenParPos]] - 2, LEN(tblPassengerNames[[#This Row],[Name]]))</f>
        <v>30</v>
      </c>
      <c r="J867" t="str">
        <f>MID(tblPassengerNames[[#This Row],[Name]], tblPassengerNames[[#This Row],[DotPos]] + 2, tblPassengerNames[[#This Row],[EndOfConvFNPos]] - tblPassengerNames[[#This Row],[DotPos]] - 1)</f>
        <v>Jenny Lovisa</v>
      </c>
      <c r="K867" t="e">
        <f>MID(tblPassengerNames[[#This Row],[Name]], tblPassengerNames[[#This Row],[OpenParPos]] + 1, tblPassengerNames[[#This Row],[CloseParPos]] - tblPassengerNames[[#This Row],[OpenParPos]] - 1)</f>
        <v>#VALUE!</v>
      </c>
      <c r="L867" t="e">
        <f>IF(AND(LEFT(tblPassengerNames[[#This Row],[InParentheses]], 1) = "'", RIGHT(tblPassengerNames[[#This Row],[InParentheses]], 1) = "'"),
    #VALUE!,
    tblPassengerNames[[#This Row],[InParentheses]]
)</f>
        <v>#VALUE!</v>
      </c>
      <c r="M867" t="e">
        <f>LEN(tblPassengerNames[[#This Row],[InParenthesesCleaned]]) - LEN(SUBSTITUTE(tblPassengerNames[[#This Row],[InParenthesesCleaned]], " ", ""))</f>
        <v>#VALUE!</v>
      </c>
      <c r="N867" t="e">
        <f>FIND("@", SUBSTITUTE(tblPassengerNames[[#This Row],[InParenthesesCleaned]], " ", "@", tblPassengerNames[[#This Row],[P_NSpaces]]))</f>
        <v>#VALUE!</v>
      </c>
      <c r="O867" t="e">
        <f>IF(tblPassengerNames[[#This Row],[P_NSpaces]] = 0,
    tblPassengerNames[[#This Row],[InParenthesesCleaned]],
    LEFT(tblPassengerNames[[#This Row],[InParenthesesCleaned]], tblPassengerNames[[#This Row],[P_FinalSpacePos]] - 1)
)</f>
        <v>#VALUE!</v>
      </c>
      <c r="P867" t="str">
        <f>IFERROR(tblPassengerNames[[#This Row],[P_Forenames]], tblPassengerNames[[#This Row],[ConvForenames]])</f>
        <v>Jenny Lovisa</v>
      </c>
      <c r="Q867" t="str">
        <f>MID(tblPassengerNames[[#This Row],[Name]], tblPassengerNames[[#This Row],[CommaPos]] + 2, tblPassengerNames[[#This Row],[DotPos]] - tblPassengerNames[[#This Row],[CommaPos]] - 1)</f>
        <v>Miss.</v>
      </c>
      <c r="R867" t="str">
        <f>LEFT(tblPassengerNames[[#This Row],[Name]], tblPassengerNames[[#This Row],[CommaPos]] - 1)</f>
        <v>Henriksson</v>
      </c>
    </row>
    <row r="868" spans="2:18" x14ac:dyDescent="0.25">
      <c r="B868" s="21">
        <v>866</v>
      </c>
      <c r="C868" s="21" t="s">
        <v>1001</v>
      </c>
      <c r="D868" s="21" t="s">
        <v>136</v>
      </c>
      <c r="E868">
        <f>FIND(",", tblPassengerNames[[#This Row],[Name]])</f>
        <v>6</v>
      </c>
      <c r="F868">
        <f>FIND(".", tblPassengerNames[[#This Row],[Name]])</f>
        <v>12</v>
      </c>
      <c r="G868" t="e">
        <f>FIND("(", tblPassengerNames[[#This Row],[Name]])</f>
        <v>#VALUE!</v>
      </c>
      <c r="H868" t="e">
        <f>FIND(")", tblPassengerNames[[#This Row],[Name]])</f>
        <v>#VALUE!</v>
      </c>
      <c r="I868">
        <f>IFERROR(tblPassengerNames[[#This Row],[OpenParPos]] - 2, LEN(tblPassengerNames[[#This Row],[Name]]))</f>
        <v>18</v>
      </c>
      <c r="J868" t="str">
        <f>MID(tblPassengerNames[[#This Row],[Name]], tblPassengerNames[[#This Row],[DotPos]] + 2, tblPassengerNames[[#This Row],[EndOfConvFNPos]] - tblPassengerNames[[#This Row],[DotPos]] - 1)</f>
        <v>Delia</v>
      </c>
      <c r="K868" t="e">
        <f>MID(tblPassengerNames[[#This Row],[Name]], tblPassengerNames[[#This Row],[OpenParPos]] + 1, tblPassengerNames[[#This Row],[CloseParPos]] - tblPassengerNames[[#This Row],[OpenParPos]] - 1)</f>
        <v>#VALUE!</v>
      </c>
      <c r="L868" t="e">
        <f>IF(AND(LEFT(tblPassengerNames[[#This Row],[InParentheses]], 1) = "'", RIGHT(tblPassengerNames[[#This Row],[InParentheses]], 1) = "'"),
    #VALUE!,
    tblPassengerNames[[#This Row],[InParentheses]]
)</f>
        <v>#VALUE!</v>
      </c>
      <c r="M868" t="e">
        <f>LEN(tblPassengerNames[[#This Row],[InParenthesesCleaned]]) - LEN(SUBSTITUTE(tblPassengerNames[[#This Row],[InParenthesesCleaned]], " ", ""))</f>
        <v>#VALUE!</v>
      </c>
      <c r="N868" t="e">
        <f>FIND("@", SUBSTITUTE(tblPassengerNames[[#This Row],[InParenthesesCleaned]], " ", "@", tblPassengerNames[[#This Row],[P_NSpaces]]))</f>
        <v>#VALUE!</v>
      </c>
      <c r="O868" t="e">
        <f>IF(tblPassengerNames[[#This Row],[P_NSpaces]] = 0,
    tblPassengerNames[[#This Row],[InParenthesesCleaned]],
    LEFT(tblPassengerNames[[#This Row],[InParenthesesCleaned]], tblPassengerNames[[#This Row],[P_FinalSpacePos]] - 1)
)</f>
        <v>#VALUE!</v>
      </c>
      <c r="P868" t="str">
        <f>IFERROR(tblPassengerNames[[#This Row],[P_Forenames]], tblPassengerNames[[#This Row],[ConvForenames]])</f>
        <v>Delia</v>
      </c>
      <c r="Q868" t="str">
        <f>MID(tblPassengerNames[[#This Row],[Name]], tblPassengerNames[[#This Row],[CommaPos]] + 2, tblPassengerNames[[#This Row],[DotPos]] - tblPassengerNames[[#This Row],[CommaPos]] - 1)</f>
        <v>Miss.</v>
      </c>
      <c r="R868" t="str">
        <f>LEFT(tblPassengerNames[[#This Row],[Name]], tblPassengerNames[[#This Row],[CommaPos]] - 1)</f>
        <v>Henry</v>
      </c>
    </row>
    <row r="869" spans="2:18" x14ac:dyDescent="0.25">
      <c r="B869" s="21">
        <v>867</v>
      </c>
      <c r="C869" s="21" t="s">
        <v>1002</v>
      </c>
      <c r="D869" s="21" t="s">
        <v>136</v>
      </c>
      <c r="E869">
        <f>FIND(",", tblPassengerNames[[#This Row],[Name]])</f>
        <v>9</v>
      </c>
      <c r="F869">
        <f>FIND(".", tblPassengerNames[[#This Row],[Name]])</f>
        <v>15</v>
      </c>
      <c r="G869" t="e">
        <f>FIND("(", tblPassengerNames[[#This Row],[Name]])</f>
        <v>#VALUE!</v>
      </c>
      <c r="H869" t="e">
        <f>FIND(")", tblPassengerNames[[#This Row],[Name]])</f>
        <v>#VALUE!</v>
      </c>
      <c r="I869">
        <f>IFERROR(tblPassengerNames[[#This Row],[OpenParPos]] - 2, LEN(tblPassengerNames[[#This Row],[Name]]))</f>
        <v>24</v>
      </c>
      <c r="J869" t="str">
        <f>MID(tblPassengerNames[[#This Row],[Name]], tblPassengerNames[[#This Row],[DotPos]] + 2, tblPassengerNames[[#This Row],[EndOfConvFNPos]] - tblPassengerNames[[#This Row],[DotPos]] - 1)</f>
        <v>Hildur E</v>
      </c>
      <c r="K869" t="e">
        <f>MID(tblPassengerNames[[#This Row],[Name]], tblPassengerNames[[#This Row],[OpenParPos]] + 1, tblPassengerNames[[#This Row],[CloseParPos]] - tblPassengerNames[[#This Row],[OpenParPos]] - 1)</f>
        <v>#VALUE!</v>
      </c>
      <c r="L869" t="e">
        <f>IF(AND(LEFT(tblPassengerNames[[#This Row],[InParentheses]], 1) = "'", RIGHT(tblPassengerNames[[#This Row],[InParentheses]], 1) = "'"),
    #VALUE!,
    tblPassengerNames[[#This Row],[InParentheses]]
)</f>
        <v>#VALUE!</v>
      </c>
      <c r="M869" t="e">
        <f>LEN(tblPassengerNames[[#This Row],[InParenthesesCleaned]]) - LEN(SUBSTITUTE(tblPassengerNames[[#This Row],[InParenthesesCleaned]], " ", ""))</f>
        <v>#VALUE!</v>
      </c>
      <c r="N869" t="e">
        <f>FIND("@", SUBSTITUTE(tblPassengerNames[[#This Row],[InParenthesesCleaned]], " ", "@", tblPassengerNames[[#This Row],[P_NSpaces]]))</f>
        <v>#VALUE!</v>
      </c>
      <c r="O869" t="e">
        <f>IF(tblPassengerNames[[#This Row],[P_NSpaces]] = 0,
    tblPassengerNames[[#This Row],[InParenthesesCleaned]],
    LEFT(tblPassengerNames[[#This Row],[InParenthesesCleaned]], tblPassengerNames[[#This Row],[P_FinalSpacePos]] - 1)
)</f>
        <v>#VALUE!</v>
      </c>
      <c r="P869" t="str">
        <f>IFERROR(tblPassengerNames[[#This Row],[P_Forenames]], tblPassengerNames[[#This Row],[ConvForenames]])</f>
        <v>Hildur E</v>
      </c>
      <c r="Q869" t="str">
        <f>MID(tblPassengerNames[[#This Row],[Name]], tblPassengerNames[[#This Row],[CommaPos]] + 2, tblPassengerNames[[#This Row],[DotPos]] - tblPassengerNames[[#This Row],[CommaPos]] - 1)</f>
        <v>Miss.</v>
      </c>
      <c r="R869" t="str">
        <f>LEFT(tblPassengerNames[[#This Row],[Name]], tblPassengerNames[[#This Row],[CommaPos]] - 1)</f>
        <v>Hirvonen</v>
      </c>
    </row>
    <row r="870" spans="2:18" x14ac:dyDescent="0.25">
      <c r="B870" s="21">
        <v>868</v>
      </c>
      <c r="C870" s="21" t="s">
        <v>1003</v>
      </c>
      <c r="D870" s="21" t="s">
        <v>136</v>
      </c>
      <c r="E870">
        <f>FIND(",", tblPassengerNames[[#This Row],[Name]])</f>
        <v>9</v>
      </c>
      <c r="F870">
        <f>FIND(".", tblPassengerNames[[#This Row],[Name]])</f>
        <v>14</v>
      </c>
      <c r="G870">
        <f>FIND("(", tblPassengerNames[[#This Row],[Name]])</f>
        <v>26</v>
      </c>
      <c r="H870">
        <f>FIND(")", tblPassengerNames[[#This Row],[Name]])</f>
        <v>44</v>
      </c>
      <c r="I870">
        <f>IFERROR(tblPassengerNames[[#This Row],[OpenParPos]] - 2, LEN(tblPassengerNames[[#This Row],[Name]]))</f>
        <v>24</v>
      </c>
      <c r="J870" t="str">
        <f>MID(tblPassengerNames[[#This Row],[Name]], tblPassengerNames[[#This Row],[DotPos]] + 2, tblPassengerNames[[#This Row],[EndOfConvFNPos]] - tblPassengerNames[[#This Row],[DotPos]] - 1)</f>
        <v>Alexander</v>
      </c>
      <c r="K870" t="str">
        <f>MID(tblPassengerNames[[#This Row],[Name]], tblPassengerNames[[#This Row],[OpenParPos]] + 1, tblPassengerNames[[#This Row],[CloseParPos]] - tblPassengerNames[[#This Row],[OpenParPos]] - 1)</f>
        <v>Helga E Lindqvist</v>
      </c>
      <c r="L870" t="str">
        <f>IF(AND(LEFT(tblPassengerNames[[#This Row],[InParentheses]], 1) = "'", RIGHT(tblPassengerNames[[#This Row],[InParentheses]], 1) = "'"),
    #VALUE!,
    tblPassengerNames[[#This Row],[InParentheses]]
)</f>
        <v>Helga E Lindqvist</v>
      </c>
      <c r="M870">
        <f>LEN(tblPassengerNames[[#This Row],[InParenthesesCleaned]]) - LEN(SUBSTITUTE(tblPassengerNames[[#This Row],[InParenthesesCleaned]], " ", ""))</f>
        <v>2</v>
      </c>
      <c r="N870">
        <f>FIND("@", SUBSTITUTE(tblPassengerNames[[#This Row],[InParenthesesCleaned]], " ", "@", tblPassengerNames[[#This Row],[P_NSpaces]]))</f>
        <v>8</v>
      </c>
      <c r="O870" t="str">
        <f>IF(tblPassengerNames[[#This Row],[P_NSpaces]] = 0,
    tblPassengerNames[[#This Row],[InParenthesesCleaned]],
    LEFT(tblPassengerNames[[#This Row],[InParenthesesCleaned]], tblPassengerNames[[#This Row],[P_FinalSpacePos]] - 1)
)</f>
        <v>Helga E</v>
      </c>
      <c r="P870" t="str">
        <f>IFERROR(tblPassengerNames[[#This Row],[P_Forenames]], tblPassengerNames[[#This Row],[ConvForenames]])</f>
        <v>Helga E</v>
      </c>
      <c r="Q870" t="str">
        <f>MID(tblPassengerNames[[#This Row],[Name]], tblPassengerNames[[#This Row],[CommaPos]] + 2, tblPassengerNames[[#This Row],[DotPos]] - tblPassengerNames[[#This Row],[CommaPos]] - 1)</f>
        <v>Mrs.</v>
      </c>
      <c r="R870" t="str">
        <f>LEFT(tblPassengerNames[[#This Row],[Name]], tblPassengerNames[[#This Row],[CommaPos]] - 1)</f>
        <v>Hirvonen</v>
      </c>
    </row>
    <row r="871" spans="2:18" x14ac:dyDescent="0.25">
      <c r="B871" s="21">
        <v>869</v>
      </c>
      <c r="C871" s="21" t="s">
        <v>1004</v>
      </c>
      <c r="D871" s="21" t="s">
        <v>138</v>
      </c>
      <c r="E871">
        <f>FIND(",", tblPassengerNames[[#This Row],[Name]])</f>
        <v>5</v>
      </c>
      <c r="F871">
        <f>FIND(".", tblPassengerNames[[#This Row],[Name]])</f>
        <v>9</v>
      </c>
      <c r="G871" t="e">
        <f>FIND("(", tblPassengerNames[[#This Row],[Name]])</f>
        <v>#VALUE!</v>
      </c>
      <c r="H871" t="e">
        <f>FIND(")", tblPassengerNames[[#This Row],[Name]])</f>
        <v>#VALUE!</v>
      </c>
      <c r="I871">
        <f>IFERROR(tblPassengerNames[[#This Row],[OpenParPos]] - 2, LEN(tblPassengerNames[[#This Row],[Name]]))</f>
        <v>32</v>
      </c>
      <c r="J871" t="str">
        <f>MID(tblPassengerNames[[#This Row],[Name]], tblPassengerNames[[#This Row],[DotPos]] + 2, tblPassengerNames[[#This Row],[EndOfConvFNPos]] - tblPassengerNames[[#This Row],[DotPos]] - 1)</f>
        <v>John Fredrik Alexander</v>
      </c>
      <c r="K871" t="e">
        <f>MID(tblPassengerNames[[#This Row],[Name]], tblPassengerNames[[#This Row],[OpenParPos]] + 1, tblPassengerNames[[#This Row],[CloseParPos]] - tblPassengerNames[[#This Row],[OpenParPos]] - 1)</f>
        <v>#VALUE!</v>
      </c>
      <c r="L871" t="e">
        <f>IF(AND(LEFT(tblPassengerNames[[#This Row],[InParentheses]], 1) = "'", RIGHT(tblPassengerNames[[#This Row],[InParentheses]], 1) = "'"),
    #VALUE!,
    tblPassengerNames[[#This Row],[InParentheses]]
)</f>
        <v>#VALUE!</v>
      </c>
      <c r="M871" t="e">
        <f>LEN(tblPassengerNames[[#This Row],[InParenthesesCleaned]]) - LEN(SUBSTITUTE(tblPassengerNames[[#This Row],[InParenthesesCleaned]], " ", ""))</f>
        <v>#VALUE!</v>
      </c>
      <c r="N871" t="e">
        <f>FIND("@", SUBSTITUTE(tblPassengerNames[[#This Row],[InParenthesesCleaned]], " ", "@", tblPassengerNames[[#This Row],[P_NSpaces]]))</f>
        <v>#VALUE!</v>
      </c>
      <c r="O871" t="e">
        <f>IF(tblPassengerNames[[#This Row],[P_NSpaces]] = 0,
    tblPassengerNames[[#This Row],[InParenthesesCleaned]],
    LEFT(tblPassengerNames[[#This Row],[InParenthesesCleaned]], tblPassengerNames[[#This Row],[P_FinalSpacePos]] - 1)
)</f>
        <v>#VALUE!</v>
      </c>
      <c r="P871" t="str">
        <f>IFERROR(tblPassengerNames[[#This Row],[P_Forenames]], tblPassengerNames[[#This Row],[ConvForenames]])</f>
        <v>John Fredrik Alexander</v>
      </c>
      <c r="Q871" t="str">
        <f>MID(tblPassengerNames[[#This Row],[Name]], tblPassengerNames[[#This Row],[CommaPos]] + 2, tblPassengerNames[[#This Row],[DotPos]] - tblPassengerNames[[#This Row],[CommaPos]] - 1)</f>
        <v>Mr.</v>
      </c>
      <c r="R871" t="str">
        <f>LEFT(tblPassengerNames[[#This Row],[Name]], tblPassengerNames[[#This Row],[CommaPos]] - 1)</f>
        <v>Holm</v>
      </c>
    </row>
    <row r="872" spans="2:18" x14ac:dyDescent="0.25">
      <c r="B872" s="21">
        <v>870</v>
      </c>
      <c r="C872" s="21" t="s">
        <v>1005</v>
      </c>
      <c r="D872" s="21" t="s">
        <v>138</v>
      </c>
      <c r="E872">
        <f>FIND(",", tblPassengerNames[[#This Row],[Name]])</f>
        <v>8</v>
      </c>
      <c r="F872">
        <f>FIND(".", tblPassengerNames[[#This Row],[Name]])</f>
        <v>12</v>
      </c>
      <c r="G872" t="e">
        <f>FIND("(", tblPassengerNames[[#This Row],[Name]])</f>
        <v>#VALUE!</v>
      </c>
      <c r="H872" t="e">
        <f>FIND(")", tblPassengerNames[[#This Row],[Name]])</f>
        <v>#VALUE!</v>
      </c>
      <c r="I872">
        <f>IFERROR(tblPassengerNames[[#This Row],[OpenParPos]] - 2, LEN(tblPassengerNames[[#This Row],[Name]]))</f>
        <v>25</v>
      </c>
      <c r="J872" t="str">
        <f>MID(tblPassengerNames[[#This Row],[Name]], tblPassengerNames[[#This Row],[DotPos]] + 2, tblPassengerNames[[#This Row],[EndOfConvFNPos]] - tblPassengerNames[[#This Row],[DotPos]] - 1)</f>
        <v>Johan Martin</v>
      </c>
      <c r="K872" t="e">
        <f>MID(tblPassengerNames[[#This Row],[Name]], tblPassengerNames[[#This Row],[OpenParPos]] + 1, tblPassengerNames[[#This Row],[CloseParPos]] - tblPassengerNames[[#This Row],[OpenParPos]] - 1)</f>
        <v>#VALUE!</v>
      </c>
      <c r="L872" t="e">
        <f>IF(AND(LEFT(tblPassengerNames[[#This Row],[InParentheses]], 1) = "'", RIGHT(tblPassengerNames[[#This Row],[InParentheses]], 1) = "'"),
    #VALUE!,
    tblPassengerNames[[#This Row],[InParentheses]]
)</f>
        <v>#VALUE!</v>
      </c>
      <c r="M872" t="e">
        <f>LEN(tblPassengerNames[[#This Row],[InParenthesesCleaned]]) - LEN(SUBSTITUTE(tblPassengerNames[[#This Row],[InParenthesesCleaned]], " ", ""))</f>
        <v>#VALUE!</v>
      </c>
      <c r="N872" t="e">
        <f>FIND("@", SUBSTITUTE(tblPassengerNames[[#This Row],[InParenthesesCleaned]], " ", "@", tblPassengerNames[[#This Row],[P_NSpaces]]))</f>
        <v>#VALUE!</v>
      </c>
      <c r="O872" t="e">
        <f>IF(tblPassengerNames[[#This Row],[P_NSpaces]] = 0,
    tblPassengerNames[[#This Row],[InParenthesesCleaned]],
    LEFT(tblPassengerNames[[#This Row],[InParenthesesCleaned]], tblPassengerNames[[#This Row],[P_FinalSpacePos]] - 1)
)</f>
        <v>#VALUE!</v>
      </c>
      <c r="P872" t="str">
        <f>IFERROR(tblPassengerNames[[#This Row],[P_Forenames]], tblPassengerNames[[#This Row],[ConvForenames]])</f>
        <v>Johan Martin</v>
      </c>
      <c r="Q872" t="str">
        <f>MID(tblPassengerNames[[#This Row],[Name]], tblPassengerNames[[#This Row],[CommaPos]] + 2, tblPassengerNames[[#This Row],[DotPos]] - tblPassengerNames[[#This Row],[CommaPos]] - 1)</f>
        <v>Mr.</v>
      </c>
      <c r="R872" t="str">
        <f>LEFT(tblPassengerNames[[#This Row],[Name]], tblPassengerNames[[#This Row],[CommaPos]] - 1)</f>
        <v>Holthen</v>
      </c>
    </row>
    <row r="873" spans="2:18" x14ac:dyDescent="0.25">
      <c r="B873" s="21">
        <v>871</v>
      </c>
      <c r="C873" s="21" t="s">
        <v>1006</v>
      </c>
      <c r="D873" s="21" t="s">
        <v>136</v>
      </c>
      <c r="E873">
        <f>FIND(",", tblPassengerNames[[#This Row],[Name]])</f>
        <v>9</v>
      </c>
      <c r="F873">
        <f>FIND(".", tblPassengerNames[[#This Row],[Name]])</f>
        <v>15</v>
      </c>
      <c r="G873" t="e">
        <f>FIND("(", tblPassengerNames[[#This Row],[Name]])</f>
        <v>#VALUE!</v>
      </c>
      <c r="H873" t="e">
        <f>FIND(")", tblPassengerNames[[#This Row],[Name]])</f>
        <v>#VALUE!</v>
      </c>
      <c r="I873">
        <f>IFERROR(tblPassengerNames[[#This Row],[OpenParPos]] - 2, LEN(tblPassengerNames[[#This Row],[Name]]))</f>
        <v>22</v>
      </c>
      <c r="J873" t="str">
        <f>MID(tblPassengerNames[[#This Row],[Name]], tblPassengerNames[[#This Row],[DotPos]] + 2, tblPassengerNames[[#This Row],[EndOfConvFNPos]] - tblPassengerNames[[#This Row],[DotPos]] - 1)</f>
        <v>Eliina</v>
      </c>
      <c r="K873" t="e">
        <f>MID(tblPassengerNames[[#This Row],[Name]], tblPassengerNames[[#This Row],[OpenParPos]] + 1, tblPassengerNames[[#This Row],[CloseParPos]] - tblPassengerNames[[#This Row],[OpenParPos]] - 1)</f>
        <v>#VALUE!</v>
      </c>
      <c r="L873" t="e">
        <f>IF(AND(LEFT(tblPassengerNames[[#This Row],[InParentheses]], 1) = "'", RIGHT(tblPassengerNames[[#This Row],[InParentheses]], 1) = "'"),
    #VALUE!,
    tblPassengerNames[[#This Row],[InParentheses]]
)</f>
        <v>#VALUE!</v>
      </c>
      <c r="M873" t="e">
        <f>LEN(tblPassengerNames[[#This Row],[InParenthesesCleaned]]) - LEN(SUBSTITUTE(tblPassengerNames[[#This Row],[InParenthesesCleaned]], " ", ""))</f>
        <v>#VALUE!</v>
      </c>
      <c r="N873" t="e">
        <f>FIND("@", SUBSTITUTE(tblPassengerNames[[#This Row],[InParenthesesCleaned]], " ", "@", tblPassengerNames[[#This Row],[P_NSpaces]]))</f>
        <v>#VALUE!</v>
      </c>
      <c r="O873" t="e">
        <f>IF(tblPassengerNames[[#This Row],[P_NSpaces]] = 0,
    tblPassengerNames[[#This Row],[InParenthesesCleaned]],
    LEFT(tblPassengerNames[[#This Row],[InParenthesesCleaned]], tblPassengerNames[[#This Row],[P_FinalSpacePos]] - 1)
)</f>
        <v>#VALUE!</v>
      </c>
      <c r="P873" t="str">
        <f>IFERROR(tblPassengerNames[[#This Row],[P_Forenames]], tblPassengerNames[[#This Row],[ConvForenames]])</f>
        <v>Eliina</v>
      </c>
      <c r="Q873" t="str">
        <f>MID(tblPassengerNames[[#This Row],[Name]], tblPassengerNames[[#This Row],[CommaPos]] + 2, tblPassengerNames[[#This Row],[DotPos]] - tblPassengerNames[[#This Row],[CommaPos]] - 1)</f>
        <v>Miss.</v>
      </c>
      <c r="R873" t="str">
        <f>LEFT(tblPassengerNames[[#This Row],[Name]], tblPassengerNames[[#This Row],[CommaPos]] - 1)</f>
        <v>Honkanen</v>
      </c>
    </row>
    <row r="874" spans="2:18" x14ac:dyDescent="0.25">
      <c r="B874" s="21">
        <v>872</v>
      </c>
      <c r="C874" s="21" t="s">
        <v>1007</v>
      </c>
      <c r="D874" s="21" t="s">
        <v>138</v>
      </c>
      <c r="E874">
        <f>FIND(",", tblPassengerNames[[#This Row],[Name]])</f>
        <v>7</v>
      </c>
      <c r="F874">
        <f>FIND(".", tblPassengerNames[[#This Row],[Name]])</f>
        <v>11</v>
      </c>
      <c r="G874" t="e">
        <f>FIND("(", tblPassengerNames[[#This Row],[Name]])</f>
        <v>#VALUE!</v>
      </c>
      <c r="H874" t="e">
        <f>FIND(")", tblPassengerNames[[#This Row],[Name]])</f>
        <v>#VALUE!</v>
      </c>
      <c r="I874">
        <f>IFERROR(tblPassengerNames[[#This Row],[OpenParPos]] - 2, LEN(tblPassengerNames[[#This Row],[Name]]))</f>
        <v>16</v>
      </c>
      <c r="J874" t="str">
        <f>MID(tblPassengerNames[[#This Row],[Name]], tblPassengerNames[[#This Row],[DotPos]] + 2, tblPassengerNames[[#This Row],[EndOfConvFNPos]] - tblPassengerNames[[#This Row],[DotPos]] - 1)</f>
        <v>John</v>
      </c>
      <c r="K874" t="e">
        <f>MID(tblPassengerNames[[#This Row],[Name]], tblPassengerNames[[#This Row],[OpenParPos]] + 1, tblPassengerNames[[#This Row],[CloseParPos]] - tblPassengerNames[[#This Row],[OpenParPos]] - 1)</f>
        <v>#VALUE!</v>
      </c>
      <c r="L874" t="e">
        <f>IF(AND(LEFT(tblPassengerNames[[#This Row],[InParentheses]], 1) = "'", RIGHT(tblPassengerNames[[#This Row],[InParentheses]], 1) = "'"),
    #VALUE!,
    tblPassengerNames[[#This Row],[InParentheses]]
)</f>
        <v>#VALUE!</v>
      </c>
      <c r="M874" t="e">
        <f>LEN(tblPassengerNames[[#This Row],[InParenthesesCleaned]]) - LEN(SUBSTITUTE(tblPassengerNames[[#This Row],[InParenthesesCleaned]], " ", ""))</f>
        <v>#VALUE!</v>
      </c>
      <c r="N874" t="e">
        <f>FIND("@", SUBSTITUTE(tblPassengerNames[[#This Row],[InParenthesesCleaned]], " ", "@", tblPassengerNames[[#This Row],[P_NSpaces]]))</f>
        <v>#VALUE!</v>
      </c>
      <c r="O874" t="e">
        <f>IF(tblPassengerNames[[#This Row],[P_NSpaces]] = 0,
    tblPassengerNames[[#This Row],[InParenthesesCleaned]],
    LEFT(tblPassengerNames[[#This Row],[InParenthesesCleaned]], tblPassengerNames[[#This Row],[P_FinalSpacePos]] - 1)
)</f>
        <v>#VALUE!</v>
      </c>
      <c r="P874" t="str">
        <f>IFERROR(tblPassengerNames[[#This Row],[P_Forenames]], tblPassengerNames[[#This Row],[ConvForenames]])</f>
        <v>John</v>
      </c>
      <c r="Q874" t="str">
        <f>MID(tblPassengerNames[[#This Row],[Name]], tblPassengerNames[[#This Row],[CommaPos]] + 2, tblPassengerNames[[#This Row],[DotPos]] - tblPassengerNames[[#This Row],[CommaPos]] - 1)</f>
        <v>Mr.</v>
      </c>
      <c r="R874" t="str">
        <f>LEFT(tblPassengerNames[[#This Row],[Name]], tblPassengerNames[[#This Row],[CommaPos]] - 1)</f>
        <v>Horgan</v>
      </c>
    </row>
    <row r="875" spans="2:18" x14ac:dyDescent="0.25">
      <c r="B875" s="21">
        <v>873</v>
      </c>
      <c r="C875" s="21" t="s">
        <v>1008</v>
      </c>
      <c r="D875" s="21" t="s">
        <v>136</v>
      </c>
      <c r="E875">
        <f>FIND(",", tblPassengerNames[[#This Row],[Name]])</f>
        <v>7</v>
      </c>
      <c r="F875">
        <f>FIND(".", tblPassengerNames[[#This Row],[Name]])</f>
        <v>13</v>
      </c>
      <c r="G875" t="e">
        <f>FIND("(", tblPassengerNames[[#This Row],[Name]])</f>
        <v>#VALUE!</v>
      </c>
      <c r="H875" t="e">
        <f>FIND(")", tblPassengerNames[[#This Row],[Name]])</f>
        <v>#VALUE!</v>
      </c>
      <c r="I875">
        <f>IFERROR(tblPassengerNames[[#This Row],[OpenParPos]] - 2, LEN(tblPassengerNames[[#This Row],[Name]]))</f>
        <v>27</v>
      </c>
      <c r="J875" t="str">
        <f>MID(tblPassengerNames[[#This Row],[Name]], tblPassengerNames[[#This Row],[DotPos]] + 2, tblPassengerNames[[#This Row],[EndOfConvFNPos]] - tblPassengerNames[[#This Row],[DotPos]] - 1)</f>
        <v>May Elizabeth</v>
      </c>
      <c r="K875" t="e">
        <f>MID(tblPassengerNames[[#This Row],[Name]], tblPassengerNames[[#This Row],[OpenParPos]] + 1, tblPassengerNames[[#This Row],[CloseParPos]] - tblPassengerNames[[#This Row],[OpenParPos]] - 1)</f>
        <v>#VALUE!</v>
      </c>
      <c r="L875" t="e">
        <f>IF(AND(LEFT(tblPassengerNames[[#This Row],[InParentheses]], 1) = "'", RIGHT(tblPassengerNames[[#This Row],[InParentheses]], 1) = "'"),
    #VALUE!,
    tblPassengerNames[[#This Row],[InParentheses]]
)</f>
        <v>#VALUE!</v>
      </c>
      <c r="M875" t="e">
        <f>LEN(tblPassengerNames[[#This Row],[InParenthesesCleaned]]) - LEN(SUBSTITUTE(tblPassengerNames[[#This Row],[InParenthesesCleaned]], " ", ""))</f>
        <v>#VALUE!</v>
      </c>
      <c r="N875" t="e">
        <f>FIND("@", SUBSTITUTE(tblPassengerNames[[#This Row],[InParenthesesCleaned]], " ", "@", tblPassengerNames[[#This Row],[P_NSpaces]]))</f>
        <v>#VALUE!</v>
      </c>
      <c r="O875" t="e">
        <f>IF(tblPassengerNames[[#This Row],[P_NSpaces]] = 0,
    tblPassengerNames[[#This Row],[InParenthesesCleaned]],
    LEFT(tblPassengerNames[[#This Row],[InParenthesesCleaned]], tblPassengerNames[[#This Row],[P_FinalSpacePos]] - 1)
)</f>
        <v>#VALUE!</v>
      </c>
      <c r="P875" t="str">
        <f>IFERROR(tblPassengerNames[[#This Row],[P_Forenames]], tblPassengerNames[[#This Row],[ConvForenames]])</f>
        <v>May Elizabeth</v>
      </c>
      <c r="Q875" t="str">
        <f>MID(tblPassengerNames[[#This Row],[Name]], tblPassengerNames[[#This Row],[CommaPos]] + 2, tblPassengerNames[[#This Row],[DotPos]] - tblPassengerNames[[#This Row],[CommaPos]] - 1)</f>
        <v>Miss.</v>
      </c>
      <c r="R875" t="str">
        <f>LEFT(tblPassengerNames[[#This Row],[Name]], tblPassengerNames[[#This Row],[CommaPos]] - 1)</f>
        <v>Howard</v>
      </c>
    </row>
    <row r="876" spans="2:18" x14ac:dyDescent="0.25">
      <c r="B876" s="21">
        <v>874</v>
      </c>
      <c r="C876" s="21" t="s">
        <v>1009</v>
      </c>
      <c r="D876" s="21" t="s">
        <v>138</v>
      </c>
      <c r="E876">
        <f>FIND(",", tblPassengerNames[[#This Row],[Name]])</f>
        <v>8</v>
      </c>
      <c r="F876">
        <f>FIND(".", tblPassengerNames[[#This Row],[Name]])</f>
        <v>12</v>
      </c>
      <c r="G876" t="e">
        <f>FIND("(", tblPassengerNames[[#This Row],[Name]])</f>
        <v>#VALUE!</v>
      </c>
      <c r="H876" t="e">
        <f>FIND(")", tblPassengerNames[[#This Row],[Name]])</f>
        <v>#VALUE!</v>
      </c>
      <c r="I876">
        <f>IFERROR(tblPassengerNames[[#This Row],[OpenParPos]] - 2, LEN(tblPassengerNames[[#This Row],[Name]]))</f>
        <v>40</v>
      </c>
      <c r="J876" t="str">
        <f>MID(tblPassengerNames[[#This Row],[Name]], tblPassengerNames[[#This Row],[DotPos]] + 2, tblPassengerNames[[#This Row],[EndOfConvFNPos]] - tblPassengerNames[[#This Row],[DotPos]] - 1)</f>
        <v>Adolf Mathias Nicolai Olsen</v>
      </c>
      <c r="K876" t="e">
        <f>MID(tblPassengerNames[[#This Row],[Name]], tblPassengerNames[[#This Row],[OpenParPos]] + 1, tblPassengerNames[[#This Row],[CloseParPos]] - tblPassengerNames[[#This Row],[OpenParPos]] - 1)</f>
        <v>#VALUE!</v>
      </c>
      <c r="L876" t="e">
        <f>IF(AND(LEFT(tblPassengerNames[[#This Row],[InParentheses]], 1) = "'", RIGHT(tblPassengerNames[[#This Row],[InParentheses]], 1) = "'"),
    #VALUE!,
    tblPassengerNames[[#This Row],[InParentheses]]
)</f>
        <v>#VALUE!</v>
      </c>
      <c r="M876" t="e">
        <f>LEN(tblPassengerNames[[#This Row],[InParenthesesCleaned]]) - LEN(SUBSTITUTE(tblPassengerNames[[#This Row],[InParenthesesCleaned]], " ", ""))</f>
        <v>#VALUE!</v>
      </c>
      <c r="N876" t="e">
        <f>FIND("@", SUBSTITUTE(tblPassengerNames[[#This Row],[InParenthesesCleaned]], " ", "@", tblPassengerNames[[#This Row],[P_NSpaces]]))</f>
        <v>#VALUE!</v>
      </c>
      <c r="O876" t="e">
        <f>IF(tblPassengerNames[[#This Row],[P_NSpaces]] = 0,
    tblPassengerNames[[#This Row],[InParenthesesCleaned]],
    LEFT(tblPassengerNames[[#This Row],[InParenthesesCleaned]], tblPassengerNames[[#This Row],[P_FinalSpacePos]] - 1)
)</f>
        <v>#VALUE!</v>
      </c>
      <c r="P876" t="str">
        <f>IFERROR(tblPassengerNames[[#This Row],[P_Forenames]], tblPassengerNames[[#This Row],[ConvForenames]])</f>
        <v>Adolf Mathias Nicolai Olsen</v>
      </c>
      <c r="Q876" t="str">
        <f>MID(tblPassengerNames[[#This Row],[Name]], tblPassengerNames[[#This Row],[CommaPos]] + 2, tblPassengerNames[[#This Row],[DotPos]] - tblPassengerNames[[#This Row],[CommaPos]] - 1)</f>
        <v>Mr.</v>
      </c>
      <c r="R876" t="str">
        <f>LEFT(tblPassengerNames[[#This Row],[Name]], tblPassengerNames[[#This Row],[CommaPos]] - 1)</f>
        <v>Humblen</v>
      </c>
    </row>
    <row r="877" spans="2:18" x14ac:dyDescent="0.25">
      <c r="B877" s="21">
        <v>875</v>
      </c>
      <c r="C877" s="21" t="s">
        <v>1010</v>
      </c>
      <c r="D877" s="21" t="s">
        <v>138</v>
      </c>
      <c r="E877">
        <f>FIND(",", tblPassengerNames[[#This Row],[Name]])</f>
        <v>6</v>
      </c>
      <c r="F877">
        <f>FIND(".", tblPassengerNames[[#This Row],[Name]])</f>
        <v>10</v>
      </c>
      <c r="G877" t="e">
        <f>FIND("(", tblPassengerNames[[#This Row],[Name]])</f>
        <v>#VALUE!</v>
      </c>
      <c r="H877" t="e">
        <f>FIND(")", tblPassengerNames[[#This Row],[Name]])</f>
        <v>#VALUE!</v>
      </c>
      <c r="I877">
        <f>IFERROR(tblPassengerNames[[#This Row],[OpenParPos]] - 2, LEN(tblPassengerNames[[#This Row],[Name]]))</f>
        <v>18</v>
      </c>
      <c r="J877" t="str">
        <f>MID(tblPassengerNames[[#This Row],[Name]], tblPassengerNames[[#This Row],[DotPos]] + 2, tblPassengerNames[[#This Row],[EndOfConvFNPos]] - tblPassengerNames[[#This Row],[DotPos]] - 1)</f>
        <v>Abraham</v>
      </c>
      <c r="K877" t="e">
        <f>MID(tblPassengerNames[[#This Row],[Name]], tblPassengerNames[[#This Row],[OpenParPos]] + 1, tblPassengerNames[[#This Row],[CloseParPos]] - tblPassengerNames[[#This Row],[OpenParPos]] - 1)</f>
        <v>#VALUE!</v>
      </c>
      <c r="L877" t="e">
        <f>IF(AND(LEFT(tblPassengerNames[[#This Row],[InParentheses]], 1) = "'", RIGHT(tblPassengerNames[[#This Row],[InParentheses]], 1) = "'"),
    #VALUE!,
    tblPassengerNames[[#This Row],[InParentheses]]
)</f>
        <v>#VALUE!</v>
      </c>
      <c r="M877" t="e">
        <f>LEN(tblPassengerNames[[#This Row],[InParenthesesCleaned]]) - LEN(SUBSTITUTE(tblPassengerNames[[#This Row],[InParenthesesCleaned]], " ", ""))</f>
        <v>#VALUE!</v>
      </c>
      <c r="N877" t="e">
        <f>FIND("@", SUBSTITUTE(tblPassengerNames[[#This Row],[InParenthesesCleaned]], " ", "@", tblPassengerNames[[#This Row],[P_NSpaces]]))</f>
        <v>#VALUE!</v>
      </c>
      <c r="O877" t="e">
        <f>IF(tblPassengerNames[[#This Row],[P_NSpaces]] = 0,
    tblPassengerNames[[#This Row],[InParenthesesCleaned]],
    LEFT(tblPassengerNames[[#This Row],[InParenthesesCleaned]], tblPassengerNames[[#This Row],[P_FinalSpacePos]] - 1)
)</f>
        <v>#VALUE!</v>
      </c>
      <c r="P877" t="str">
        <f>IFERROR(tblPassengerNames[[#This Row],[P_Forenames]], tblPassengerNames[[#This Row],[ConvForenames]])</f>
        <v>Abraham</v>
      </c>
      <c r="Q877" t="str">
        <f>MID(tblPassengerNames[[#This Row],[Name]], tblPassengerNames[[#This Row],[CommaPos]] + 2, tblPassengerNames[[#This Row],[DotPos]] - tblPassengerNames[[#This Row],[CommaPos]] - 1)</f>
        <v>Mr.</v>
      </c>
      <c r="R877" t="str">
        <f>LEFT(tblPassengerNames[[#This Row],[Name]], tblPassengerNames[[#This Row],[CommaPos]] - 1)</f>
        <v>Hyman</v>
      </c>
    </row>
    <row r="878" spans="2:18" x14ac:dyDescent="0.25">
      <c r="B878" s="21">
        <v>876</v>
      </c>
      <c r="C878" s="21" t="s">
        <v>1011</v>
      </c>
      <c r="D878" s="21" t="s">
        <v>138</v>
      </c>
      <c r="E878">
        <f>FIND(",", tblPassengerNames[[#This Row],[Name]])</f>
        <v>15</v>
      </c>
      <c r="F878">
        <f>FIND(".", tblPassengerNames[[#This Row],[Name]])</f>
        <v>19</v>
      </c>
      <c r="G878" t="e">
        <f>FIND("(", tblPassengerNames[[#This Row],[Name]])</f>
        <v>#VALUE!</v>
      </c>
      <c r="H878" t="e">
        <f>FIND(")", tblPassengerNames[[#This Row],[Name]])</f>
        <v>#VALUE!</v>
      </c>
      <c r="I878">
        <f>IFERROR(tblPassengerNames[[#This Row],[OpenParPos]] - 2, LEN(tblPassengerNames[[#This Row],[Name]]))</f>
        <v>28</v>
      </c>
      <c r="J878" t="str">
        <f>MID(tblPassengerNames[[#This Row],[Name]], tblPassengerNames[[#This Row],[DotPos]] + 2, tblPassengerNames[[#This Row],[EndOfConvFNPos]] - tblPassengerNames[[#This Row],[DotPos]] - 1)</f>
        <v>Yousseff</v>
      </c>
      <c r="K878" t="e">
        <f>MID(tblPassengerNames[[#This Row],[Name]], tblPassengerNames[[#This Row],[OpenParPos]] + 1, tblPassengerNames[[#This Row],[CloseParPos]] - tblPassengerNames[[#This Row],[OpenParPos]] - 1)</f>
        <v>#VALUE!</v>
      </c>
      <c r="L878" t="e">
        <f>IF(AND(LEFT(tblPassengerNames[[#This Row],[InParentheses]], 1) = "'", RIGHT(tblPassengerNames[[#This Row],[InParentheses]], 1) = "'"),
    #VALUE!,
    tblPassengerNames[[#This Row],[InParentheses]]
)</f>
        <v>#VALUE!</v>
      </c>
      <c r="M878" t="e">
        <f>LEN(tblPassengerNames[[#This Row],[InParenthesesCleaned]]) - LEN(SUBSTITUTE(tblPassengerNames[[#This Row],[InParenthesesCleaned]], " ", ""))</f>
        <v>#VALUE!</v>
      </c>
      <c r="N878" t="e">
        <f>FIND("@", SUBSTITUTE(tblPassengerNames[[#This Row],[InParenthesesCleaned]], " ", "@", tblPassengerNames[[#This Row],[P_NSpaces]]))</f>
        <v>#VALUE!</v>
      </c>
      <c r="O878" t="e">
        <f>IF(tblPassengerNames[[#This Row],[P_NSpaces]] = 0,
    tblPassengerNames[[#This Row],[InParenthesesCleaned]],
    LEFT(tblPassengerNames[[#This Row],[InParenthesesCleaned]], tblPassengerNames[[#This Row],[P_FinalSpacePos]] - 1)
)</f>
        <v>#VALUE!</v>
      </c>
      <c r="P878" t="str">
        <f>IFERROR(tblPassengerNames[[#This Row],[P_Forenames]], tblPassengerNames[[#This Row],[ConvForenames]])</f>
        <v>Yousseff</v>
      </c>
      <c r="Q878" t="str">
        <f>MID(tblPassengerNames[[#This Row],[Name]], tblPassengerNames[[#This Row],[CommaPos]] + 2, tblPassengerNames[[#This Row],[DotPos]] - tblPassengerNames[[#This Row],[CommaPos]] - 1)</f>
        <v>Mr.</v>
      </c>
      <c r="R878" t="str">
        <f>LEFT(tblPassengerNames[[#This Row],[Name]], tblPassengerNames[[#This Row],[CommaPos]] - 1)</f>
        <v>Ibrahim Shawah</v>
      </c>
    </row>
    <row r="879" spans="2:18" x14ac:dyDescent="0.25">
      <c r="B879" s="21">
        <v>877</v>
      </c>
      <c r="C879" s="21" t="s">
        <v>1012</v>
      </c>
      <c r="D879" s="21" t="s">
        <v>138</v>
      </c>
      <c r="E879">
        <f>FIND(",", tblPassengerNames[[#This Row],[Name]])</f>
        <v>7</v>
      </c>
      <c r="F879">
        <f>FIND(".", tblPassengerNames[[#This Row],[Name]])</f>
        <v>11</v>
      </c>
      <c r="G879" t="e">
        <f>FIND("(", tblPassengerNames[[#This Row],[Name]])</f>
        <v>#VALUE!</v>
      </c>
      <c r="H879" t="e">
        <f>FIND(")", tblPassengerNames[[#This Row],[Name]])</f>
        <v>#VALUE!</v>
      </c>
      <c r="I879">
        <f>IFERROR(tblPassengerNames[[#This Row],[OpenParPos]] - 2, LEN(tblPassengerNames[[#This Row],[Name]]))</f>
        <v>16</v>
      </c>
      <c r="J879" t="str">
        <f>MID(tblPassengerNames[[#This Row],[Name]], tblPassengerNames[[#This Row],[DotPos]] + 2, tblPassengerNames[[#This Row],[EndOfConvFNPos]] - tblPassengerNames[[#This Row],[DotPos]] - 1)</f>
        <v>Ylio</v>
      </c>
      <c r="K879" t="e">
        <f>MID(tblPassengerNames[[#This Row],[Name]], tblPassengerNames[[#This Row],[OpenParPos]] + 1, tblPassengerNames[[#This Row],[CloseParPos]] - tblPassengerNames[[#This Row],[OpenParPos]] - 1)</f>
        <v>#VALUE!</v>
      </c>
      <c r="L879" t="e">
        <f>IF(AND(LEFT(tblPassengerNames[[#This Row],[InParentheses]], 1) = "'", RIGHT(tblPassengerNames[[#This Row],[InParentheses]], 1) = "'"),
    #VALUE!,
    tblPassengerNames[[#This Row],[InParentheses]]
)</f>
        <v>#VALUE!</v>
      </c>
      <c r="M879" t="e">
        <f>LEN(tblPassengerNames[[#This Row],[InParenthesesCleaned]]) - LEN(SUBSTITUTE(tblPassengerNames[[#This Row],[InParenthesesCleaned]], " ", ""))</f>
        <v>#VALUE!</v>
      </c>
      <c r="N879" t="e">
        <f>FIND("@", SUBSTITUTE(tblPassengerNames[[#This Row],[InParenthesesCleaned]], " ", "@", tblPassengerNames[[#This Row],[P_NSpaces]]))</f>
        <v>#VALUE!</v>
      </c>
      <c r="O879" t="e">
        <f>IF(tblPassengerNames[[#This Row],[P_NSpaces]] = 0,
    tblPassengerNames[[#This Row],[InParenthesesCleaned]],
    LEFT(tblPassengerNames[[#This Row],[InParenthesesCleaned]], tblPassengerNames[[#This Row],[P_FinalSpacePos]] - 1)
)</f>
        <v>#VALUE!</v>
      </c>
      <c r="P879" t="str">
        <f>IFERROR(tblPassengerNames[[#This Row],[P_Forenames]], tblPassengerNames[[#This Row],[ConvForenames]])</f>
        <v>Ylio</v>
      </c>
      <c r="Q879" t="str">
        <f>MID(tblPassengerNames[[#This Row],[Name]], tblPassengerNames[[#This Row],[CommaPos]] + 2, tblPassengerNames[[#This Row],[DotPos]] - tblPassengerNames[[#This Row],[CommaPos]] - 1)</f>
        <v>Mr.</v>
      </c>
      <c r="R879" t="str">
        <f>LEFT(tblPassengerNames[[#This Row],[Name]], tblPassengerNames[[#This Row],[CommaPos]] - 1)</f>
        <v>Ilieff</v>
      </c>
    </row>
    <row r="880" spans="2:18" x14ac:dyDescent="0.25">
      <c r="B880" s="21">
        <v>878</v>
      </c>
      <c r="C880" s="21" t="s">
        <v>1013</v>
      </c>
      <c r="D880" s="21" t="s">
        <v>136</v>
      </c>
      <c r="E880">
        <f>FIND(",", tblPassengerNames[[#This Row],[Name]])</f>
        <v>11</v>
      </c>
      <c r="F880">
        <f>FIND(".", tblPassengerNames[[#This Row],[Name]])</f>
        <v>17</v>
      </c>
      <c r="G880" t="e">
        <f>FIND("(", tblPassengerNames[[#This Row],[Name]])</f>
        <v>#VALUE!</v>
      </c>
      <c r="H880" t="e">
        <f>FIND(")", tblPassengerNames[[#This Row],[Name]])</f>
        <v>#VALUE!</v>
      </c>
      <c r="I880">
        <f>IFERROR(tblPassengerNames[[#This Row],[OpenParPos]] - 2, LEN(tblPassengerNames[[#This Row],[Name]]))</f>
        <v>28</v>
      </c>
      <c r="J880" t="str">
        <f>MID(tblPassengerNames[[#This Row],[Name]], tblPassengerNames[[#This Row],[DotPos]] + 2, tblPassengerNames[[#This Row],[EndOfConvFNPos]] - tblPassengerNames[[#This Row],[DotPos]] - 1)</f>
        <v>Ida Livija</v>
      </c>
      <c r="K880" t="e">
        <f>MID(tblPassengerNames[[#This Row],[Name]], tblPassengerNames[[#This Row],[OpenParPos]] + 1, tblPassengerNames[[#This Row],[CloseParPos]] - tblPassengerNames[[#This Row],[OpenParPos]] - 1)</f>
        <v>#VALUE!</v>
      </c>
      <c r="L880" t="e">
        <f>IF(AND(LEFT(tblPassengerNames[[#This Row],[InParentheses]], 1) = "'", RIGHT(tblPassengerNames[[#This Row],[InParentheses]], 1) = "'"),
    #VALUE!,
    tblPassengerNames[[#This Row],[InParentheses]]
)</f>
        <v>#VALUE!</v>
      </c>
      <c r="M880" t="e">
        <f>LEN(tblPassengerNames[[#This Row],[InParenthesesCleaned]]) - LEN(SUBSTITUTE(tblPassengerNames[[#This Row],[InParenthesesCleaned]], " ", ""))</f>
        <v>#VALUE!</v>
      </c>
      <c r="N880" t="e">
        <f>FIND("@", SUBSTITUTE(tblPassengerNames[[#This Row],[InParenthesesCleaned]], " ", "@", tblPassengerNames[[#This Row],[P_NSpaces]]))</f>
        <v>#VALUE!</v>
      </c>
      <c r="O880" t="e">
        <f>IF(tblPassengerNames[[#This Row],[P_NSpaces]] = 0,
    tblPassengerNames[[#This Row],[InParenthesesCleaned]],
    LEFT(tblPassengerNames[[#This Row],[InParenthesesCleaned]], tblPassengerNames[[#This Row],[P_FinalSpacePos]] - 1)
)</f>
        <v>#VALUE!</v>
      </c>
      <c r="P880" t="str">
        <f>IFERROR(tblPassengerNames[[#This Row],[P_Forenames]], tblPassengerNames[[#This Row],[ConvForenames]])</f>
        <v>Ida Livija</v>
      </c>
      <c r="Q880" t="str">
        <f>MID(tblPassengerNames[[#This Row],[Name]], tblPassengerNames[[#This Row],[CommaPos]] + 2, tblPassengerNames[[#This Row],[DotPos]] - tblPassengerNames[[#This Row],[CommaPos]] - 1)</f>
        <v>Miss.</v>
      </c>
      <c r="R880" t="str">
        <f>LEFT(tblPassengerNames[[#This Row],[Name]], tblPassengerNames[[#This Row],[CommaPos]] - 1)</f>
        <v>Ilmakangas</v>
      </c>
    </row>
    <row r="881" spans="2:18" x14ac:dyDescent="0.25">
      <c r="B881" s="21">
        <v>879</v>
      </c>
      <c r="C881" s="21" t="s">
        <v>1014</v>
      </c>
      <c r="D881" s="21" t="s">
        <v>136</v>
      </c>
      <c r="E881">
        <f>FIND(",", tblPassengerNames[[#This Row],[Name]])</f>
        <v>11</v>
      </c>
      <c r="F881">
        <f>FIND(".", tblPassengerNames[[#This Row],[Name]])</f>
        <v>17</v>
      </c>
      <c r="G881" t="e">
        <f>FIND("(", tblPassengerNames[[#This Row],[Name]])</f>
        <v>#VALUE!</v>
      </c>
      <c r="H881" t="e">
        <f>FIND(")", tblPassengerNames[[#This Row],[Name]])</f>
        <v>#VALUE!</v>
      </c>
      <c r="I881">
        <f>IFERROR(tblPassengerNames[[#This Row],[OpenParPos]] - 2, LEN(tblPassengerNames[[#This Row],[Name]]))</f>
        <v>29</v>
      </c>
      <c r="J881" t="str">
        <f>MID(tblPassengerNames[[#This Row],[Name]], tblPassengerNames[[#This Row],[DotPos]] + 2, tblPassengerNames[[#This Row],[EndOfConvFNPos]] - tblPassengerNames[[#This Row],[DotPos]] - 1)</f>
        <v>Pieta Sofia</v>
      </c>
      <c r="K881" t="e">
        <f>MID(tblPassengerNames[[#This Row],[Name]], tblPassengerNames[[#This Row],[OpenParPos]] + 1, tblPassengerNames[[#This Row],[CloseParPos]] - tblPassengerNames[[#This Row],[OpenParPos]] - 1)</f>
        <v>#VALUE!</v>
      </c>
      <c r="L881" t="e">
        <f>IF(AND(LEFT(tblPassengerNames[[#This Row],[InParentheses]], 1) = "'", RIGHT(tblPassengerNames[[#This Row],[InParentheses]], 1) = "'"),
    #VALUE!,
    tblPassengerNames[[#This Row],[InParentheses]]
)</f>
        <v>#VALUE!</v>
      </c>
      <c r="M881" t="e">
        <f>LEN(tblPassengerNames[[#This Row],[InParenthesesCleaned]]) - LEN(SUBSTITUTE(tblPassengerNames[[#This Row],[InParenthesesCleaned]], " ", ""))</f>
        <v>#VALUE!</v>
      </c>
      <c r="N881" t="e">
        <f>FIND("@", SUBSTITUTE(tblPassengerNames[[#This Row],[InParenthesesCleaned]], " ", "@", tblPassengerNames[[#This Row],[P_NSpaces]]))</f>
        <v>#VALUE!</v>
      </c>
      <c r="O881" t="e">
        <f>IF(tblPassengerNames[[#This Row],[P_NSpaces]] = 0,
    tblPassengerNames[[#This Row],[InParenthesesCleaned]],
    LEFT(tblPassengerNames[[#This Row],[InParenthesesCleaned]], tblPassengerNames[[#This Row],[P_FinalSpacePos]] - 1)
)</f>
        <v>#VALUE!</v>
      </c>
      <c r="P881" t="str">
        <f>IFERROR(tblPassengerNames[[#This Row],[P_Forenames]], tblPassengerNames[[#This Row],[ConvForenames]])</f>
        <v>Pieta Sofia</v>
      </c>
      <c r="Q881" t="str">
        <f>MID(tblPassengerNames[[#This Row],[Name]], tblPassengerNames[[#This Row],[CommaPos]] + 2, tblPassengerNames[[#This Row],[DotPos]] - tblPassengerNames[[#This Row],[CommaPos]] - 1)</f>
        <v>Miss.</v>
      </c>
      <c r="R881" t="str">
        <f>LEFT(tblPassengerNames[[#This Row],[Name]], tblPassengerNames[[#This Row],[CommaPos]] - 1)</f>
        <v>Ilmakangas</v>
      </c>
    </row>
    <row r="882" spans="2:18" x14ac:dyDescent="0.25">
      <c r="B882" s="21">
        <v>880</v>
      </c>
      <c r="C882" s="21" t="s">
        <v>1015</v>
      </c>
      <c r="D882" s="21" t="s">
        <v>138</v>
      </c>
      <c r="E882">
        <f>FIND(",", tblPassengerNames[[#This Row],[Name]])</f>
        <v>8</v>
      </c>
      <c r="F882">
        <f>FIND(".", tblPassengerNames[[#This Row],[Name]])</f>
        <v>12</v>
      </c>
      <c r="G882" t="e">
        <f>FIND("(", tblPassengerNames[[#This Row],[Name]])</f>
        <v>#VALUE!</v>
      </c>
      <c r="H882" t="e">
        <f>FIND(")", tblPassengerNames[[#This Row],[Name]])</f>
        <v>#VALUE!</v>
      </c>
      <c r="I882">
        <f>IFERROR(tblPassengerNames[[#This Row],[OpenParPos]] - 2, LEN(tblPassengerNames[[#This Row],[Name]]))</f>
        <v>18</v>
      </c>
      <c r="J882" t="str">
        <f>MID(tblPassengerNames[[#This Row],[Name]], tblPassengerNames[[#This Row],[DotPos]] + 2, tblPassengerNames[[#This Row],[EndOfConvFNPos]] - tblPassengerNames[[#This Row],[DotPos]] - 1)</f>
        <v>Kanio</v>
      </c>
      <c r="K882" t="e">
        <f>MID(tblPassengerNames[[#This Row],[Name]], tblPassengerNames[[#This Row],[OpenParPos]] + 1, tblPassengerNames[[#This Row],[CloseParPos]] - tblPassengerNames[[#This Row],[OpenParPos]] - 1)</f>
        <v>#VALUE!</v>
      </c>
      <c r="L882" t="e">
        <f>IF(AND(LEFT(tblPassengerNames[[#This Row],[InParentheses]], 1) = "'", RIGHT(tblPassengerNames[[#This Row],[InParentheses]], 1) = "'"),
    #VALUE!,
    tblPassengerNames[[#This Row],[InParentheses]]
)</f>
        <v>#VALUE!</v>
      </c>
      <c r="M882" t="e">
        <f>LEN(tblPassengerNames[[#This Row],[InParenthesesCleaned]]) - LEN(SUBSTITUTE(tblPassengerNames[[#This Row],[InParenthesesCleaned]], " ", ""))</f>
        <v>#VALUE!</v>
      </c>
      <c r="N882" t="e">
        <f>FIND("@", SUBSTITUTE(tblPassengerNames[[#This Row],[InParenthesesCleaned]], " ", "@", tblPassengerNames[[#This Row],[P_NSpaces]]))</f>
        <v>#VALUE!</v>
      </c>
      <c r="O882" t="e">
        <f>IF(tblPassengerNames[[#This Row],[P_NSpaces]] = 0,
    tblPassengerNames[[#This Row],[InParenthesesCleaned]],
    LEFT(tblPassengerNames[[#This Row],[InParenthesesCleaned]], tblPassengerNames[[#This Row],[P_FinalSpacePos]] - 1)
)</f>
        <v>#VALUE!</v>
      </c>
      <c r="P882" t="str">
        <f>IFERROR(tblPassengerNames[[#This Row],[P_Forenames]], tblPassengerNames[[#This Row],[ConvForenames]])</f>
        <v>Kanio</v>
      </c>
      <c r="Q882" t="str">
        <f>MID(tblPassengerNames[[#This Row],[Name]], tblPassengerNames[[#This Row],[CommaPos]] + 2, tblPassengerNames[[#This Row],[DotPos]] - tblPassengerNames[[#This Row],[CommaPos]] - 1)</f>
        <v>Mr.</v>
      </c>
      <c r="R882" t="str">
        <f>LEFT(tblPassengerNames[[#This Row],[Name]], tblPassengerNames[[#This Row],[CommaPos]] - 1)</f>
        <v>Ivanoff</v>
      </c>
    </row>
    <row r="883" spans="2:18" x14ac:dyDescent="0.25">
      <c r="B883" s="21">
        <v>881</v>
      </c>
      <c r="C883" s="21" t="s">
        <v>1016</v>
      </c>
      <c r="D883" s="21" t="s">
        <v>138</v>
      </c>
      <c r="E883">
        <f>FIND(",", tblPassengerNames[[#This Row],[Name]])</f>
        <v>9</v>
      </c>
      <c r="F883">
        <f>FIND(".", tblPassengerNames[[#This Row],[Name]])</f>
        <v>13</v>
      </c>
      <c r="G883" t="e">
        <f>FIND("(", tblPassengerNames[[#This Row],[Name]])</f>
        <v>#VALUE!</v>
      </c>
      <c r="H883" t="e">
        <f>FIND(")", tblPassengerNames[[#This Row],[Name]])</f>
        <v>#VALUE!</v>
      </c>
      <c r="I883">
        <f>IFERROR(tblPassengerNames[[#This Row],[OpenParPos]] - 2, LEN(tblPassengerNames[[#This Row],[Name]]))</f>
        <v>18</v>
      </c>
      <c r="J883" t="str">
        <f>MID(tblPassengerNames[[#This Row],[Name]], tblPassengerNames[[#This Row],[DotPos]] + 2, tblPassengerNames[[#This Row],[EndOfConvFNPos]] - tblPassengerNames[[#This Row],[DotPos]] - 1)</f>
        <v>Ivan</v>
      </c>
      <c r="K883" t="e">
        <f>MID(tblPassengerNames[[#This Row],[Name]], tblPassengerNames[[#This Row],[OpenParPos]] + 1, tblPassengerNames[[#This Row],[CloseParPos]] - tblPassengerNames[[#This Row],[OpenParPos]] - 1)</f>
        <v>#VALUE!</v>
      </c>
      <c r="L883" t="e">
        <f>IF(AND(LEFT(tblPassengerNames[[#This Row],[InParentheses]], 1) = "'", RIGHT(tblPassengerNames[[#This Row],[InParentheses]], 1) = "'"),
    #VALUE!,
    tblPassengerNames[[#This Row],[InParentheses]]
)</f>
        <v>#VALUE!</v>
      </c>
      <c r="M883" t="e">
        <f>LEN(tblPassengerNames[[#This Row],[InParenthesesCleaned]]) - LEN(SUBSTITUTE(tblPassengerNames[[#This Row],[InParenthesesCleaned]], " ", ""))</f>
        <v>#VALUE!</v>
      </c>
      <c r="N883" t="e">
        <f>FIND("@", SUBSTITUTE(tblPassengerNames[[#This Row],[InParenthesesCleaned]], " ", "@", tblPassengerNames[[#This Row],[P_NSpaces]]))</f>
        <v>#VALUE!</v>
      </c>
      <c r="O883" t="e">
        <f>IF(tblPassengerNames[[#This Row],[P_NSpaces]] = 0,
    tblPassengerNames[[#This Row],[InParenthesesCleaned]],
    LEFT(tblPassengerNames[[#This Row],[InParenthesesCleaned]], tblPassengerNames[[#This Row],[P_FinalSpacePos]] - 1)
)</f>
        <v>#VALUE!</v>
      </c>
      <c r="P883" t="str">
        <f>IFERROR(tblPassengerNames[[#This Row],[P_Forenames]], tblPassengerNames[[#This Row],[ConvForenames]])</f>
        <v>Ivan</v>
      </c>
      <c r="Q883" t="str">
        <f>MID(tblPassengerNames[[#This Row],[Name]], tblPassengerNames[[#This Row],[CommaPos]] + 2, tblPassengerNames[[#This Row],[DotPos]] - tblPassengerNames[[#This Row],[CommaPos]] - 1)</f>
        <v>Mr.</v>
      </c>
      <c r="R883" t="str">
        <f>LEFT(tblPassengerNames[[#This Row],[Name]], tblPassengerNames[[#This Row],[CommaPos]] - 1)</f>
        <v>Jalsevac</v>
      </c>
    </row>
    <row r="884" spans="2:18" x14ac:dyDescent="0.25">
      <c r="B884" s="21">
        <v>882</v>
      </c>
      <c r="C884" s="21" t="s">
        <v>1017</v>
      </c>
      <c r="D884" s="21" t="s">
        <v>138</v>
      </c>
      <c r="E884">
        <f>FIND(",", tblPassengerNames[[#This Row],[Name]])</f>
        <v>8</v>
      </c>
      <c r="F884">
        <f>FIND(".", tblPassengerNames[[#This Row],[Name]])</f>
        <v>12</v>
      </c>
      <c r="G884" t="e">
        <f>FIND("(", tblPassengerNames[[#This Row],[Name]])</f>
        <v>#VALUE!</v>
      </c>
      <c r="H884" t="e">
        <f>FIND(")", tblPassengerNames[[#This Row],[Name]])</f>
        <v>#VALUE!</v>
      </c>
      <c r="I884">
        <f>IFERROR(tblPassengerNames[[#This Row],[OpenParPos]] - 2, LEN(tblPassengerNames[[#This Row],[Name]]))</f>
        <v>22</v>
      </c>
      <c r="J884" t="str">
        <f>MID(tblPassengerNames[[#This Row],[Name]], tblPassengerNames[[#This Row],[DotPos]] + 2, tblPassengerNames[[#This Row],[EndOfConvFNPos]] - tblPassengerNames[[#This Row],[DotPos]] - 1)</f>
        <v>Carl Olof</v>
      </c>
      <c r="K884" t="e">
        <f>MID(tblPassengerNames[[#This Row],[Name]], tblPassengerNames[[#This Row],[OpenParPos]] + 1, tblPassengerNames[[#This Row],[CloseParPos]] - tblPassengerNames[[#This Row],[OpenParPos]] - 1)</f>
        <v>#VALUE!</v>
      </c>
      <c r="L884" t="e">
        <f>IF(AND(LEFT(tblPassengerNames[[#This Row],[InParentheses]], 1) = "'", RIGHT(tblPassengerNames[[#This Row],[InParentheses]], 1) = "'"),
    #VALUE!,
    tblPassengerNames[[#This Row],[InParentheses]]
)</f>
        <v>#VALUE!</v>
      </c>
      <c r="M884" t="e">
        <f>LEN(tblPassengerNames[[#This Row],[InParenthesesCleaned]]) - LEN(SUBSTITUTE(tblPassengerNames[[#This Row],[InParenthesesCleaned]], " ", ""))</f>
        <v>#VALUE!</v>
      </c>
      <c r="N884" t="e">
        <f>FIND("@", SUBSTITUTE(tblPassengerNames[[#This Row],[InParenthesesCleaned]], " ", "@", tblPassengerNames[[#This Row],[P_NSpaces]]))</f>
        <v>#VALUE!</v>
      </c>
      <c r="O884" t="e">
        <f>IF(tblPassengerNames[[#This Row],[P_NSpaces]] = 0,
    tblPassengerNames[[#This Row],[InParenthesesCleaned]],
    LEFT(tblPassengerNames[[#This Row],[InParenthesesCleaned]], tblPassengerNames[[#This Row],[P_FinalSpacePos]] - 1)
)</f>
        <v>#VALUE!</v>
      </c>
      <c r="P884" t="str">
        <f>IFERROR(tblPassengerNames[[#This Row],[P_Forenames]], tblPassengerNames[[#This Row],[ConvForenames]])</f>
        <v>Carl Olof</v>
      </c>
      <c r="Q884" t="str">
        <f>MID(tblPassengerNames[[#This Row],[Name]], tblPassengerNames[[#This Row],[CommaPos]] + 2, tblPassengerNames[[#This Row],[DotPos]] - tblPassengerNames[[#This Row],[CommaPos]] - 1)</f>
        <v>Mr.</v>
      </c>
      <c r="R884" t="str">
        <f>LEFT(tblPassengerNames[[#This Row],[Name]], tblPassengerNames[[#This Row],[CommaPos]] - 1)</f>
        <v>Jansson</v>
      </c>
    </row>
    <row r="885" spans="2:18" x14ac:dyDescent="0.25">
      <c r="B885" s="21">
        <v>883</v>
      </c>
      <c r="C885" s="21" t="s">
        <v>1018</v>
      </c>
      <c r="D885" s="21" t="s">
        <v>138</v>
      </c>
      <c r="E885">
        <f>FIND(",", tblPassengerNames[[#This Row],[Name]])</f>
        <v>7</v>
      </c>
      <c r="F885">
        <f>FIND(".", tblPassengerNames[[#This Row],[Name]])</f>
        <v>11</v>
      </c>
      <c r="G885" t="e">
        <f>FIND("(", tblPassengerNames[[#This Row],[Name]])</f>
        <v>#VALUE!</v>
      </c>
      <c r="H885" t="e">
        <f>FIND(")", tblPassengerNames[[#This Row],[Name]])</f>
        <v>#VALUE!</v>
      </c>
      <c r="I885">
        <f>IFERROR(tblPassengerNames[[#This Row],[OpenParPos]] - 2, LEN(tblPassengerNames[[#This Row],[Name]]))</f>
        <v>21</v>
      </c>
      <c r="J885" t="str">
        <f>MID(tblPassengerNames[[#This Row],[Name]], tblPassengerNames[[#This Row],[DotPos]] + 2, tblPassengerNames[[#This Row],[EndOfConvFNPos]] - tblPassengerNames[[#This Row],[DotPos]] - 1)</f>
        <v>Jose Neto</v>
      </c>
      <c r="K885" t="e">
        <f>MID(tblPassengerNames[[#This Row],[Name]], tblPassengerNames[[#This Row],[OpenParPos]] + 1, tblPassengerNames[[#This Row],[CloseParPos]] - tblPassengerNames[[#This Row],[OpenParPos]] - 1)</f>
        <v>#VALUE!</v>
      </c>
      <c r="L885" t="e">
        <f>IF(AND(LEFT(tblPassengerNames[[#This Row],[InParentheses]], 1) = "'", RIGHT(tblPassengerNames[[#This Row],[InParentheses]], 1) = "'"),
    #VALUE!,
    tblPassengerNames[[#This Row],[InParentheses]]
)</f>
        <v>#VALUE!</v>
      </c>
      <c r="M885" t="e">
        <f>LEN(tblPassengerNames[[#This Row],[InParenthesesCleaned]]) - LEN(SUBSTITUTE(tblPassengerNames[[#This Row],[InParenthesesCleaned]], " ", ""))</f>
        <v>#VALUE!</v>
      </c>
      <c r="N885" t="e">
        <f>FIND("@", SUBSTITUTE(tblPassengerNames[[#This Row],[InParenthesesCleaned]], " ", "@", tblPassengerNames[[#This Row],[P_NSpaces]]))</f>
        <v>#VALUE!</v>
      </c>
      <c r="O885" t="e">
        <f>IF(tblPassengerNames[[#This Row],[P_NSpaces]] = 0,
    tblPassengerNames[[#This Row],[InParenthesesCleaned]],
    LEFT(tblPassengerNames[[#This Row],[InParenthesesCleaned]], tblPassengerNames[[#This Row],[P_FinalSpacePos]] - 1)
)</f>
        <v>#VALUE!</v>
      </c>
      <c r="P885" t="str">
        <f>IFERROR(tblPassengerNames[[#This Row],[P_Forenames]], tblPassengerNames[[#This Row],[ConvForenames]])</f>
        <v>Jose Neto</v>
      </c>
      <c r="Q885" t="str">
        <f>MID(tblPassengerNames[[#This Row],[Name]], tblPassengerNames[[#This Row],[CommaPos]] + 2, tblPassengerNames[[#This Row],[DotPos]] - tblPassengerNames[[#This Row],[CommaPos]] - 1)</f>
        <v>Mr.</v>
      </c>
      <c r="R885" t="str">
        <f>LEFT(tblPassengerNames[[#This Row],[Name]], tblPassengerNames[[#This Row],[CommaPos]] - 1)</f>
        <v>Jardin</v>
      </c>
    </row>
    <row r="886" spans="2:18" x14ac:dyDescent="0.25">
      <c r="B886" s="21">
        <v>884</v>
      </c>
      <c r="C886" s="21" t="s">
        <v>1019</v>
      </c>
      <c r="D886" s="21" t="s">
        <v>138</v>
      </c>
      <c r="E886">
        <f>FIND(",", tblPassengerNames[[#This Row],[Name]])</f>
        <v>7</v>
      </c>
      <c r="F886">
        <f>FIND(".", tblPassengerNames[[#This Row],[Name]])</f>
        <v>11</v>
      </c>
      <c r="G886" t="e">
        <f>FIND("(", tblPassengerNames[[#This Row],[Name]])</f>
        <v>#VALUE!</v>
      </c>
      <c r="H886" t="e">
        <f>FIND(")", tblPassengerNames[[#This Row],[Name]])</f>
        <v>#VALUE!</v>
      </c>
      <c r="I886">
        <f>IFERROR(tblPassengerNames[[#This Row],[OpenParPos]] - 2, LEN(tblPassengerNames[[#This Row],[Name]]))</f>
        <v>22</v>
      </c>
      <c r="J886" t="str">
        <f>MID(tblPassengerNames[[#This Row],[Name]], tblPassengerNames[[#This Row],[DotPos]] + 2, tblPassengerNames[[#This Row],[EndOfConvFNPos]] - tblPassengerNames[[#This Row],[DotPos]] - 1)</f>
        <v>Hans Peder</v>
      </c>
      <c r="K886" t="e">
        <f>MID(tblPassengerNames[[#This Row],[Name]], tblPassengerNames[[#This Row],[OpenParPos]] + 1, tblPassengerNames[[#This Row],[CloseParPos]] - tblPassengerNames[[#This Row],[OpenParPos]] - 1)</f>
        <v>#VALUE!</v>
      </c>
      <c r="L886" t="e">
        <f>IF(AND(LEFT(tblPassengerNames[[#This Row],[InParentheses]], 1) = "'", RIGHT(tblPassengerNames[[#This Row],[InParentheses]], 1) = "'"),
    #VALUE!,
    tblPassengerNames[[#This Row],[InParentheses]]
)</f>
        <v>#VALUE!</v>
      </c>
      <c r="M886" t="e">
        <f>LEN(tblPassengerNames[[#This Row],[InParenthesesCleaned]]) - LEN(SUBSTITUTE(tblPassengerNames[[#This Row],[InParenthesesCleaned]], " ", ""))</f>
        <v>#VALUE!</v>
      </c>
      <c r="N886" t="e">
        <f>FIND("@", SUBSTITUTE(tblPassengerNames[[#This Row],[InParenthesesCleaned]], " ", "@", tblPassengerNames[[#This Row],[P_NSpaces]]))</f>
        <v>#VALUE!</v>
      </c>
      <c r="O886" t="e">
        <f>IF(tblPassengerNames[[#This Row],[P_NSpaces]] = 0,
    tblPassengerNames[[#This Row],[InParenthesesCleaned]],
    LEFT(tblPassengerNames[[#This Row],[InParenthesesCleaned]], tblPassengerNames[[#This Row],[P_FinalSpacePos]] - 1)
)</f>
        <v>#VALUE!</v>
      </c>
      <c r="P886" t="str">
        <f>IFERROR(tblPassengerNames[[#This Row],[P_Forenames]], tblPassengerNames[[#This Row],[ConvForenames]])</f>
        <v>Hans Peder</v>
      </c>
      <c r="Q886" t="str">
        <f>MID(tblPassengerNames[[#This Row],[Name]], tblPassengerNames[[#This Row],[CommaPos]] + 2, tblPassengerNames[[#This Row],[DotPos]] - tblPassengerNames[[#This Row],[CommaPos]] - 1)</f>
        <v>Mr.</v>
      </c>
      <c r="R886" t="str">
        <f>LEFT(tblPassengerNames[[#This Row],[Name]], tblPassengerNames[[#This Row],[CommaPos]] - 1)</f>
        <v>Jensen</v>
      </c>
    </row>
    <row r="887" spans="2:18" x14ac:dyDescent="0.25">
      <c r="B887" s="21">
        <v>885</v>
      </c>
      <c r="C887" s="21" t="s">
        <v>1020</v>
      </c>
      <c r="D887" s="21" t="s">
        <v>138</v>
      </c>
      <c r="E887">
        <f>FIND(",", tblPassengerNames[[#This Row],[Name]])</f>
        <v>7</v>
      </c>
      <c r="F887">
        <f>FIND(".", tblPassengerNames[[#This Row],[Name]])</f>
        <v>11</v>
      </c>
      <c r="G887" t="e">
        <f>FIND("(", tblPassengerNames[[#This Row],[Name]])</f>
        <v>#VALUE!</v>
      </c>
      <c r="H887" t="e">
        <f>FIND(")", tblPassengerNames[[#This Row],[Name]])</f>
        <v>#VALUE!</v>
      </c>
      <c r="I887">
        <f>IFERROR(tblPassengerNames[[#This Row],[OpenParPos]] - 2, LEN(tblPassengerNames[[#This Row],[Name]]))</f>
        <v>23</v>
      </c>
      <c r="J887" t="str">
        <f>MID(tblPassengerNames[[#This Row],[Name]], tblPassengerNames[[#This Row],[DotPos]] + 2, tblPassengerNames[[#This Row],[EndOfConvFNPos]] - tblPassengerNames[[#This Row],[DotPos]] - 1)</f>
        <v>Niels Peder</v>
      </c>
      <c r="K887" t="e">
        <f>MID(tblPassengerNames[[#This Row],[Name]], tblPassengerNames[[#This Row],[OpenParPos]] + 1, tblPassengerNames[[#This Row],[CloseParPos]] - tblPassengerNames[[#This Row],[OpenParPos]] - 1)</f>
        <v>#VALUE!</v>
      </c>
      <c r="L887" t="e">
        <f>IF(AND(LEFT(tblPassengerNames[[#This Row],[InParentheses]], 1) = "'", RIGHT(tblPassengerNames[[#This Row],[InParentheses]], 1) = "'"),
    #VALUE!,
    tblPassengerNames[[#This Row],[InParentheses]]
)</f>
        <v>#VALUE!</v>
      </c>
      <c r="M887" t="e">
        <f>LEN(tblPassengerNames[[#This Row],[InParenthesesCleaned]]) - LEN(SUBSTITUTE(tblPassengerNames[[#This Row],[InParenthesesCleaned]], " ", ""))</f>
        <v>#VALUE!</v>
      </c>
      <c r="N887" t="e">
        <f>FIND("@", SUBSTITUTE(tblPassengerNames[[#This Row],[InParenthesesCleaned]], " ", "@", tblPassengerNames[[#This Row],[P_NSpaces]]))</f>
        <v>#VALUE!</v>
      </c>
      <c r="O887" t="e">
        <f>IF(tblPassengerNames[[#This Row],[P_NSpaces]] = 0,
    tblPassengerNames[[#This Row],[InParenthesesCleaned]],
    LEFT(tblPassengerNames[[#This Row],[InParenthesesCleaned]], tblPassengerNames[[#This Row],[P_FinalSpacePos]] - 1)
)</f>
        <v>#VALUE!</v>
      </c>
      <c r="P887" t="str">
        <f>IFERROR(tblPassengerNames[[#This Row],[P_Forenames]], tblPassengerNames[[#This Row],[ConvForenames]])</f>
        <v>Niels Peder</v>
      </c>
      <c r="Q887" t="str">
        <f>MID(tblPassengerNames[[#This Row],[Name]], tblPassengerNames[[#This Row],[CommaPos]] + 2, tblPassengerNames[[#This Row],[DotPos]] - tblPassengerNames[[#This Row],[CommaPos]] - 1)</f>
        <v>Mr.</v>
      </c>
      <c r="R887" t="str">
        <f>LEFT(tblPassengerNames[[#This Row],[Name]], tblPassengerNames[[#This Row],[CommaPos]] - 1)</f>
        <v>Jensen</v>
      </c>
    </row>
    <row r="888" spans="2:18" x14ac:dyDescent="0.25">
      <c r="B888" s="21">
        <v>886</v>
      </c>
      <c r="C888" s="21" t="s">
        <v>1021</v>
      </c>
      <c r="D888" s="21" t="s">
        <v>138</v>
      </c>
      <c r="E888">
        <f>FIND(",", tblPassengerNames[[#This Row],[Name]])</f>
        <v>7</v>
      </c>
      <c r="F888">
        <f>FIND(".", tblPassengerNames[[#This Row],[Name]])</f>
        <v>11</v>
      </c>
      <c r="G888" t="e">
        <f>FIND("(", tblPassengerNames[[#This Row],[Name]])</f>
        <v>#VALUE!</v>
      </c>
      <c r="H888" t="e">
        <f>FIND(")", tblPassengerNames[[#This Row],[Name]])</f>
        <v>#VALUE!</v>
      </c>
      <c r="I888">
        <f>IFERROR(tblPassengerNames[[#This Row],[OpenParPos]] - 2, LEN(tblPassengerNames[[#This Row],[Name]]))</f>
        <v>25</v>
      </c>
      <c r="J888" t="str">
        <f>MID(tblPassengerNames[[#This Row],[Name]], tblPassengerNames[[#This Row],[DotPos]] + 2, tblPassengerNames[[#This Row],[EndOfConvFNPos]] - tblPassengerNames[[#This Row],[DotPos]] - 1)</f>
        <v>Svend Lauritz</v>
      </c>
      <c r="K888" t="e">
        <f>MID(tblPassengerNames[[#This Row],[Name]], tblPassengerNames[[#This Row],[OpenParPos]] + 1, tblPassengerNames[[#This Row],[CloseParPos]] - tblPassengerNames[[#This Row],[OpenParPos]] - 1)</f>
        <v>#VALUE!</v>
      </c>
      <c r="L888" t="e">
        <f>IF(AND(LEFT(tblPassengerNames[[#This Row],[InParentheses]], 1) = "'", RIGHT(tblPassengerNames[[#This Row],[InParentheses]], 1) = "'"),
    #VALUE!,
    tblPassengerNames[[#This Row],[InParentheses]]
)</f>
        <v>#VALUE!</v>
      </c>
      <c r="M888" t="e">
        <f>LEN(tblPassengerNames[[#This Row],[InParenthesesCleaned]]) - LEN(SUBSTITUTE(tblPassengerNames[[#This Row],[InParenthesesCleaned]], " ", ""))</f>
        <v>#VALUE!</v>
      </c>
      <c r="N888" t="e">
        <f>FIND("@", SUBSTITUTE(tblPassengerNames[[#This Row],[InParenthesesCleaned]], " ", "@", tblPassengerNames[[#This Row],[P_NSpaces]]))</f>
        <v>#VALUE!</v>
      </c>
      <c r="O888" t="e">
        <f>IF(tblPassengerNames[[#This Row],[P_NSpaces]] = 0,
    tblPassengerNames[[#This Row],[InParenthesesCleaned]],
    LEFT(tblPassengerNames[[#This Row],[InParenthesesCleaned]], tblPassengerNames[[#This Row],[P_FinalSpacePos]] - 1)
)</f>
        <v>#VALUE!</v>
      </c>
      <c r="P888" t="str">
        <f>IFERROR(tblPassengerNames[[#This Row],[P_Forenames]], tblPassengerNames[[#This Row],[ConvForenames]])</f>
        <v>Svend Lauritz</v>
      </c>
      <c r="Q888" t="str">
        <f>MID(tblPassengerNames[[#This Row],[Name]], tblPassengerNames[[#This Row],[CommaPos]] + 2, tblPassengerNames[[#This Row],[DotPos]] - tblPassengerNames[[#This Row],[CommaPos]] - 1)</f>
        <v>Mr.</v>
      </c>
      <c r="R888" t="str">
        <f>LEFT(tblPassengerNames[[#This Row],[Name]], tblPassengerNames[[#This Row],[CommaPos]] - 1)</f>
        <v>Jensen</v>
      </c>
    </row>
    <row r="889" spans="2:18" x14ac:dyDescent="0.25">
      <c r="B889" s="21">
        <v>887</v>
      </c>
      <c r="C889" s="21" t="s">
        <v>1022</v>
      </c>
      <c r="D889" s="21" t="s">
        <v>136</v>
      </c>
      <c r="E889">
        <f>FIND(",", tblPassengerNames[[#This Row],[Name]])</f>
        <v>7</v>
      </c>
      <c r="F889">
        <f>FIND(".", tblPassengerNames[[#This Row],[Name]])</f>
        <v>13</v>
      </c>
      <c r="G889" t="e">
        <f>FIND("(", tblPassengerNames[[#This Row],[Name]])</f>
        <v>#VALUE!</v>
      </c>
      <c r="H889" t="e">
        <f>FIND(")", tblPassengerNames[[#This Row],[Name]])</f>
        <v>#VALUE!</v>
      </c>
      <c r="I889">
        <f>IFERROR(tblPassengerNames[[#This Row],[OpenParPos]] - 2, LEN(tblPassengerNames[[#This Row],[Name]]))</f>
        <v>19</v>
      </c>
      <c r="J889" t="str">
        <f>MID(tblPassengerNames[[#This Row],[Name]], tblPassengerNames[[#This Row],[DotPos]] + 2, tblPassengerNames[[#This Row],[EndOfConvFNPos]] - tblPassengerNames[[#This Row],[DotPos]] - 1)</f>
        <v>Annie</v>
      </c>
      <c r="K889" t="e">
        <f>MID(tblPassengerNames[[#This Row],[Name]], tblPassengerNames[[#This Row],[OpenParPos]] + 1, tblPassengerNames[[#This Row],[CloseParPos]] - tblPassengerNames[[#This Row],[OpenParPos]] - 1)</f>
        <v>#VALUE!</v>
      </c>
      <c r="L889" t="e">
        <f>IF(AND(LEFT(tblPassengerNames[[#This Row],[InParentheses]], 1) = "'", RIGHT(tblPassengerNames[[#This Row],[InParentheses]], 1) = "'"),
    #VALUE!,
    tblPassengerNames[[#This Row],[InParentheses]]
)</f>
        <v>#VALUE!</v>
      </c>
      <c r="M889" t="e">
        <f>LEN(tblPassengerNames[[#This Row],[InParenthesesCleaned]]) - LEN(SUBSTITUTE(tblPassengerNames[[#This Row],[InParenthesesCleaned]], " ", ""))</f>
        <v>#VALUE!</v>
      </c>
      <c r="N889" t="e">
        <f>FIND("@", SUBSTITUTE(tblPassengerNames[[#This Row],[InParenthesesCleaned]], " ", "@", tblPassengerNames[[#This Row],[P_NSpaces]]))</f>
        <v>#VALUE!</v>
      </c>
      <c r="O889" t="e">
        <f>IF(tblPassengerNames[[#This Row],[P_NSpaces]] = 0,
    tblPassengerNames[[#This Row],[InParenthesesCleaned]],
    LEFT(tblPassengerNames[[#This Row],[InParenthesesCleaned]], tblPassengerNames[[#This Row],[P_FinalSpacePos]] - 1)
)</f>
        <v>#VALUE!</v>
      </c>
      <c r="P889" t="str">
        <f>IFERROR(tblPassengerNames[[#This Row],[P_Forenames]], tblPassengerNames[[#This Row],[ConvForenames]])</f>
        <v>Annie</v>
      </c>
      <c r="Q889" t="str">
        <f>MID(tblPassengerNames[[#This Row],[Name]], tblPassengerNames[[#This Row],[CommaPos]] + 2, tblPassengerNames[[#This Row],[DotPos]] - tblPassengerNames[[#This Row],[CommaPos]] - 1)</f>
        <v>Miss.</v>
      </c>
      <c r="R889" t="str">
        <f>LEFT(tblPassengerNames[[#This Row],[Name]], tblPassengerNames[[#This Row],[CommaPos]] - 1)</f>
        <v>Jermyn</v>
      </c>
    </row>
    <row r="890" spans="2:18" x14ac:dyDescent="0.25">
      <c r="B890" s="21">
        <v>888</v>
      </c>
      <c r="C890" s="21" t="s">
        <v>1023</v>
      </c>
      <c r="D890" s="21" t="s">
        <v>138</v>
      </c>
      <c r="E890">
        <f>FIND(",", tblPassengerNames[[#This Row],[Name]])</f>
        <v>23</v>
      </c>
      <c r="F890">
        <f>FIND(".", tblPassengerNames[[#This Row],[Name]])</f>
        <v>27</v>
      </c>
      <c r="G890" t="e">
        <f>FIND("(", tblPassengerNames[[#This Row],[Name]])</f>
        <v>#VALUE!</v>
      </c>
      <c r="H890" t="e">
        <f>FIND(")", tblPassengerNames[[#This Row],[Name]])</f>
        <v>#VALUE!</v>
      </c>
      <c r="I890">
        <f>IFERROR(tblPassengerNames[[#This Row],[OpenParPos]] - 2, LEN(tblPassengerNames[[#This Row],[Name]]))</f>
        <v>33</v>
      </c>
      <c r="J890" t="str">
        <f>MID(tblPassengerNames[[#This Row],[Name]], tblPassengerNames[[#This Row],[DotPos]] + 2, tblPassengerNames[[#This Row],[EndOfConvFNPos]] - tblPassengerNames[[#This Row],[DotPos]] - 1)</f>
        <v>Bernt</v>
      </c>
      <c r="K890" t="e">
        <f>MID(tblPassengerNames[[#This Row],[Name]], tblPassengerNames[[#This Row],[OpenParPos]] + 1, tblPassengerNames[[#This Row],[CloseParPos]] - tblPassengerNames[[#This Row],[OpenParPos]] - 1)</f>
        <v>#VALUE!</v>
      </c>
      <c r="L890" t="e">
        <f>IF(AND(LEFT(tblPassengerNames[[#This Row],[InParentheses]], 1) = "'", RIGHT(tblPassengerNames[[#This Row],[InParentheses]], 1) = "'"),
    #VALUE!,
    tblPassengerNames[[#This Row],[InParentheses]]
)</f>
        <v>#VALUE!</v>
      </c>
      <c r="M890" t="e">
        <f>LEN(tblPassengerNames[[#This Row],[InParenthesesCleaned]]) - LEN(SUBSTITUTE(tblPassengerNames[[#This Row],[InParenthesesCleaned]], " ", ""))</f>
        <v>#VALUE!</v>
      </c>
      <c r="N890" t="e">
        <f>FIND("@", SUBSTITUTE(tblPassengerNames[[#This Row],[InParenthesesCleaned]], " ", "@", tblPassengerNames[[#This Row],[P_NSpaces]]))</f>
        <v>#VALUE!</v>
      </c>
      <c r="O890" t="e">
        <f>IF(tblPassengerNames[[#This Row],[P_NSpaces]] = 0,
    tblPassengerNames[[#This Row],[InParenthesesCleaned]],
    LEFT(tblPassengerNames[[#This Row],[InParenthesesCleaned]], tblPassengerNames[[#This Row],[P_FinalSpacePos]] - 1)
)</f>
        <v>#VALUE!</v>
      </c>
      <c r="P890" t="str">
        <f>IFERROR(tblPassengerNames[[#This Row],[P_Forenames]], tblPassengerNames[[#This Row],[ConvForenames]])</f>
        <v>Bernt</v>
      </c>
      <c r="Q890" t="str">
        <f>MID(tblPassengerNames[[#This Row],[Name]], tblPassengerNames[[#This Row],[CommaPos]] + 2, tblPassengerNames[[#This Row],[DotPos]] - tblPassengerNames[[#This Row],[CommaPos]] - 1)</f>
        <v>Mr.</v>
      </c>
      <c r="R890" t="str">
        <f>LEFT(tblPassengerNames[[#This Row],[Name]], tblPassengerNames[[#This Row],[CommaPos]] - 1)</f>
        <v>Johannesen-Bratthammer</v>
      </c>
    </row>
    <row r="891" spans="2:18" x14ac:dyDescent="0.25">
      <c r="B891" s="21">
        <v>889</v>
      </c>
      <c r="C891" s="21" t="s">
        <v>1024</v>
      </c>
      <c r="D891" s="21" t="s">
        <v>138</v>
      </c>
      <c r="E891">
        <f>FIND(",", tblPassengerNames[[#This Row],[Name]])</f>
        <v>9</v>
      </c>
      <c r="F891">
        <f>FIND(".", tblPassengerNames[[#This Row],[Name]])</f>
        <v>13</v>
      </c>
      <c r="G891" t="e">
        <f>FIND("(", tblPassengerNames[[#This Row],[Name]])</f>
        <v>#VALUE!</v>
      </c>
      <c r="H891" t="e">
        <f>FIND(")", tblPassengerNames[[#This Row],[Name]])</f>
        <v>#VALUE!</v>
      </c>
      <c r="I891">
        <f>IFERROR(tblPassengerNames[[#This Row],[OpenParPos]] - 2, LEN(tblPassengerNames[[#This Row],[Name]]))</f>
        <v>26</v>
      </c>
      <c r="J891" t="str">
        <f>MID(tblPassengerNames[[#This Row],[Name]], tblPassengerNames[[#This Row],[DotPos]] + 2, tblPassengerNames[[#This Row],[EndOfConvFNPos]] - tblPassengerNames[[#This Row],[DotPos]] - 1)</f>
        <v>Jakob Alfred</v>
      </c>
      <c r="K891" t="e">
        <f>MID(tblPassengerNames[[#This Row],[Name]], tblPassengerNames[[#This Row],[OpenParPos]] + 1, tblPassengerNames[[#This Row],[CloseParPos]] - tblPassengerNames[[#This Row],[OpenParPos]] - 1)</f>
        <v>#VALUE!</v>
      </c>
      <c r="L891" t="e">
        <f>IF(AND(LEFT(tblPassengerNames[[#This Row],[InParentheses]], 1) = "'", RIGHT(tblPassengerNames[[#This Row],[InParentheses]], 1) = "'"),
    #VALUE!,
    tblPassengerNames[[#This Row],[InParentheses]]
)</f>
        <v>#VALUE!</v>
      </c>
      <c r="M891" t="e">
        <f>LEN(tblPassengerNames[[#This Row],[InParenthesesCleaned]]) - LEN(SUBSTITUTE(tblPassengerNames[[#This Row],[InParenthesesCleaned]], " ", ""))</f>
        <v>#VALUE!</v>
      </c>
      <c r="N891" t="e">
        <f>FIND("@", SUBSTITUTE(tblPassengerNames[[#This Row],[InParenthesesCleaned]], " ", "@", tblPassengerNames[[#This Row],[P_NSpaces]]))</f>
        <v>#VALUE!</v>
      </c>
      <c r="O891" t="e">
        <f>IF(tblPassengerNames[[#This Row],[P_NSpaces]] = 0,
    tblPassengerNames[[#This Row],[InParenthesesCleaned]],
    LEFT(tblPassengerNames[[#This Row],[InParenthesesCleaned]], tblPassengerNames[[#This Row],[P_FinalSpacePos]] - 1)
)</f>
        <v>#VALUE!</v>
      </c>
      <c r="P891" t="str">
        <f>IFERROR(tblPassengerNames[[#This Row],[P_Forenames]], tblPassengerNames[[#This Row],[ConvForenames]])</f>
        <v>Jakob Alfred</v>
      </c>
      <c r="Q891" t="str">
        <f>MID(tblPassengerNames[[#This Row],[Name]], tblPassengerNames[[#This Row],[CommaPos]] + 2, tblPassengerNames[[#This Row],[DotPos]] - tblPassengerNames[[#This Row],[CommaPos]] - 1)</f>
        <v>Mr.</v>
      </c>
      <c r="R891" t="str">
        <f>LEFT(tblPassengerNames[[#This Row],[Name]], tblPassengerNames[[#This Row],[CommaPos]] - 1)</f>
        <v>Johanson</v>
      </c>
    </row>
    <row r="892" spans="2:18" x14ac:dyDescent="0.25">
      <c r="B892" s="21">
        <v>890</v>
      </c>
      <c r="C892" s="21" t="s">
        <v>1025</v>
      </c>
      <c r="D892" s="21" t="s">
        <v>138</v>
      </c>
      <c r="E892">
        <f>FIND(",", tblPassengerNames[[#This Row],[Name]])</f>
        <v>20</v>
      </c>
      <c r="F892">
        <f>FIND(".", tblPassengerNames[[#This Row],[Name]])</f>
        <v>24</v>
      </c>
      <c r="G892" t="e">
        <f>FIND("(", tblPassengerNames[[#This Row],[Name]])</f>
        <v>#VALUE!</v>
      </c>
      <c r="H892" t="e">
        <f>FIND(")", tblPassengerNames[[#This Row],[Name]])</f>
        <v>#VALUE!</v>
      </c>
      <c r="I892">
        <f>IFERROR(tblPassengerNames[[#This Row],[OpenParPos]] - 2, LEN(tblPassengerNames[[#This Row],[Name]]))</f>
        <v>38</v>
      </c>
      <c r="J892" t="str">
        <f>MID(tblPassengerNames[[#This Row],[Name]], tblPassengerNames[[#This Row],[DotPos]] + 2, tblPassengerNames[[#This Row],[EndOfConvFNPos]] - tblPassengerNames[[#This Row],[DotPos]] - 1)</f>
        <v>Oskar Leander</v>
      </c>
      <c r="K892" t="e">
        <f>MID(tblPassengerNames[[#This Row],[Name]], tblPassengerNames[[#This Row],[OpenParPos]] + 1, tblPassengerNames[[#This Row],[CloseParPos]] - tblPassengerNames[[#This Row],[OpenParPos]] - 1)</f>
        <v>#VALUE!</v>
      </c>
      <c r="L892" t="e">
        <f>IF(AND(LEFT(tblPassengerNames[[#This Row],[InParentheses]], 1) = "'", RIGHT(tblPassengerNames[[#This Row],[InParentheses]], 1) = "'"),
    #VALUE!,
    tblPassengerNames[[#This Row],[InParentheses]]
)</f>
        <v>#VALUE!</v>
      </c>
      <c r="M892" t="e">
        <f>LEN(tblPassengerNames[[#This Row],[InParenthesesCleaned]]) - LEN(SUBSTITUTE(tblPassengerNames[[#This Row],[InParenthesesCleaned]], " ", ""))</f>
        <v>#VALUE!</v>
      </c>
      <c r="N892" t="e">
        <f>FIND("@", SUBSTITUTE(tblPassengerNames[[#This Row],[InParenthesesCleaned]], " ", "@", tblPassengerNames[[#This Row],[P_NSpaces]]))</f>
        <v>#VALUE!</v>
      </c>
      <c r="O892" t="e">
        <f>IF(tblPassengerNames[[#This Row],[P_NSpaces]] = 0,
    tblPassengerNames[[#This Row],[InParenthesesCleaned]],
    LEFT(tblPassengerNames[[#This Row],[InParenthesesCleaned]], tblPassengerNames[[#This Row],[P_FinalSpacePos]] - 1)
)</f>
        <v>#VALUE!</v>
      </c>
      <c r="P892" t="str">
        <f>IFERROR(tblPassengerNames[[#This Row],[P_Forenames]], tblPassengerNames[[#This Row],[ConvForenames]])</f>
        <v>Oskar Leander</v>
      </c>
      <c r="Q892" t="str">
        <f>MID(tblPassengerNames[[#This Row],[Name]], tblPassengerNames[[#This Row],[CommaPos]] + 2, tblPassengerNames[[#This Row],[DotPos]] - tblPassengerNames[[#This Row],[CommaPos]] - 1)</f>
        <v>Mr.</v>
      </c>
      <c r="R892" t="str">
        <f>LEFT(tblPassengerNames[[#This Row],[Name]], tblPassengerNames[[#This Row],[CommaPos]] - 1)</f>
        <v>Johansson Palmquist</v>
      </c>
    </row>
    <row r="893" spans="2:18" x14ac:dyDescent="0.25">
      <c r="B893" s="21">
        <v>891</v>
      </c>
      <c r="C893" s="21" t="s">
        <v>1026</v>
      </c>
      <c r="D893" s="21" t="s">
        <v>138</v>
      </c>
      <c r="E893">
        <f>FIND(",", tblPassengerNames[[#This Row],[Name]])</f>
        <v>10</v>
      </c>
      <c r="F893">
        <f>FIND(".", tblPassengerNames[[#This Row],[Name]])</f>
        <v>14</v>
      </c>
      <c r="G893" t="e">
        <f>FIND("(", tblPassengerNames[[#This Row],[Name]])</f>
        <v>#VALUE!</v>
      </c>
      <c r="H893" t="e">
        <f>FIND(")", tblPassengerNames[[#This Row],[Name]])</f>
        <v>#VALUE!</v>
      </c>
      <c r="I893">
        <f>IFERROR(tblPassengerNames[[#This Row],[OpenParPos]] - 2, LEN(tblPassengerNames[[#This Row],[Name]]))</f>
        <v>19</v>
      </c>
      <c r="J893" t="str">
        <f>MID(tblPassengerNames[[#This Row],[Name]], tblPassengerNames[[#This Row],[DotPos]] + 2, tblPassengerNames[[#This Row],[EndOfConvFNPos]] - tblPassengerNames[[#This Row],[DotPos]] - 1)</f>
        <v>Erik</v>
      </c>
      <c r="K893" t="e">
        <f>MID(tblPassengerNames[[#This Row],[Name]], tblPassengerNames[[#This Row],[OpenParPos]] + 1, tblPassengerNames[[#This Row],[CloseParPos]] - tblPassengerNames[[#This Row],[OpenParPos]] - 1)</f>
        <v>#VALUE!</v>
      </c>
      <c r="L893" t="e">
        <f>IF(AND(LEFT(tblPassengerNames[[#This Row],[InParentheses]], 1) = "'", RIGHT(tblPassengerNames[[#This Row],[InParentheses]], 1) = "'"),
    #VALUE!,
    tblPassengerNames[[#This Row],[InParentheses]]
)</f>
        <v>#VALUE!</v>
      </c>
      <c r="M893" t="e">
        <f>LEN(tblPassengerNames[[#This Row],[InParenthesesCleaned]]) - LEN(SUBSTITUTE(tblPassengerNames[[#This Row],[InParenthesesCleaned]], " ", ""))</f>
        <v>#VALUE!</v>
      </c>
      <c r="N893" t="e">
        <f>FIND("@", SUBSTITUTE(tblPassengerNames[[#This Row],[InParenthesesCleaned]], " ", "@", tblPassengerNames[[#This Row],[P_NSpaces]]))</f>
        <v>#VALUE!</v>
      </c>
      <c r="O893" t="e">
        <f>IF(tblPassengerNames[[#This Row],[P_NSpaces]] = 0,
    tblPassengerNames[[#This Row],[InParenthesesCleaned]],
    LEFT(tblPassengerNames[[#This Row],[InParenthesesCleaned]], tblPassengerNames[[#This Row],[P_FinalSpacePos]] - 1)
)</f>
        <v>#VALUE!</v>
      </c>
      <c r="P893" t="str">
        <f>IFERROR(tblPassengerNames[[#This Row],[P_Forenames]], tblPassengerNames[[#This Row],[ConvForenames]])</f>
        <v>Erik</v>
      </c>
      <c r="Q893" t="str">
        <f>MID(tblPassengerNames[[#This Row],[Name]], tblPassengerNames[[#This Row],[CommaPos]] + 2, tblPassengerNames[[#This Row],[DotPos]] - tblPassengerNames[[#This Row],[CommaPos]] - 1)</f>
        <v>Mr.</v>
      </c>
      <c r="R893" t="str">
        <f>LEFT(tblPassengerNames[[#This Row],[Name]], tblPassengerNames[[#This Row],[CommaPos]] - 1)</f>
        <v>Johansson</v>
      </c>
    </row>
    <row r="894" spans="2:18" x14ac:dyDescent="0.25">
      <c r="B894" s="21">
        <v>892</v>
      </c>
      <c r="C894" s="21" t="s">
        <v>1027</v>
      </c>
      <c r="D894" s="21" t="s">
        <v>138</v>
      </c>
      <c r="E894">
        <f>FIND(",", tblPassengerNames[[#This Row],[Name]])</f>
        <v>10</v>
      </c>
      <c r="F894">
        <f>FIND(".", tblPassengerNames[[#This Row],[Name]])</f>
        <v>14</v>
      </c>
      <c r="G894" t="e">
        <f>FIND("(", tblPassengerNames[[#This Row],[Name]])</f>
        <v>#VALUE!</v>
      </c>
      <c r="H894" t="e">
        <f>FIND(")", tblPassengerNames[[#This Row],[Name]])</f>
        <v>#VALUE!</v>
      </c>
      <c r="I894">
        <f>IFERROR(tblPassengerNames[[#This Row],[OpenParPos]] - 2, LEN(tblPassengerNames[[#This Row],[Name]]))</f>
        <v>26</v>
      </c>
      <c r="J894" t="str">
        <f>MID(tblPassengerNames[[#This Row],[Name]], tblPassengerNames[[#This Row],[DotPos]] + 2, tblPassengerNames[[#This Row],[EndOfConvFNPos]] - tblPassengerNames[[#This Row],[DotPos]] - 1)</f>
        <v>Gustaf Joel</v>
      </c>
      <c r="K894" t="e">
        <f>MID(tblPassengerNames[[#This Row],[Name]], tblPassengerNames[[#This Row],[OpenParPos]] + 1, tblPassengerNames[[#This Row],[CloseParPos]] - tblPassengerNames[[#This Row],[OpenParPos]] - 1)</f>
        <v>#VALUE!</v>
      </c>
      <c r="L894" t="e">
        <f>IF(AND(LEFT(tblPassengerNames[[#This Row],[InParentheses]], 1) = "'", RIGHT(tblPassengerNames[[#This Row],[InParentheses]], 1) = "'"),
    #VALUE!,
    tblPassengerNames[[#This Row],[InParentheses]]
)</f>
        <v>#VALUE!</v>
      </c>
      <c r="M894" t="e">
        <f>LEN(tblPassengerNames[[#This Row],[InParenthesesCleaned]]) - LEN(SUBSTITUTE(tblPassengerNames[[#This Row],[InParenthesesCleaned]], " ", ""))</f>
        <v>#VALUE!</v>
      </c>
      <c r="N894" t="e">
        <f>FIND("@", SUBSTITUTE(tblPassengerNames[[#This Row],[InParenthesesCleaned]], " ", "@", tblPassengerNames[[#This Row],[P_NSpaces]]))</f>
        <v>#VALUE!</v>
      </c>
      <c r="O894" t="e">
        <f>IF(tblPassengerNames[[#This Row],[P_NSpaces]] = 0,
    tblPassengerNames[[#This Row],[InParenthesesCleaned]],
    LEFT(tblPassengerNames[[#This Row],[InParenthesesCleaned]], tblPassengerNames[[#This Row],[P_FinalSpacePos]] - 1)
)</f>
        <v>#VALUE!</v>
      </c>
      <c r="P894" t="str">
        <f>IFERROR(tblPassengerNames[[#This Row],[P_Forenames]], tblPassengerNames[[#This Row],[ConvForenames]])</f>
        <v>Gustaf Joel</v>
      </c>
      <c r="Q894" t="str">
        <f>MID(tblPassengerNames[[#This Row],[Name]], tblPassengerNames[[#This Row],[CommaPos]] + 2, tblPassengerNames[[#This Row],[DotPos]] - tblPassengerNames[[#This Row],[CommaPos]] - 1)</f>
        <v>Mr.</v>
      </c>
      <c r="R894" t="str">
        <f>LEFT(tblPassengerNames[[#This Row],[Name]], tblPassengerNames[[#This Row],[CommaPos]] - 1)</f>
        <v>Johansson</v>
      </c>
    </row>
    <row r="895" spans="2:18" x14ac:dyDescent="0.25">
      <c r="B895" s="21">
        <v>893</v>
      </c>
      <c r="C895" s="21" t="s">
        <v>1028</v>
      </c>
      <c r="D895" s="21" t="s">
        <v>138</v>
      </c>
      <c r="E895">
        <f>FIND(",", tblPassengerNames[[#This Row],[Name]])</f>
        <v>10</v>
      </c>
      <c r="F895">
        <f>FIND(".", tblPassengerNames[[#This Row],[Name]])</f>
        <v>14</v>
      </c>
      <c r="G895" t="e">
        <f>FIND("(", tblPassengerNames[[#This Row],[Name]])</f>
        <v>#VALUE!</v>
      </c>
      <c r="H895" t="e">
        <f>FIND(")", tblPassengerNames[[#This Row],[Name]])</f>
        <v>#VALUE!</v>
      </c>
      <c r="I895">
        <f>IFERROR(tblPassengerNames[[#This Row],[OpenParPos]] - 2, LEN(tblPassengerNames[[#This Row],[Name]]))</f>
        <v>25</v>
      </c>
      <c r="J895" t="str">
        <f>MID(tblPassengerNames[[#This Row],[Name]], tblPassengerNames[[#This Row],[DotPos]] + 2, tblPassengerNames[[#This Row],[EndOfConvFNPos]] - tblPassengerNames[[#This Row],[DotPos]] - 1)</f>
        <v>Karl Johan</v>
      </c>
      <c r="K895" t="e">
        <f>MID(tblPassengerNames[[#This Row],[Name]], tblPassengerNames[[#This Row],[OpenParPos]] + 1, tblPassengerNames[[#This Row],[CloseParPos]] - tblPassengerNames[[#This Row],[OpenParPos]] - 1)</f>
        <v>#VALUE!</v>
      </c>
      <c r="L895" t="e">
        <f>IF(AND(LEFT(tblPassengerNames[[#This Row],[InParentheses]], 1) = "'", RIGHT(tblPassengerNames[[#This Row],[InParentheses]], 1) = "'"),
    #VALUE!,
    tblPassengerNames[[#This Row],[InParentheses]]
)</f>
        <v>#VALUE!</v>
      </c>
      <c r="M895" t="e">
        <f>LEN(tblPassengerNames[[#This Row],[InParenthesesCleaned]]) - LEN(SUBSTITUTE(tblPassengerNames[[#This Row],[InParenthesesCleaned]], " ", ""))</f>
        <v>#VALUE!</v>
      </c>
      <c r="N895" t="e">
        <f>FIND("@", SUBSTITUTE(tblPassengerNames[[#This Row],[InParenthesesCleaned]], " ", "@", tblPassengerNames[[#This Row],[P_NSpaces]]))</f>
        <v>#VALUE!</v>
      </c>
      <c r="O895" t="e">
        <f>IF(tblPassengerNames[[#This Row],[P_NSpaces]] = 0,
    tblPassengerNames[[#This Row],[InParenthesesCleaned]],
    LEFT(tblPassengerNames[[#This Row],[InParenthesesCleaned]], tblPassengerNames[[#This Row],[P_FinalSpacePos]] - 1)
)</f>
        <v>#VALUE!</v>
      </c>
      <c r="P895" t="str">
        <f>IFERROR(tblPassengerNames[[#This Row],[P_Forenames]], tblPassengerNames[[#This Row],[ConvForenames]])</f>
        <v>Karl Johan</v>
      </c>
      <c r="Q895" t="str">
        <f>MID(tblPassengerNames[[#This Row],[Name]], tblPassengerNames[[#This Row],[CommaPos]] + 2, tblPassengerNames[[#This Row],[DotPos]] - tblPassengerNames[[#This Row],[CommaPos]] - 1)</f>
        <v>Mr.</v>
      </c>
      <c r="R895" t="str">
        <f>LEFT(tblPassengerNames[[#This Row],[Name]], tblPassengerNames[[#This Row],[CommaPos]] - 1)</f>
        <v>Johansson</v>
      </c>
    </row>
    <row r="896" spans="2:18" x14ac:dyDescent="0.25">
      <c r="B896" s="21">
        <v>894</v>
      </c>
      <c r="C896" s="21" t="s">
        <v>1029</v>
      </c>
      <c r="D896" s="21" t="s">
        <v>138</v>
      </c>
      <c r="E896">
        <f>FIND(",", tblPassengerNames[[#This Row],[Name]])</f>
        <v>10</v>
      </c>
      <c r="F896">
        <f>FIND(".", tblPassengerNames[[#This Row],[Name]])</f>
        <v>14</v>
      </c>
      <c r="G896" t="e">
        <f>FIND("(", tblPassengerNames[[#This Row],[Name]])</f>
        <v>#VALUE!</v>
      </c>
      <c r="H896" t="e">
        <f>FIND(")", tblPassengerNames[[#This Row],[Name]])</f>
        <v>#VALUE!</v>
      </c>
      <c r="I896">
        <f>IFERROR(tblPassengerNames[[#This Row],[OpenParPos]] - 2, LEN(tblPassengerNames[[#This Row],[Name]]))</f>
        <v>19</v>
      </c>
      <c r="J896" t="str">
        <f>MID(tblPassengerNames[[#This Row],[Name]], tblPassengerNames[[#This Row],[DotPos]] + 2, tblPassengerNames[[#This Row],[EndOfConvFNPos]] - tblPassengerNames[[#This Row],[DotPos]] - 1)</f>
        <v>Nils</v>
      </c>
      <c r="K896" t="e">
        <f>MID(tblPassengerNames[[#This Row],[Name]], tblPassengerNames[[#This Row],[OpenParPos]] + 1, tblPassengerNames[[#This Row],[CloseParPos]] - tblPassengerNames[[#This Row],[OpenParPos]] - 1)</f>
        <v>#VALUE!</v>
      </c>
      <c r="L896" t="e">
        <f>IF(AND(LEFT(tblPassengerNames[[#This Row],[InParentheses]], 1) = "'", RIGHT(tblPassengerNames[[#This Row],[InParentheses]], 1) = "'"),
    #VALUE!,
    tblPassengerNames[[#This Row],[InParentheses]]
)</f>
        <v>#VALUE!</v>
      </c>
      <c r="M896" t="e">
        <f>LEN(tblPassengerNames[[#This Row],[InParenthesesCleaned]]) - LEN(SUBSTITUTE(tblPassengerNames[[#This Row],[InParenthesesCleaned]], " ", ""))</f>
        <v>#VALUE!</v>
      </c>
      <c r="N896" t="e">
        <f>FIND("@", SUBSTITUTE(tblPassengerNames[[#This Row],[InParenthesesCleaned]], " ", "@", tblPassengerNames[[#This Row],[P_NSpaces]]))</f>
        <v>#VALUE!</v>
      </c>
      <c r="O896" t="e">
        <f>IF(tblPassengerNames[[#This Row],[P_NSpaces]] = 0,
    tblPassengerNames[[#This Row],[InParenthesesCleaned]],
    LEFT(tblPassengerNames[[#This Row],[InParenthesesCleaned]], tblPassengerNames[[#This Row],[P_FinalSpacePos]] - 1)
)</f>
        <v>#VALUE!</v>
      </c>
      <c r="P896" t="str">
        <f>IFERROR(tblPassengerNames[[#This Row],[P_Forenames]], tblPassengerNames[[#This Row],[ConvForenames]])</f>
        <v>Nils</v>
      </c>
      <c r="Q896" t="str">
        <f>MID(tblPassengerNames[[#This Row],[Name]], tblPassengerNames[[#This Row],[CommaPos]] + 2, tblPassengerNames[[#This Row],[DotPos]] - tblPassengerNames[[#This Row],[CommaPos]] - 1)</f>
        <v>Mr.</v>
      </c>
      <c r="R896" t="str">
        <f>LEFT(tblPassengerNames[[#This Row],[Name]], tblPassengerNames[[#This Row],[CommaPos]] - 1)</f>
        <v>Johansson</v>
      </c>
    </row>
    <row r="897" spans="2:18" x14ac:dyDescent="0.25">
      <c r="B897" s="21">
        <v>895</v>
      </c>
      <c r="C897" s="21" t="s">
        <v>1030</v>
      </c>
      <c r="D897" s="21" t="s">
        <v>138</v>
      </c>
      <c r="E897">
        <f>FIND(",", tblPassengerNames[[#This Row],[Name]])</f>
        <v>8</v>
      </c>
      <c r="F897">
        <f>FIND(".", tblPassengerNames[[#This Row],[Name]])</f>
        <v>16</v>
      </c>
      <c r="G897" t="e">
        <f>FIND("(", tblPassengerNames[[#This Row],[Name]])</f>
        <v>#VALUE!</v>
      </c>
      <c r="H897" t="e">
        <f>FIND(")", tblPassengerNames[[#This Row],[Name]])</f>
        <v>#VALUE!</v>
      </c>
      <c r="I897">
        <f>IFERROR(tblPassengerNames[[#This Row],[OpenParPos]] - 2, LEN(tblPassengerNames[[#This Row],[Name]]))</f>
        <v>31</v>
      </c>
      <c r="J897" t="str">
        <f>MID(tblPassengerNames[[#This Row],[Name]], tblPassengerNames[[#This Row],[DotPos]] + 2, tblPassengerNames[[#This Row],[EndOfConvFNPos]] - tblPassengerNames[[#This Row],[DotPos]] - 1)</f>
        <v>Harold Theodor</v>
      </c>
      <c r="K897" t="e">
        <f>MID(tblPassengerNames[[#This Row],[Name]], tblPassengerNames[[#This Row],[OpenParPos]] + 1, tblPassengerNames[[#This Row],[CloseParPos]] - tblPassengerNames[[#This Row],[OpenParPos]] - 1)</f>
        <v>#VALUE!</v>
      </c>
      <c r="L897" t="e">
        <f>IF(AND(LEFT(tblPassengerNames[[#This Row],[InParentheses]], 1) = "'", RIGHT(tblPassengerNames[[#This Row],[InParentheses]], 1) = "'"),
    #VALUE!,
    tblPassengerNames[[#This Row],[InParentheses]]
)</f>
        <v>#VALUE!</v>
      </c>
      <c r="M897" t="e">
        <f>LEN(tblPassengerNames[[#This Row],[InParenthesesCleaned]]) - LEN(SUBSTITUTE(tblPassengerNames[[#This Row],[InParenthesesCleaned]], " ", ""))</f>
        <v>#VALUE!</v>
      </c>
      <c r="N897" t="e">
        <f>FIND("@", SUBSTITUTE(tblPassengerNames[[#This Row],[InParenthesesCleaned]], " ", "@", tblPassengerNames[[#This Row],[P_NSpaces]]))</f>
        <v>#VALUE!</v>
      </c>
      <c r="O897" t="e">
        <f>IF(tblPassengerNames[[#This Row],[P_NSpaces]] = 0,
    tblPassengerNames[[#This Row],[InParenthesesCleaned]],
    LEFT(tblPassengerNames[[#This Row],[InParenthesesCleaned]], tblPassengerNames[[#This Row],[P_FinalSpacePos]] - 1)
)</f>
        <v>#VALUE!</v>
      </c>
      <c r="P897" t="str">
        <f>IFERROR(tblPassengerNames[[#This Row],[P_Forenames]], tblPassengerNames[[#This Row],[ConvForenames]])</f>
        <v>Harold Theodor</v>
      </c>
      <c r="Q897" t="str">
        <f>MID(tblPassengerNames[[#This Row],[Name]], tblPassengerNames[[#This Row],[CommaPos]] + 2, tblPassengerNames[[#This Row],[DotPos]] - tblPassengerNames[[#This Row],[CommaPos]] - 1)</f>
        <v>Master.</v>
      </c>
      <c r="R897" t="str">
        <f>LEFT(tblPassengerNames[[#This Row],[Name]], tblPassengerNames[[#This Row],[CommaPos]] - 1)</f>
        <v>Johnson</v>
      </c>
    </row>
    <row r="898" spans="2:18" x14ac:dyDescent="0.25">
      <c r="B898" s="21">
        <v>896</v>
      </c>
      <c r="C898" s="21" t="s">
        <v>1031</v>
      </c>
      <c r="D898" s="21" t="s">
        <v>136</v>
      </c>
      <c r="E898">
        <f>FIND(",", tblPassengerNames[[#This Row],[Name]])</f>
        <v>8</v>
      </c>
      <c r="F898">
        <f>FIND(".", tblPassengerNames[[#This Row],[Name]])</f>
        <v>14</v>
      </c>
      <c r="G898" t="e">
        <f>FIND("(", tblPassengerNames[[#This Row],[Name]])</f>
        <v>#VALUE!</v>
      </c>
      <c r="H898" t="e">
        <f>FIND(")", tblPassengerNames[[#This Row],[Name]])</f>
        <v>#VALUE!</v>
      </c>
      <c r="I898">
        <f>IFERROR(tblPassengerNames[[#This Row],[OpenParPos]] - 2, LEN(tblPassengerNames[[#This Row],[Name]]))</f>
        <v>28</v>
      </c>
      <c r="J898" t="str">
        <f>MID(tblPassengerNames[[#This Row],[Name]], tblPassengerNames[[#This Row],[DotPos]] + 2, tblPassengerNames[[#This Row],[EndOfConvFNPos]] - tblPassengerNames[[#This Row],[DotPos]] - 1)</f>
        <v>Eleanor Ileen</v>
      </c>
      <c r="K898" t="e">
        <f>MID(tblPassengerNames[[#This Row],[Name]], tblPassengerNames[[#This Row],[OpenParPos]] + 1, tblPassengerNames[[#This Row],[CloseParPos]] - tblPassengerNames[[#This Row],[OpenParPos]] - 1)</f>
        <v>#VALUE!</v>
      </c>
      <c r="L898" t="e">
        <f>IF(AND(LEFT(tblPassengerNames[[#This Row],[InParentheses]], 1) = "'", RIGHT(tblPassengerNames[[#This Row],[InParentheses]], 1) = "'"),
    #VALUE!,
    tblPassengerNames[[#This Row],[InParentheses]]
)</f>
        <v>#VALUE!</v>
      </c>
      <c r="M898" t="e">
        <f>LEN(tblPassengerNames[[#This Row],[InParenthesesCleaned]]) - LEN(SUBSTITUTE(tblPassengerNames[[#This Row],[InParenthesesCleaned]], " ", ""))</f>
        <v>#VALUE!</v>
      </c>
      <c r="N898" t="e">
        <f>FIND("@", SUBSTITUTE(tblPassengerNames[[#This Row],[InParenthesesCleaned]], " ", "@", tblPassengerNames[[#This Row],[P_NSpaces]]))</f>
        <v>#VALUE!</v>
      </c>
      <c r="O898" t="e">
        <f>IF(tblPassengerNames[[#This Row],[P_NSpaces]] = 0,
    tblPassengerNames[[#This Row],[InParenthesesCleaned]],
    LEFT(tblPassengerNames[[#This Row],[InParenthesesCleaned]], tblPassengerNames[[#This Row],[P_FinalSpacePos]] - 1)
)</f>
        <v>#VALUE!</v>
      </c>
      <c r="P898" t="str">
        <f>IFERROR(tblPassengerNames[[#This Row],[P_Forenames]], tblPassengerNames[[#This Row],[ConvForenames]])</f>
        <v>Eleanor Ileen</v>
      </c>
      <c r="Q898" t="str">
        <f>MID(tblPassengerNames[[#This Row],[Name]], tblPassengerNames[[#This Row],[CommaPos]] + 2, tblPassengerNames[[#This Row],[DotPos]] - tblPassengerNames[[#This Row],[CommaPos]] - 1)</f>
        <v>Miss.</v>
      </c>
      <c r="R898" t="str">
        <f>LEFT(tblPassengerNames[[#This Row],[Name]], tblPassengerNames[[#This Row],[CommaPos]] - 1)</f>
        <v>Johnson</v>
      </c>
    </row>
    <row r="899" spans="2:18" x14ac:dyDescent="0.25">
      <c r="B899" s="21">
        <v>897</v>
      </c>
      <c r="C899" s="21" t="s">
        <v>1032</v>
      </c>
      <c r="D899" s="21" t="s">
        <v>138</v>
      </c>
      <c r="E899">
        <f>FIND(",", tblPassengerNames[[#This Row],[Name]])</f>
        <v>8</v>
      </c>
      <c r="F899">
        <f>FIND(".", tblPassengerNames[[#This Row],[Name]])</f>
        <v>12</v>
      </c>
      <c r="G899" t="e">
        <f>FIND("(", tblPassengerNames[[#This Row],[Name]])</f>
        <v>#VALUE!</v>
      </c>
      <c r="H899" t="e">
        <f>FIND(")", tblPassengerNames[[#This Row],[Name]])</f>
        <v>#VALUE!</v>
      </c>
      <c r="I899">
        <f>IFERROR(tblPassengerNames[[#This Row],[OpenParPos]] - 2, LEN(tblPassengerNames[[#This Row],[Name]]))</f>
        <v>19</v>
      </c>
      <c r="J899" t="str">
        <f>MID(tblPassengerNames[[#This Row],[Name]], tblPassengerNames[[#This Row],[DotPos]] + 2, tblPassengerNames[[#This Row],[EndOfConvFNPos]] - tblPassengerNames[[#This Row],[DotPos]] - 1)</f>
        <v>Alfred</v>
      </c>
      <c r="K899" t="e">
        <f>MID(tblPassengerNames[[#This Row],[Name]], tblPassengerNames[[#This Row],[OpenParPos]] + 1, tblPassengerNames[[#This Row],[CloseParPos]] - tblPassengerNames[[#This Row],[OpenParPos]] - 1)</f>
        <v>#VALUE!</v>
      </c>
      <c r="L899" t="e">
        <f>IF(AND(LEFT(tblPassengerNames[[#This Row],[InParentheses]], 1) = "'", RIGHT(tblPassengerNames[[#This Row],[InParentheses]], 1) = "'"),
    #VALUE!,
    tblPassengerNames[[#This Row],[InParentheses]]
)</f>
        <v>#VALUE!</v>
      </c>
      <c r="M899" t="e">
        <f>LEN(tblPassengerNames[[#This Row],[InParenthesesCleaned]]) - LEN(SUBSTITUTE(tblPassengerNames[[#This Row],[InParenthesesCleaned]], " ", ""))</f>
        <v>#VALUE!</v>
      </c>
      <c r="N899" t="e">
        <f>FIND("@", SUBSTITUTE(tblPassengerNames[[#This Row],[InParenthesesCleaned]], " ", "@", tblPassengerNames[[#This Row],[P_NSpaces]]))</f>
        <v>#VALUE!</v>
      </c>
      <c r="O899" t="e">
        <f>IF(tblPassengerNames[[#This Row],[P_NSpaces]] = 0,
    tblPassengerNames[[#This Row],[InParenthesesCleaned]],
    LEFT(tblPassengerNames[[#This Row],[InParenthesesCleaned]], tblPassengerNames[[#This Row],[P_FinalSpacePos]] - 1)
)</f>
        <v>#VALUE!</v>
      </c>
      <c r="P899" t="str">
        <f>IFERROR(tblPassengerNames[[#This Row],[P_Forenames]], tblPassengerNames[[#This Row],[ConvForenames]])</f>
        <v>Alfred</v>
      </c>
      <c r="Q899" t="str">
        <f>MID(tblPassengerNames[[#This Row],[Name]], tblPassengerNames[[#This Row],[CommaPos]] + 2, tblPassengerNames[[#This Row],[DotPos]] - tblPassengerNames[[#This Row],[CommaPos]] - 1)</f>
        <v>Mr.</v>
      </c>
      <c r="R899" t="str">
        <f>LEFT(tblPassengerNames[[#This Row],[Name]], tblPassengerNames[[#This Row],[CommaPos]] - 1)</f>
        <v>Johnson</v>
      </c>
    </row>
    <row r="900" spans="2:18" x14ac:dyDescent="0.25">
      <c r="B900" s="21">
        <v>898</v>
      </c>
      <c r="C900" s="21" t="s">
        <v>1033</v>
      </c>
      <c r="D900" s="21" t="s">
        <v>138</v>
      </c>
      <c r="E900">
        <f>FIND(",", tblPassengerNames[[#This Row],[Name]])</f>
        <v>8</v>
      </c>
      <c r="F900">
        <f>FIND(".", tblPassengerNames[[#This Row],[Name]])</f>
        <v>12</v>
      </c>
      <c r="G900" t="e">
        <f>FIND("(", tblPassengerNames[[#This Row],[Name]])</f>
        <v>#VALUE!</v>
      </c>
      <c r="H900" t="e">
        <f>FIND(")", tblPassengerNames[[#This Row],[Name]])</f>
        <v>#VALUE!</v>
      </c>
      <c r="I900">
        <f>IFERROR(tblPassengerNames[[#This Row],[OpenParPos]] - 2, LEN(tblPassengerNames[[#This Row],[Name]]))</f>
        <v>28</v>
      </c>
      <c r="J900" t="str">
        <f>MID(tblPassengerNames[[#This Row],[Name]], tblPassengerNames[[#This Row],[DotPos]] + 2, tblPassengerNames[[#This Row],[EndOfConvFNPos]] - tblPassengerNames[[#This Row],[DotPos]] - 1)</f>
        <v>Malkolm Joackim</v>
      </c>
      <c r="K900" t="e">
        <f>MID(tblPassengerNames[[#This Row],[Name]], tblPassengerNames[[#This Row],[OpenParPos]] + 1, tblPassengerNames[[#This Row],[CloseParPos]] - tblPassengerNames[[#This Row],[OpenParPos]] - 1)</f>
        <v>#VALUE!</v>
      </c>
      <c r="L900" t="e">
        <f>IF(AND(LEFT(tblPassengerNames[[#This Row],[InParentheses]], 1) = "'", RIGHT(tblPassengerNames[[#This Row],[InParentheses]], 1) = "'"),
    #VALUE!,
    tblPassengerNames[[#This Row],[InParentheses]]
)</f>
        <v>#VALUE!</v>
      </c>
      <c r="M900" t="e">
        <f>LEN(tblPassengerNames[[#This Row],[InParenthesesCleaned]]) - LEN(SUBSTITUTE(tblPassengerNames[[#This Row],[InParenthesesCleaned]], " ", ""))</f>
        <v>#VALUE!</v>
      </c>
      <c r="N900" t="e">
        <f>FIND("@", SUBSTITUTE(tblPassengerNames[[#This Row],[InParenthesesCleaned]], " ", "@", tblPassengerNames[[#This Row],[P_NSpaces]]))</f>
        <v>#VALUE!</v>
      </c>
      <c r="O900" t="e">
        <f>IF(tblPassengerNames[[#This Row],[P_NSpaces]] = 0,
    tblPassengerNames[[#This Row],[InParenthesesCleaned]],
    LEFT(tblPassengerNames[[#This Row],[InParenthesesCleaned]], tblPassengerNames[[#This Row],[P_FinalSpacePos]] - 1)
)</f>
        <v>#VALUE!</v>
      </c>
      <c r="P900" t="str">
        <f>IFERROR(tblPassengerNames[[#This Row],[P_Forenames]], tblPassengerNames[[#This Row],[ConvForenames]])</f>
        <v>Malkolm Joackim</v>
      </c>
      <c r="Q900" t="str">
        <f>MID(tblPassengerNames[[#This Row],[Name]], tblPassengerNames[[#This Row],[CommaPos]] + 2, tblPassengerNames[[#This Row],[DotPos]] - tblPassengerNames[[#This Row],[CommaPos]] - 1)</f>
        <v>Mr.</v>
      </c>
      <c r="R900" t="str">
        <f>LEFT(tblPassengerNames[[#This Row],[Name]], tblPassengerNames[[#This Row],[CommaPos]] - 1)</f>
        <v>Johnson</v>
      </c>
    </row>
    <row r="901" spans="2:18" x14ac:dyDescent="0.25">
      <c r="B901" s="21">
        <v>899</v>
      </c>
      <c r="C901" s="21" t="s">
        <v>1034</v>
      </c>
      <c r="D901" s="21" t="s">
        <v>138</v>
      </c>
      <c r="E901">
        <f>FIND(",", tblPassengerNames[[#This Row],[Name]])</f>
        <v>8</v>
      </c>
      <c r="F901">
        <f>FIND(".", tblPassengerNames[[#This Row],[Name]])</f>
        <v>12</v>
      </c>
      <c r="G901" t="e">
        <f>FIND("(", tblPassengerNames[[#This Row],[Name]])</f>
        <v>#VALUE!</v>
      </c>
      <c r="H901" t="e">
        <f>FIND(")", tblPassengerNames[[#This Row],[Name]])</f>
        <v>#VALUE!</v>
      </c>
      <c r="I901">
        <f>IFERROR(tblPassengerNames[[#This Row],[OpenParPos]] - 2, LEN(tblPassengerNames[[#This Row],[Name]]))</f>
        <v>31</v>
      </c>
      <c r="J901" t="str">
        <f>MID(tblPassengerNames[[#This Row],[Name]], tblPassengerNames[[#This Row],[DotPos]] + 2, tblPassengerNames[[#This Row],[EndOfConvFNPos]] - tblPassengerNames[[#This Row],[DotPos]] - 1)</f>
        <v>William Cahoone Jr</v>
      </c>
      <c r="K901" t="e">
        <f>MID(tblPassengerNames[[#This Row],[Name]], tblPassengerNames[[#This Row],[OpenParPos]] + 1, tblPassengerNames[[#This Row],[CloseParPos]] - tblPassengerNames[[#This Row],[OpenParPos]] - 1)</f>
        <v>#VALUE!</v>
      </c>
      <c r="L901" t="e">
        <f>IF(AND(LEFT(tblPassengerNames[[#This Row],[InParentheses]], 1) = "'", RIGHT(tblPassengerNames[[#This Row],[InParentheses]], 1) = "'"),
    #VALUE!,
    tblPassengerNames[[#This Row],[InParentheses]]
)</f>
        <v>#VALUE!</v>
      </c>
      <c r="M901" t="e">
        <f>LEN(tblPassengerNames[[#This Row],[InParenthesesCleaned]]) - LEN(SUBSTITUTE(tblPassengerNames[[#This Row],[InParenthesesCleaned]], " ", ""))</f>
        <v>#VALUE!</v>
      </c>
      <c r="N901" t="e">
        <f>FIND("@", SUBSTITUTE(tblPassengerNames[[#This Row],[InParenthesesCleaned]], " ", "@", tblPassengerNames[[#This Row],[P_NSpaces]]))</f>
        <v>#VALUE!</v>
      </c>
      <c r="O901" t="e">
        <f>IF(tblPassengerNames[[#This Row],[P_NSpaces]] = 0,
    tblPassengerNames[[#This Row],[InParenthesesCleaned]],
    LEFT(tblPassengerNames[[#This Row],[InParenthesesCleaned]], tblPassengerNames[[#This Row],[P_FinalSpacePos]] - 1)
)</f>
        <v>#VALUE!</v>
      </c>
      <c r="P901" t="str">
        <f>IFERROR(tblPassengerNames[[#This Row],[P_Forenames]], tblPassengerNames[[#This Row],[ConvForenames]])</f>
        <v>William Cahoone Jr</v>
      </c>
      <c r="Q901" t="str">
        <f>MID(tblPassengerNames[[#This Row],[Name]], tblPassengerNames[[#This Row],[CommaPos]] + 2, tblPassengerNames[[#This Row],[DotPos]] - tblPassengerNames[[#This Row],[CommaPos]] - 1)</f>
        <v>Mr.</v>
      </c>
      <c r="R901" t="str">
        <f>LEFT(tblPassengerNames[[#This Row],[Name]], tblPassengerNames[[#This Row],[CommaPos]] - 1)</f>
        <v>Johnson</v>
      </c>
    </row>
    <row r="902" spans="2:18" x14ac:dyDescent="0.25">
      <c r="B902" s="21">
        <v>900</v>
      </c>
      <c r="C902" s="21" t="s">
        <v>1035</v>
      </c>
      <c r="D902" s="21" t="s">
        <v>136</v>
      </c>
      <c r="E902">
        <f>FIND(",", tblPassengerNames[[#This Row],[Name]])</f>
        <v>8</v>
      </c>
      <c r="F902">
        <f>FIND(".", tblPassengerNames[[#This Row],[Name]])</f>
        <v>13</v>
      </c>
      <c r="G902">
        <f>FIND("(", tblPassengerNames[[#This Row],[Name]])</f>
        <v>23</v>
      </c>
      <c r="H902">
        <f>FIND(")", tblPassengerNames[[#This Row],[Name]])</f>
        <v>49</v>
      </c>
      <c r="I902">
        <f>IFERROR(tblPassengerNames[[#This Row],[OpenParPos]] - 2, LEN(tblPassengerNames[[#This Row],[Name]]))</f>
        <v>21</v>
      </c>
      <c r="J902" t="str">
        <f>MID(tblPassengerNames[[#This Row],[Name]], tblPassengerNames[[#This Row],[DotPos]] + 2, tblPassengerNames[[#This Row],[EndOfConvFNPos]] - tblPassengerNames[[#This Row],[DotPos]] - 1)</f>
        <v>Oscar W</v>
      </c>
      <c r="K902" t="str">
        <f>MID(tblPassengerNames[[#This Row],[Name]], tblPassengerNames[[#This Row],[OpenParPos]] + 1, tblPassengerNames[[#This Row],[CloseParPos]] - tblPassengerNames[[#This Row],[OpenParPos]] - 1)</f>
        <v>Elisabeth Vilhelmina Berg</v>
      </c>
      <c r="L902" t="str">
        <f>IF(AND(LEFT(tblPassengerNames[[#This Row],[InParentheses]], 1) = "'", RIGHT(tblPassengerNames[[#This Row],[InParentheses]], 1) = "'"),
    #VALUE!,
    tblPassengerNames[[#This Row],[InParentheses]]
)</f>
        <v>Elisabeth Vilhelmina Berg</v>
      </c>
      <c r="M902">
        <f>LEN(tblPassengerNames[[#This Row],[InParenthesesCleaned]]) - LEN(SUBSTITUTE(tblPassengerNames[[#This Row],[InParenthesesCleaned]], " ", ""))</f>
        <v>2</v>
      </c>
      <c r="N902">
        <f>FIND("@", SUBSTITUTE(tblPassengerNames[[#This Row],[InParenthesesCleaned]], " ", "@", tblPassengerNames[[#This Row],[P_NSpaces]]))</f>
        <v>21</v>
      </c>
      <c r="O902" t="str">
        <f>IF(tblPassengerNames[[#This Row],[P_NSpaces]] = 0,
    tblPassengerNames[[#This Row],[InParenthesesCleaned]],
    LEFT(tblPassengerNames[[#This Row],[InParenthesesCleaned]], tblPassengerNames[[#This Row],[P_FinalSpacePos]] - 1)
)</f>
        <v>Elisabeth Vilhelmina</v>
      </c>
      <c r="P902" t="str">
        <f>IFERROR(tblPassengerNames[[#This Row],[P_Forenames]], tblPassengerNames[[#This Row],[ConvForenames]])</f>
        <v>Elisabeth Vilhelmina</v>
      </c>
      <c r="Q902" t="str">
        <f>MID(tblPassengerNames[[#This Row],[Name]], tblPassengerNames[[#This Row],[CommaPos]] + 2, tblPassengerNames[[#This Row],[DotPos]] - tblPassengerNames[[#This Row],[CommaPos]] - 1)</f>
        <v>Mrs.</v>
      </c>
      <c r="R902" t="str">
        <f>LEFT(tblPassengerNames[[#This Row],[Name]], tblPassengerNames[[#This Row],[CommaPos]] - 1)</f>
        <v>Johnson</v>
      </c>
    </row>
    <row r="903" spans="2:18" x14ac:dyDescent="0.25">
      <c r="B903" s="21">
        <v>901</v>
      </c>
      <c r="C903" s="21" t="s">
        <v>1036</v>
      </c>
      <c r="D903" s="21" t="s">
        <v>138</v>
      </c>
      <c r="E903">
        <f>FIND(",", tblPassengerNames[[#This Row],[Name]])</f>
        <v>9</v>
      </c>
      <c r="F903">
        <f>FIND(".", tblPassengerNames[[#This Row],[Name]])</f>
        <v>17</v>
      </c>
      <c r="G903" t="e">
        <f>FIND("(", tblPassengerNames[[#This Row],[Name]])</f>
        <v>#VALUE!</v>
      </c>
      <c r="H903" t="e">
        <f>FIND(")", tblPassengerNames[[#This Row],[Name]])</f>
        <v>#VALUE!</v>
      </c>
      <c r="I903">
        <f>IFERROR(tblPassengerNames[[#This Row],[OpenParPos]] - 2, LEN(tblPassengerNames[[#This Row],[Name]]))</f>
        <v>41</v>
      </c>
      <c r="J903" t="str">
        <f>MID(tblPassengerNames[[#This Row],[Name]], tblPassengerNames[[#This Row],[DotPos]] + 2, tblPassengerNames[[#This Row],[EndOfConvFNPos]] - tblPassengerNames[[#This Row],[DotPos]] - 1)</f>
        <v>William Arthur 'Willie'</v>
      </c>
      <c r="K903" t="e">
        <f>MID(tblPassengerNames[[#This Row],[Name]], tblPassengerNames[[#This Row],[OpenParPos]] + 1, tblPassengerNames[[#This Row],[CloseParPos]] - tblPassengerNames[[#This Row],[OpenParPos]] - 1)</f>
        <v>#VALUE!</v>
      </c>
      <c r="L903" t="e">
        <f>IF(AND(LEFT(tblPassengerNames[[#This Row],[InParentheses]], 1) = "'", RIGHT(tblPassengerNames[[#This Row],[InParentheses]], 1) = "'"),
    #VALUE!,
    tblPassengerNames[[#This Row],[InParentheses]]
)</f>
        <v>#VALUE!</v>
      </c>
      <c r="M903" t="e">
        <f>LEN(tblPassengerNames[[#This Row],[InParenthesesCleaned]]) - LEN(SUBSTITUTE(tblPassengerNames[[#This Row],[InParenthesesCleaned]], " ", ""))</f>
        <v>#VALUE!</v>
      </c>
      <c r="N903" t="e">
        <f>FIND("@", SUBSTITUTE(tblPassengerNames[[#This Row],[InParenthesesCleaned]], " ", "@", tblPassengerNames[[#This Row],[P_NSpaces]]))</f>
        <v>#VALUE!</v>
      </c>
      <c r="O903" t="e">
        <f>IF(tblPassengerNames[[#This Row],[P_NSpaces]] = 0,
    tblPassengerNames[[#This Row],[InParenthesesCleaned]],
    LEFT(tblPassengerNames[[#This Row],[InParenthesesCleaned]], tblPassengerNames[[#This Row],[P_FinalSpacePos]] - 1)
)</f>
        <v>#VALUE!</v>
      </c>
      <c r="P903" t="str">
        <f>IFERROR(tblPassengerNames[[#This Row],[P_Forenames]], tblPassengerNames[[#This Row],[ConvForenames]])</f>
        <v>William Arthur 'Willie'</v>
      </c>
      <c r="Q903" t="str">
        <f>MID(tblPassengerNames[[#This Row],[Name]], tblPassengerNames[[#This Row],[CommaPos]] + 2, tblPassengerNames[[#This Row],[DotPos]] - tblPassengerNames[[#This Row],[CommaPos]] - 1)</f>
        <v>Master.</v>
      </c>
      <c r="R903" t="str">
        <f>LEFT(tblPassengerNames[[#This Row],[Name]], tblPassengerNames[[#This Row],[CommaPos]] - 1)</f>
        <v>Johnston</v>
      </c>
    </row>
    <row r="904" spans="2:18" x14ac:dyDescent="0.25">
      <c r="B904" s="21">
        <v>902</v>
      </c>
      <c r="C904" s="21" t="s">
        <v>1037</v>
      </c>
      <c r="D904" s="21" t="s">
        <v>136</v>
      </c>
      <c r="E904">
        <f>FIND(",", tblPassengerNames[[#This Row],[Name]])</f>
        <v>9</v>
      </c>
      <c r="F904">
        <f>FIND(".", tblPassengerNames[[#This Row],[Name]])</f>
        <v>15</v>
      </c>
      <c r="G904" t="e">
        <f>FIND("(", tblPassengerNames[[#This Row],[Name]])</f>
        <v>#VALUE!</v>
      </c>
      <c r="H904" t="e">
        <f>FIND(")", tblPassengerNames[[#This Row],[Name]])</f>
        <v>#VALUE!</v>
      </c>
      <c r="I904">
        <f>IFERROR(tblPassengerNames[[#This Row],[OpenParPos]] - 2, LEN(tblPassengerNames[[#This Row],[Name]]))</f>
        <v>40</v>
      </c>
      <c r="J904" t="str">
        <f>MID(tblPassengerNames[[#This Row],[Name]], tblPassengerNames[[#This Row],[DotPos]] + 2, tblPassengerNames[[#This Row],[EndOfConvFNPos]] - tblPassengerNames[[#This Row],[DotPos]] - 1)</f>
        <v>Catherine Helen 'Carrie'</v>
      </c>
      <c r="K904" t="e">
        <f>MID(tblPassengerNames[[#This Row],[Name]], tblPassengerNames[[#This Row],[OpenParPos]] + 1, tblPassengerNames[[#This Row],[CloseParPos]] - tblPassengerNames[[#This Row],[OpenParPos]] - 1)</f>
        <v>#VALUE!</v>
      </c>
      <c r="L904" t="e">
        <f>IF(AND(LEFT(tblPassengerNames[[#This Row],[InParentheses]], 1) = "'", RIGHT(tblPassengerNames[[#This Row],[InParentheses]], 1) = "'"),
    #VALUE!,
    tblPassengerNames[[#This Row],[InParentheses]]
)</f>
        <v>#VALUE!</v>
      </c>
      <c r="M904" t="e">
        <f>LEN(tblPassengerNames[[#This Row],[InParenthesesCleaned]]) - LEN(SUBSTITUTE(tblPassengerNames[[#This Row],[InParenthesesCleaned]], " ", ""))</f>
        <v>#VALUE!</v>
      </c>
      <c r="N904" t="e">
        <f>FIND("@", SUBSTITUTE(tblPassengerNames[[#This Row],[InParenthesesCleaned]], " ", "@", tblPassengerNames[[#This Row],[P_NSpaces]]))</f>
        <v>#VALUE!</v>
      </c>
      <c r="O904" t="e">
        <f>IF(tblPassengerNames[[#This Row],[P_NSpaces]] = 0,
    tblPassengerNames[[#This Row],[InParenthesesCleaned]],
    LEFT(tblPassengerNames[[#This Row],[InParenthesesCleaned]], tblPassengerNames[[#This Row],[P_FinalSpacePos]] - 1)
)</f>
        <v>#VALUE!</v>
      </c>
      <c r="P904" t="str">
        <f>IFERROR(tblPassengerNames[[#This Row],[P_Forenames]], tblPassengerNames[[#This Row],[ConvForenames]])</f>
        <v>Catherine Helen 'Carrie'</v>
      </c>
      <c r="Q904" t="str">
        <f>MID(tblPassengerNames[[#This Row],[Name]], tblPassengerNames[[#This Row],[CommaPos]] + 2, tblPassengerNames[[#This Row],[DotPos]] - tblPassengerNames[[#This Row],[CommaPos]] - 1)</f>
        <v>Miss.</v>
      </c>
      <c r="R904" t="str">
        <f>LEFT(tblPassengerNames[[#This Row],[Name]], tblPassengerNames[[#This Row],[CommaPos]] - 1)</f>
        <v>Johnston</v>
      </c>
    </row>
    <row r="905" spans="2:18" x14ac:dyDescent="0.25">
      <c r="B905" s="21">
        <v>903</v>
      </c>
      <c r="C905" s="21" t="s">
        <v>1038</v>
      </c>
      <c r="D905" s="21" t="s">
        <v>138</v>
      </c>
      <c r="E905">
        <f>FIND(",", tblPassengerNames[[#This Row],[Name]])</f>
        <v>9</v>
      </c>
      <c r="F905">
        <f>FIND(".", tblPassengerNames[[#This Row],[Name]])</f>
        <v>13</v>
      </c>
      <c r="G905" t="e">
        <f>FIND("(", tblPassengerNames[[#This Row],[Name]])</f>
        <v>#VALUE!</v>
      </c>
      <c r="H905" t="e">
        <f>FIND(")", tblPassengerNames[[#This Row],[Name]])</f>
        <v>#VALUE!</v>
      </c>
      <c r="I905">
        <f>IFERROR(tblPassengerNames[[#This Row],[OpenParPos]] - 2, LEN(tblPassengerNames[[#This Row],[Name]]))</f>
        <v>22</v>
      </c>
      <c r="J905" t="str">
        <f>MID(tblPassengerNames[[#This Row],[Name]], tblPassengerNames[[#This Row],[DotPos]] + 2, tblPassengerNames[[#This Row],[EndOfConvFNPos]] - tblPassengerNames[[#This Row],[DotPos]] - 1)</f>
        <v>Andrew G</v>
      </c>
      <c r="K905" t="e">
        <f>MID(tblPassengerNames[[#This Row],[Name]], tblPassengerNames[[#This Row],[OpenParPos]] + 1, tblPassengerNames[[#This Row],[CloseParPos]] - tblPassengerNames[[#This Row],[OpenParPos]] - 1)</f>
        <v>#VALUE!</v>
      </c>
      <c r="L905" t="e">
        <f>IF(AND(LEFT(tblPassengerNames[[#This Row],[InParentheses]], 1) = "'", RIGHT(tblPassengerNames[[#This Row],[InParentheses]], 1) = "'"),
    #VALUE!,
    tblPassengerNames[[#This Row],[InParentheses]]
)</f>
        <v>#VALUE!</v>
      </c>
      <c r="M905" t="e">
        <f>LEN(tblPassengerNames[[#This Row],[InParenthesesCleaned]]) - LEN(SUBSTITUTE(tblPassengerNames[[#This Row],[InParenthesesCleaned]], " ", ""))</f>
        <v>#VALUE!</v>
      </c>
      <c r="N905" t="e">
        <f>FIND("@", SUBSTITUTE(tblPassengerNames[[#This Row],[InParenthesesCleaned]], " ", "@", tblPassengerNames[[#This Row],[P_NSpaces]]))</f>
        <v>#VALUE!</v>
      </c>
      <c r="O905" t="e">
        <f>IF(tblPassengerNames[[#This Row],[P_NSpaces]] = 0,
    tblPassengerNames[[#This Row],[InParenthesesCleaned]],
    LEFT(tblPassengerNames[[#This Row],[InParenthesesCleaned]], tblPassengerNames[[#This Row],[P_FinalSpacePos]] - 1)
)</f>
        <v>#VALUE!</v>
      </c>
      <c r="P905" t="str">
        <f>IFERROR(tblPassengerNames[[#This Row],[P_Forenames]], tblPassengerNames[[#This Row],[ConvForenames]])</f>
        <v>Andrew G</v>
      </c>
      <c r="Q905" t="str">
        <f>MID(tblPassengerNames[[#This Row],[Name]], tblPassengerNames[[#This Row],[CommaPos]] + 2, tblPassengerNames[[#This Row],[DotPos]] - tblPassengerNames[[#This Row],[CommaPos]] - 1)</f>
        <v>Mr.</v>
      </c>
      <c r="R905" t="str">
        <f>LEFT(tblPassengerNames[[#This Row],[Name]], tblPassengerNames[[#This Row],[CommaPos]] - 1)</f>
        <v>Johnston</v>
      </c>
    </row>
    <row r="906" spans="2:18" x14ac:dyDescent="0.25">
      <c r="B906" s="21">
        <v>904</v>
      </c>
      <c r="C906" s="21" t="s">
        <v>1039</v>
      </c>
      <c r="D906" s="21" t="s">
        <v>136</v>
      </c>
      <c r="E906">
        <f>FIND(",", tblPassengerNames[[#This Row],[Name]])</f>
        <v>9</v>
      </c>
      <c r="F906">
        <f>FIND(".", tblPassengerNames[[#This Row],[Name]])</f>
        <v>14</v>
      </c>
      <c r="G906">
        <f>FIND("(", tblPassengerNames[[#This Row],[Name]])</f>
        <v>25</v>
      </c>
      <c r="H906">
        <f>FIND(")", tblPassengerNames[[#This Row],[Name]])</f>
        <v>49</v>
      </c>
      <c r="I906">
        <f>IFERROR(tblPassengerNames[[#This Row],[OpenParPos]] - 2, LEN(tblPassengerNames[[#This Row],[Name]]))</f>
        <v>23</v>
      </c>
      <c r="J906" t="str">
        <f>MID(tblPassengerNames[[#This Row],[Name]], tblPassengerNames[[#This Row],[DotPos]] + 2, tblPassengerNames[[#This Row],[EndOfConvFNPos]] - tblPassengerNames[[#This Row],[DotPos]] - 1)</f>
        <v>Andrew G</v>
      </c>
      <c r="K906" t="str">
        <f>MID(tblPassengerNames[[#This Row],[Name]], tblPassengerNames[[#This Row],[OpenParPos]] + 1, tblPassengerNames[[#This Row],[CloseParPos]] - tblPassengerNames[[#This Row],[OpenParPos]] - 1)</f>
        <v>Elizabeth 'Lily' Watson</v>
      </c>
      <c r="L906" t="str">
        <f>IF(AND(LEFT(tblPassengerNames[[#This Row],[InParentheses]], 1) = "'", RIGHT(tblPassengerNames[[#This Row],[InParentheses]], 1) = "'"),
    #VALUE!,
    tblPassengerNames[[#This Row],[InParentheses]]
)</f>
        <v>Elizabeth 'Lily' Watson</v>
      </c>
      <c r="M906">
        <f>LEN(tblPassengerNames[[#This Row],[InParenthesesCleaned]]) - LEN(SUBSTITUTE(tblPassengerNames[[#This Row],[InParenthesesCleaned]], " ", ""))</f>
        <v>2</v>
      </c>
      <c r="N906">
        <f>FIND("@", SUBSTITUTE(tblPassengerNames[[#This Row],[InParenthesesCleaned]], " ", "@", tblPassengerNames[[#This Row],[P_NSpaces]]))</f>
        <v>17</v>
      </c>
      <c r="O906" t="str">
        <f>IF(tblPassengerNames[[#This Row],[P_NSpaces]] = 0,
    tblPassengerNames[[#This Row],[InParenthesesCleaned]],
    LEFT(tblPassengerNames[[#This Row],[InParenthesesCleaned]], tblPassengerNames[[#This Row],[P_FinalSpacePos]] - 1)
)</f>
        <v>Elizabeth 'Lily'</v>
      </c>
      <c r="P906" t="str">
        <f>IFERROR(tblPassengerNames[[#This Row],[P_Forenames]], tblPassengerNames[[#This Row],[ConvForenames]])</f>
        <v>Elizabeth 'Lily'</v>
      </c>
      <c r="Q906" t="str">
        <f>MID(tblPassengerNames[[#This Row],[Name]], tblPassengerNames[[#This Row],[CommaPos]] + 2, tblPassengerNames[[#This Row],[DotPos]] - tblPassengerNames[[#This Row],[CommaPos]] - 1)</f>
        <v>Mrs.</v>
      </c>
      <c r="R906" t="str">
        <f>LEFT(tblPassengerNames[[#This Row],[Name]], tblPassengerNames[[#This Row],[CommaPos]] - 1)</f>
        <v>Johnston</v>
      </c>
    </row>
    <row r="907" spans="2:18" x14ac:dyDescent="0.25">
      <c r="B907" s="21">
        <v>905</v>
      </c>
      <c r="C907" s="21" t="s">
        <v>1040</v>
      </c>
      <c r="D907" s="21" t="s">
        <v>138</v>
      </c>
      <c r="E907">
        <f>FIND(",", tblPassengerNames[[#This Row],[Name]])</f>
        <v>8</v>
      </c>
      <c r="F907">
        <f>FIND(".", tblPassengerNames[[#This Row],[Name]])</f>
        <v>12</v>
      </c>
      <c r="G907" t="e">
        <f>FIND("(", tblPassengerNames[[#This Row],[Name]])</f>
        <v>#VALUE!</v>
      </c>
      <c r="H907" t="e">
        <f>FIND(")", tblPassengerNames[[#This Row],[Name]])</f>
        <v>#VALUE!</v>
      </c>
      <c r="I907">
        <f>IFERROR(tblPassengerNames[[#This Row],[OpenParPos]] - 2, LEN(tblPassengerNames[[#This Row],[Name]]))</f>
        <v>18</v>
      </c>
      <c r="J907" t="str">
        <f>MID(tblPassengerNames[[#This Row],[Name]], tblPassengerNames[[#This Row],[DotPos]] + 2, tblPassengerNames[[#This Row],[EndOfConvFNPos]] - tblPassengerNames[[#This Row],[DotPos]] - 1)</f>
        <v>Lalio</v>
      </c>
      <c r="K907" t="e">
        <f>MID(tblPassengerNames[[#This Row],[Name]], tblPassengerNames[[#This Row],[OpenParPos]] + 1, tblPassengerNames[[#This Row],[CloseParPos]] - tblPassengerNames[[#This Row],[OpenParPos]] - 1)</f>
        <v>#VALUE!</v>
      </c>
      <c r="L907" t="e">
        <f>IF(AND(LEFT(tblPassengerNames[[#This Row],[InParentheses]], 1) = "'", RIGHT(tblPassengerNames[[#This Row],[InParentheses]], 1) = "'"),
    #VALUE!,
    tblPassengerNames[[#This Row],[InParentheses]]
)</f>
        <v>#VALUE!</v>
      </c>
      <c r="M907" t="e">
        <f>LEN(tblPassengerNames[[#This Row],[InParenthesesCleaned]]) - LEN(SUBSTITUTE(tblPassengerNames[[#This Row],[InParenthesesCleaned]], " ", ""))</f>
        <v>#VALUE!</v>
      </c>
      <c r="N907" t="e">
        <f>FIND("@", SUBSTITUTE(tblPassengerNames[[#This Row],[InParenthesesCleaned]], " ", "@", tblPassengerNames[[#This Row],[P_NSpaces]]))</f>
        <v>#VALUE!</v>
      </c>
      <c r="O907" t="e">
        <f>IF(tblPassengerNames[[#This Row],[P_NSpaces]] = 0,
    tblPassengerNames[[#This Row],[InParenthesesCleaned]],
    LEFT(tblPassengerNames[[#This Row],[InParenthesesCleaned]], tblPassengerNames[[#This Row],[P_FinalSpacePos]] - 1)
)</f>
        <v>#VALUE!</v>
      </c>
      <c r="P907" t="str">
        <f>IFERROR(tblPassengerNames[[#This Row],[P_Forenames]], tblPassengerNames[[#This Row],[ConvForenames]])</f>
        <v>Lalio</v>
      </c>
      <c r="Q907" t="str">
        <f>MID(tblPassengerNames[[#This Row],[Name]], tblPassengerNames[[#This Row],[CommaPos]] + 2, tblPassengerNames[[#This Row],[DotPos]] - tblPassengerNames[[#This Row],[CommaPos]] - 1)</f>
        <v>Mr.</v>
      </c>
      <c r="R907" t="str">
        <f>LEFT(tblPassengerNames[[#This Row],[Name]], tblPassengerNames[[#This Row],[CommaPos]] - 1)</f>
        <v>Jonkoff</v>
      </c>
    </row>
    <row r="908" spans="2:18" x14ac:dyDescent="0.25">
      <c r="B908" s="21">
        <v>906</v>
      </c>
      <c r="C908" s="21" t="s">
        <v>1041</v>
      </c>
      <c r="D908" s="21" t="s">
        <v>138</v>
      </c>
      <c r="E908">
        <f>FIND(",", tblPassengerNames[[#This Row],[Name]])</f>
        <v>8</v>
      </c>
      <c r="F908">
        <f>FIND(".", tblPassengerNames[[#This Row],[Name]])</f>
        <v>12</v>
      </c>
      <c r="G908" t="e">
        <f>FIND("(", tblPassengerNames[[#This Row],[Name]])</f>
        <v>#VALUE!</v>
      </c>
      <c r="H908" t="e">
        <f>FIND(")", tblPassengerNames[[#This Row],[Name]])</f>
        <v>#VALUE!</v>
      </c>
      <c r="I908">
        <f>IFERROR(tblPassengerNames[[#This Row],[OpenParPos]] - 2, LEN(tblPassengerNames[[#This Row],[Name]]))</f>
        <v>17</v>
      </c>
      <c r="J908" t="str">
        <f>MID(tblPassengerNames[[#This Row],[Name]], tblPassengerNames[[#This Row],[DotPos]] + 2, tblPassengerNames[[#This Row],[EndOfConvFNPos]] - tblPassengerNames[[#This Row],[DotPos]] - 1)</f>
        <v>Carl</v>
      </c>
      <c r="K908" t="e">
        <f>MID(tblPassengerNames[[#This Row],[Name]], tblPassengerNames[[#This Row],[OpenParPos]] + 1, tblPassengerNames[[#This Row],[CloseParPos]] - tblPassengerNames[[#This Row],[OpenParPos]] - 1)</f>
        <v>#VALUE!</v>
      </c>
      <c r="L908" t="e">
        <f>IF(AND(LEFT(tblPassengerNames[[#This Row],[InParentheses]], 1) = "'", RIGHT(tblPassengerNames[[#This Row],[InParentheses]], 1) = "'"),
    #VALUE!,
    tblPassengerNames[[#This Row],[InParentheses]]
)</f>
        <v>#VALUE!</v>
      </c>
      <c r="M908" t="e">
        <f>LEN(tblPassengerNames[[#This Row],[InParenthesesCleaned]]) - LEN(SUBSTITUTE(tblPassengerNames[[#This Row],[InParenthesesCleaned]], " ", ""))</f>
        <v>#VALUE!</v>
      </c>
      <c r="N908" t="e">
        <f>FIND("@", SUBSTITUTE(tblPassengerNames[[#This Row],[InParenthesesCleaned]], " ", "@", tblPassengerNames[[#This Row],[P_NSpaces]]))</f>
        <v>#VALUE!</v>
      </c>
      <c r="O908" t="e">
        <f>IF(tblPassengerNames[[#This Row],[P_NSpaces]] = 0,
    tblPassengerNames[[#This Row],[InParenthesesCleaned]],
    LEFT(tblPassengerNames[[#This Row],[InParenthesesCleaned]], tblPassengerNames[[#This Row],[P_FinalSpacePos]] - 1)
)</f>
        <v>#VALUE!</v>
      </c>
      <c r="P908" t="str">
        <f>IFERROR(tblPassengerNames[[#This Row],[P_Forenames]], tblPassengerNames[[#This Row],[ConvForenames]])</f>
        <v>Carl</v>
      </c>
      <c r="Q908" t="str">
        <f>MID(tblPassengerNames[[#This Row],[Name]], tblPassengerNames[[#This Row],[CommaPos]] + 2, tblPassengerNames[[#This Row],[DotPos]] - tblPassengerNames[[#This Row],[CommaPos]] - 1)</f>
        <v>Mr.</v>
      </c>
      <c r="R908" t="str">
        <f>LEFT(tblPassengerNames[[#This Row],[Name]], tblPassengerNames[[#This Row],[CommaPos]] - 1)</f>
        <v>Jonsson</v>
      </c>
    </row>
    <row r="909" spans="2:18" x14ac:dyDescent="0.25">
      <c r="B909" s="21">
        <v>907</v>
      </c>
      <c r="C909" s="21" t="s">
        <v>1042</v>
      </c>
      <c r="D909" s="21" t="s">
        <v>138</v>
      </c>
      <c r="E909">
        <f>FIND(",", tblPassengerNames[[#This Row],[Name]])</f>
        <v>8</v>
      </c>
      <c r="F909">
        <f>FIND(".", tblPassengerNames[[#This Row],[Name]])</f>
        <v>12</v>
      </c>
      <c r="G909" t="e">
        <f>FIND("(", tblPassengerNames[[#This Row],[Name]])</f>
        <v>#VALUE!</v>
      </c>
      <c r="H909" t="e">
        <f>FIND(")", tblPassengerNames[[#This Row],[Name]])</f>
        <v>#VALUE!</v>
      </c>
      <c r="I909">
        <f>IFERROR(tblPassengerNames[[#This Row],[OpenParPos]] - 2, LEN(tblPassengerNames[[#This Row],[Name]]))</f>
        <v>25</v>
      </c>
      <c r="J909" t="str">
        <f>MID(tblPassengerNames[[#This Row],[Name]], tblPassengerNames[[#This Row],[DotPos]] + 2, tblPassengerNames[[#This Row],[EndOfConvFNPos]] - tblPassengerNames[[#This Row],[DotPos]] - 1)</f>
        <v>Nils Hilding</v>
      </c>
      <c r="K909" t="e">
        <f>MID(tblPassengerNames[[#This Row],[Name]], tblPassengerNames[[#This Row],[OpenParPos]] + 1, tblPassengerNames[[#This Row],[CloseParPos]] - tblPassengerNames[[#This Row],[OpenParPos]] - 1)</f>
        <v>#VALUE!</v>
      </c>
      <c r="L909" t="e">
        <f>IF(AND(LEFT(tblPassengerNames[[#This Row],[InParentheses]], 1) = "'", RIGHT(tblPassengerNames[[#This Row],[InParentheses]], 1) = "'"),
    #VALUE!,
    tblPassengerNames[[#This Row],[InParentheses]]
)</f>
        <v>#VALUE!</v>
      </c>
      <c r="M909" t="e">
        <f>LEN(tblPassengerNames[[#This Row],[InParenthesesCleaned]]) - LEN(SUBSTITUTE(tblPassengerNames[[#This Row],[InParenthesesCleaned]], " ", ""))</f>
        <v>#VALUE!</v>
      </c>
      <c r="N909" t="e">
        <f>FIND("@", SUBSTITUTE(tblPassengerNames[[#This Row],[InParenthesesCleaned]], " ", "@", tblPassengerNames[[#This Row],[P_NSpaces]]))</f>
        <v>#VALUE!</v>
      </c>
      <c r="O909" t="e">
        <f>IF(tblPassengerNames[[#This Row],[P_NSpaces]] = 0,
    tblPassengerNames[[#This Row],[InParenthesesCleaned]],
    LEFT(tblPassengerNames[[#This Row],[InParenthesesCleaned]], tblPassengerNames[[#This Row],[P_FinalSpacePos]] - 1)
)</f>
        <v>#VALUE!</v>
      </c>
      <c r="P909" t="str">
        <f>IFERROR(tblPassengerNames[[#This Row],[P_Forenames]], tblPassengerNames[[#This Row],[ConvForenames]])</f>
        <v>Nils Hilding</v>
      </c>
      <c r="Q909" t="str">
        <f>MID(tblPassengerNames[[#This Row],[Name]], tblPassengerNames[[#This Row],[CommaPos]] + 2, tblPassengerNames[[#This Row],[DotPos]] - tblPassengerNames[[#This Row],[CommaPos]] - 1)</f>
        <v>Mr.</v>
      </c>
      <c r="R909" t="str">
        <f>LEFT(tblPassengerNames[[#This Row],[Name]], tblPassengerNames[[#This Row],[CommaPos]] - 1)</f>
        <v>Jonsson</v>
      </c>
    </row>
    <row r="910" spans="2:18" x14ac:dyDescent="0.25">
      <c r="B910" s="21">
        <v>908</v>
      </c>
      <c r="C910" s="21" t="s">
        <v>1043</v>
      </c>
      <c r="D910" s="21" t="s">
        <v>136</v>
      </c>
      <c r="E910">
        <f>FIND(",", tblPassengerNames[[#This Row],[Name]])</f>
        <v>8</v>
      </c>
      <c r="F910">
        <f>FIND(".", tblPassengerNames[[#This Row],[Name]])</f>
        <v>14</v>
      </c>
      <c r="G910" t="e">
        <f>FIND("(", tblPassengerNames[[#This Row],[Name]])</f>
        <v>#VALUE!</v>
      </c>
      <c r="H910" t="e">
        <f>FIND(")", tblPassengerNames[[#This Row],[Name]])</f>
        <v>#VALUE!</v>
      </c>
      <c r="I910">
        <f>IFERROR(tblPassengerNames[[#This Row],[OpenParPos]] - 2, LEN(tblPassengerNames[[#This Row],[Name]]))</f>
        <v>23</v>
      </c>
      <c r="J910" t="str">
        <f>MID(tblPassengerNames[[#This Row],[Name]], tblPassengerNames[[#This Row],[DotPos]] + 2, tblPassengerNames[[#This Row],[EndOfConvFNPos]] - tblPassengerNames[[#This Row],[DotPos]] - 1)</f>
        <v>Katriina</v>
      </c>
      <c r="K910" t="e">
        <f>MID(tblPassengerNames[[#This Row],[Name]], tblPassengerNames[[#This Row],[OpenParPos]] + 1, tblPassengerNames[[#This Row],[CloseParPos]] - tblPassengerNames[[#This Row],[OpenParPos]] - 1)</f>
        <v>#VALUE!</v>
      </c>
      <c r="L910" t="e">
        <f>IF(AND(LEFT(tblPassengerNames[[#This Row],[InParentheses]], 1) = "'", RIGHT(tblPassengerNames[[#This Row],[InParentheses]], 1) = "'"),
    #VALUE!,
    tblPassengerNames[[#This Row],[InParentheses]]
)</f>
        <v>#VALUE!</v>
      </c>
      <c r="M910" t="e">
        <f>LEN(tblPassengerNames[[#This Row],[InParenthesesCleaned]]) - LEN(SUBSTITUTE(tblPassengerNames[[#This Row],[InParenthesesCleaned]], " ", ""))</f>
        <v>#VALUE!</v>
      </c>
      <c r="N910" t="e">
        <f>FIND("@", SUBSTITUTE(tblPassengerNames[[#This Row],[InParenthesesCleaned]], " ", "@", tblPassengerNames[[#This Row],[P_NSpaces]]))</f>
        <v>#VALUE!</v>
      </c>
      <c r="O910" t="e">
        <f>IF(tblPassengerNames[[#This Row],[P_NSpaces]] = 0,
    tblPassengerNames[[#This Row],[InParenthesesCleaned]],
    LEFT(tblPassengerNames[[#This Row],[InParenthesesCleaned]], tblPassengerNames[[#This Row],[P_FinalSpacePos]] - 1)
)</f>
        <v>#VALUE!</v>
      </c>
      <c r="P910" t="str">
        <f>IFERROR(tblPassengerNames[[#This Row],[P_Forenames]], tblPassengerNames[[#This Row],[ConvForenames]])</f>
        <v>Katriina</v>
      </c>
      <c r="Q910" t="str">
        <f>MID(tblPassengerNames[[#This Row],[Name]], tblPassengerNames[[#This Row],[CommaPos]] + 2, tblPassengerNames[[#This Row],[DotPos]] - tblPassengerNames[[#This Row],[CommaPos]] - 1)</f>
        <v>Miss.</v>
      </c>
      <c r="R910" t="str">
        <f>LEFT(tblPassengerNames[[#This Row],[Name]], tblPassengerNames[[#This Row],[CommaPos]] - 1)</f>
        <v>Jussila</v>
      </c>
    </row>
    <row r="911" spans="2:18" x14ac:dyDescent="0.25">
      <c r="B911" s="21">
        <v>909</v>
      </c>
      <c r="C911" s="21" t="s">
        <v>1044</v>
      </c>
      <c r="D911" s="21" t="s">
        <v>136</v>
      </c>
      <c r="E911">
        <f>FIND(",", tblPassengerNames[[#This Row],[Name]])</f>
        <v>8</v>
      </c>
      <c r="F911">
        <f>FIND(".", tblPassengerNames[[#This Row],[Name]])</f>
        <v>14</v>
      </c>
      <c r="G911" t="e">
        <f>FIND("(", tblPassengerNames[[#This Row],[Name]])</f>
        <v>#VALUE!</v>
      </c>
      <c r="H911" t="e">
        <f>FIND(")", tblPassengerNames[[#This Row],[Name]])</f>
        <v>#VALUE!</v>
      </c>
      <c r="I911">
        <f>IFERROR(tblPassengerNames[[#This Row],[OpenParPos]] - 2, LEN(tblPassengerNames[[#This Row],[Name]]))</f>
        <v>24</v>
      </c>
      <c r="J911" t="str">
        <f>MID(tblPassengerNames[[#This Row],[Name]], tblPassengerNames[[#This Row],[DotPos]] + 2, tblPassengerNames[[#This Row],[EndOfConvFNPos]] - tblPassengerNames[[#This Row],[DotPos]] - 1)</f>
        <v>Mari Aina</v>
      </c>
      <c r="K911" t="e">
        <f>MID(tblPassengerNames[[#This Row],[Name]], tblPassengerNames[[#This Row],[OpenParPos]] + 1, tblPassengerNames[[#This Row],[CloseParPos]] - tblPassengerNames[[#This Row],[OpenParPos]] - 1)</f>
        <v>#VALUE!</v>
      </c>
      <c r="L911" t="e">
        <f>IF(AND(LEFT(tblPassengerNames[[#This Row],[InParentheses]], 1) = "'", RIGHT(tblPassengerNames[[#This Row],[InParentheses]], 1) = "'"),
    #VALUE!,
    tblPassengerNames[[#This Row],[InParentheses]]
)</f>
        <v>#VALUE!</v>
      </c>
      <c r="M911" t="e">
        <f>LEN(tblPassengerNames[[#This Row],[InParenthesesCleaned]]) - LEN(SUBSTITUTE(tblPassengerNames[[#This Row],[InParenthesesCleaned]], " ", ""))</f>
        <v>#VALUE!</v>
      </c>
      <c r="N911" t="e">
        <f>FIND("@", SUBSTITUTE(tblPassengerNames[[#This Row],[InParenthesesCleaned]], " ", "@", tblPassengerNames[[#This Row],[P_NSpaces]]))</f>
        <v>#VALUE!</v>
      </c>
      <c r="O911" t="e">
        <f>IF(tblPassengerNames[[#This Row],[P_NSpaces]] = 0,
    tblPassengerNames[[#This Row],[InParenthesesCleaned]],
    LEFT(tblPassengerNames[[#This Row],[InParenthesesCleaned]], tblPassengerNames[[#This Row],[P_FinalSpacePos]] - 1)
)</f>
        <v>#VALUE!</v>
      </c>
      <c r="P911" t="str">
        <f>IFERROR(tblPassengerNames[[#This Row],[P_Forenames]], tblPassengerNames[[#This Row],[ConvForenames]])</f>
        <v>Mari Aina</v>
      </c>
      <c r="Q911" t="str">
        <f>MID(tblPassengerNames[[#This Row],[Name]], tblPassengerNames[[#This Row],[CommaPos]] + 2, tblPassengerNames[[#This Row],[DotPos]] - tblPassengerNames[[#This Row],[CommaPos]] - 1)</f>
        <v>Miss.</v>
      </c>
      <c r="R911" t="str">
        <f>LEFT(tblPassengerNames[[#This Row],[Name]], tblPassengerNames[[#This Row],[CommaPos]] - 1)</f>
        <v>Jussila</v>
      </c>
    </row>
    <row r="912" spans="2:18" x14ac:dyDescent="0.25">
      <c r="B912" s="21">
        <v>910</v>
      </c>
      <c r="C912" s="21" t="s">
        <v>1045</v>
      </c>
      <c r="D912" s="21" t="s">
        <v>138</v>
      </c>
      <c r="E912">
        <f>FIND(",", tblPassengerNames[[#This Row],[Name]])</f>
        <v>8</v>
      </c>
      <c r="F912">
        <f>FIND(".", tblPassengerNames[[#This Row],[Name]])</f>
        <v>12</v>
      </c>
      <c r="G912" t="e">
        <f>FIND("(", tblPassengerNames[[#This Row],[Name]])</f>
        <v>#VALUE!</v>
      </c>
      <c r="H912" t="e">
        <f>FIND(")", tblPassengerNames[[#This Row],[Name]])</f>
        <v>#VALUE!</v>
      </c>
      <c r="I912">
        <f>IFERROR(tblPassengerNames[[#This Row],[OpenParPos]] - 2, LEN(tblPassengerNames[[#This Row],[Name]]))</f>
        <v>19</v>
      </c>
      <c r="J912" t="str">
        <f>MID(tblPassengerNames[[#This Row],[Name]], tblPassengerNames[[#This Row],[DotPos]] + 2, tblPassengerNames[[#This Row],[EndOfConvFNPos]] - tblPassengerNames[[#This Row],[DotPos]] - 1)</f>
        <v>Eiriik</v>
      </c>
      <c r="K912" t="e">
        <f>MID(tblPassengerNames[[#This Row],[Name]], tblPassengerNames[[#This Row],[OpenParPos]] + 1, tblPassengerNames[[#This Row],[CloseParPos]] - tblPassengerNames[[#This Row],[OpenParPos]] - 1)</f>
        <v>#VALUE!</v>
      </c>
      <c r="L912" t="e">
        <f>IF(AND(LEFT(tblPassengerNames[[#This Row],[InParentheses]], 1) = "'", RIGHT(tblPassengerNames[[#This Row],[InParentheses]], 1) = "'"),
    #VALUE!,
    tblPassengerNames[[#This Row],[InParentheses]]
)</f>
        <v>#VALUE!</v>
      </c>
      <c r="M912" t="e">
        <f>LEN(tblPassengerNames[[#This Row],[InParenthesesCleaned]]) - LEN(SUBSTITUTE(tblPassengerNames[[#This Row],[InParenthesesCleaned]], " ", ""))</f>
        <v>#VALUE!</v>
      </c>
      <c r="N912" t="e">
        <f>FIND("@", SUBSTITUTE(tblPassengerNames[[#This Row],[InParenthesesCleaned]], " ", "@", tblPassengerNames[[#This Row],[P_NSpaces]]))</f>
        <v>#VALUE!</v>
      </c>
      <c r="O912" t="e">
        <f>IF(tblPassengerNames[[#This Row],[P_NSpaces]] = 0,
    tblPassengerNames[[#This Row],[InParenthesesCleaned]],
    LEFT(tblPassengerNames[[#This Row],[InParenthesesCleaned]], tblPassengerNames[[#This Row],[P_FinalSpacePos]] - 1)
)</f>
        <v>#VALUE!</v>
      </c>
      <c r="P912" t="str">
        <f>IFERROR(tblPassengerNames[[#This Row],[P_Forenames]], tblPassengerNames[[#This Row],[ConvForenames]])</f>
        <v>Eiriik</v>
      </c>
      <c r="Q912" t="str">
        <f>MID(tblPassengerNames[[#This Row],[Name]], tblPassengerNames[[#This Row],[CommaPos]] + 2, tblPassengerNames[[#This Row],[DotPos]] - tblPassengerNames[[#This Row],[CommaPos]] - 1)</f>
        <v>Mr.</v>
      </c>
      <c r="R912" t="str">
        <f>LEFT(tblPassengerNames[[#This Row],[Name]], tblPassengerNames[[#This Row],[CommaPos]] - 1)</f>
        <v>Jussila</v>
      </c>
    </row>
    <row r="913" spans="2:18" x14ac:dyDescent="0.25">
      <c r="B913" s="21">
        <v>911</v>
      </c>
      <c r="C913" s="21" t="s">
        <v>1046</v>
      </c>
      <c r="D913" s="21" t="s">
        <v>138</v>
      </c>
      <c r="E913">
        <f>FIND(",", tblPassengerNames[[#This Row],[Name]])</f>
        <v>7</v>
      </c>
      <c r="F913">
        <f>FIND(".", tblPassengerNames[[#This Row],[Name]])</f>
        <v>11</v>
      </c>
      <c r="G913" t="e">
        <f>FIND("(", tblPassengerNames[[#This Row],[Name]])</f>
        <v>#VALUE!</v>
      </c>
      <c r="H913" t="e">
        <f>FIND(")", tblPassengerNames[[#This Row],[Name]])</f>
        <v>#VALUE!</v>
      </c>
      <c r="I913">
        <f>IFERROR(tblPassengerNames[[#This Row],[OpenParPos]] - 2, LEN(tblPassengerNames[[#This Row],[Name]]))</f>
        <v>26</v>
      </c>
      <c r="J913" t="str">
        <f>MID(tblPassengerNames[[#This Row],[Name]], tblPassengerNames[[#This Row],[DotPos]] + 2, tblPassengerNames[[#This Row],[EndOfConvFNPos]] - tblPassengerNames[[#This Row],[DotPos]] - 1)</f>
        <v>Nikolai Erland</v>
      </c>
      <c r="K913" t="e">
        <f>MID(tblPassengerNames[[#This Row],[Name]], tblPassengerNames[[#This Row],[OpenParPos]] + 1, tblPassengerNames[[#This Row],[CloseParPos]] - tblPassengerNames[[#This Row],[OpenParPos]] - 1)</f>
        <v>#VALUE!</v>
      </c>
      <c r="L913" t="e">
        <f>IF(AND(LEFT(tblPassengerNames[[#This Row],[InParentheses]], 1) = "'", RIGHT(tblPassengerNames[[#This Row],[InParentheses]], 1) = "'"),
    #VALUE!,
    tblPassengerNames[[#This Row],[InParentheses]]
)</f>
        <v>#VALUE!</v>
      </c>
      <c r="M913" t="e">
        <f>LEN(tblPassengerNames[[#This Row],[InParenthesesCleaned]]) - LEN(SUBSTITUTE(tblPassengerNames[[#This Row],[InParenthesesCleaned]], " ", ""))</f>
        <v>#VALUE!</v>
      </c>
      <c r="N913" t="e">
        <f>FIND("@", SUBSTITUTE(tblPassengerNames[[#This Row],[InParenthesesCleaned]], " ", "@", tblPassengerNames[[#This Row],[P_NSpaces]]))</f>
        <v>#VALUE!</v>
      </c>
      <c r="O913" t="e">
        <f>IF(tblPassengerNames[[#This Row],[P_NSpaces]] = 0,
    tblPassengerNames[[#This Row],[InParenthesesCleaned]],
    LEFT(tblPassengerNames[[#This Row],[InParenthesesCleaned]], tblPassengerNames[[#This Row],[P_FinalSpacePos]] - 1)
)</f>
        <v>#VALUE!</v>
      </c>
      <c r="P913" t="str">
        <f>IFERROR(tblPassengerNames[[#This Row],[P_Forenames]], tblPassengerNames[[#This Row],[ConvForenames]])</f>
        <v>Nikolai Erland</v>
      </c>
      <c r="Q913" t="str">
        <f>MID(tblPassengerNames[[#This Row],[Name]], tblPassengerNames[[#This Row],[CommaPos]] + 2, tblPassengerNames[[#This Row],[DotPos]] - tblPassengerNames[[#This Row],[CommaPos]] - 1)</f>
        <v>Mr.</v>
      </c>
      <c r="R913" t="str">
        <f>LEFT(tblPassengerNames[[#This Row],[Name]], tblPassengerNames[[#This Row],[CommaPos]] - 1)</f>
        <v>Kallio</v>
      </c>
    </row>
    <row r="914" spans="2:18" x14ac:dyDescent="0.25">
      <c r="B914" s="21">
        <v>912</v>
      </c>
      <c r="C914" s="21" t="s">
        <v>1047</v>
      </c>
      <c r="D914" s="21" t="s">
        <v>138</v>
      </c>
      <c r="E914">
        <f>FIND(",", tblPassengerNames[[#This Row],[Name]])</f>
        <v>7</v>
      </c>
      <c r="F914">
        <f>FIND(".", tblPassengerNames[[#This Row],[Name]])</f>
        <v>11</v>
      </c>
      <c r="G914" t="e">
        <f>FIND("(", tblPassengerNames[[#This Row],[Name]])</f>
        <v>#VALUE!</v>
      </c>
      <c r="H914" t="e">
        <f>FIND(")", tblPassengerNames[[#This Row],[Name]])</f>
        <v>#VALUE!</v>
      </c>
      <c r="I914">
        <f>IFERROR(tblPassengerNames[[#This Row],[OpenParPos]] - 2, LEN(tblPassengerNames[[#This Row],[Name]]))</f>
        <v>30</v>
      </c>
      <c r="J914" t="str">
        <f>MID(tblPassengerNames[[#This Row],[Name]], tblPassengerNames[[#This Row],[DotPos]] + 2, tblPassengerNames[[#This Row],[EndOfConvFNPos]] - tblPassengerNames[[#This Row],[DotPos]] - 1)</f>
        <v>Johannes Halvorsen</v>
      </c>
      <c r="K914" t="e">
        <f>MID(tblPassengerNames[[#This Row],[Name]], tblPassengerNames[[#This Row],[OpenParPos]] + 1, tblPassengerNames[[#This Row],[CloseParPos]] - tblPassengerNames[[#This Row],[OpenParPos]] - 1)</f>
        <v>#VALUE!</v>
      </c>
      <c r="L914" t="e">
        <f>IF(AND(LEFT(tblPassengerNames[[#This Row],[InParentheses]], 1) = "'", RIGHT(tblPassengerNames[[#This Row],[InParentheses]], 1) = "'"),
    #VALUE!,
    tblPassengerNames[[#This Row],[InParentheses]]
)</f>
        <v>#VALUE!</v>
      </c>
      <c r="M914" t="e">
        <f>LEN(tblPassengerNames[[#This Row],[InParenthesesCleaned]]) - LEN(SUBSTITUTE(tblPassengerNames[[#This Row],[InParenthesesCleaned]], " ", ""))</f>
        <v>#VALUE!</v>
      </c>
      <c r="N914" t="e">
        <f>FIND("@", SUBSTITUTE(tblPassengerNames[[#This Row],[InParenthesesCleaned]], " ", "@", tblPassengerNames[[#This Row],[P_NSpaces]]))</f>
        <v>#VALUE!</v>
      </c>
      <c r="O914" t="e">
        <f>IF(tblPassengerNames[[#This Row],[P_NSpaces]] = 0,
    tblPassengerNames[[#This Row],[InParenthesesCleaned]],
    LEFT(tblPassengerNames[[#This Row],[InParenthesesCleaned]], tblPassengerNames[[#This Row],[P_FinalSpacePos]] - 1)
)</f>
        <v>#VALUE!</v>
      </c>
      <c r="P914" t="str">
        <f>IFERROR(tblPassengerNames[[#This Row],[P_Forenames]], tblPassengerNames[[#This Row],[ConvForenames]])</f>
        <v>Johannes Halvorsen</v>
      </c>
      <c r="Q914" t="str">
        <f>MID(tblPassengerNames[[#This Row],[Name]], tblPassengerNames[[#This Row],[CommaPos]] + 2, tblPassengerNames[[#This Row],[DotPos]] - tblPassengerNames[[#This Row],[CommaPos]] - 1)</f>
        <v>Mr.</v>
      </c>
      <c r="R914" t="str">
        <f>LEFT(tblPassengerNames[[#This Row],[Name]], tblPassengerNames[[#This Row],[CommaPos]] - 1)</f>
        <v>Kalvik</v>
      </c>
    </row>
    <row r="915" spans="2:18" x14ac:dyDescent="0.25">
      <c r="B915" s="21">
        <v>913</v>
      </c>
      <c r="C915" s="21" t="s">
        <v>1048</v>
      </c>
      <c r="D915" s="21" t="s">
        <v>138</v>
      </c>
      <c r="E915">
        <f>FIND(",", tblPassengerNames[[#This Row],[Name]])</f>
        <v>7</v>
      </c>
      <c r="F915">
        <f>FIND(".", tblPassengerNames[[#This Row],[Name]])</f>
        <v>11</v>
      </c>
      <c r="G915" t="e">
        <f>FIND("(", tblPassengerNames[[#This Row],[Name]])</f>
        <v>#VALUE!</v>
      </c>
      <c r="H915" t="e">
        <f>FIND(")", tblPassengerNames[[#This Row],[Name]])</f>
        <v>#VALUE!</v>
      </c>
      <c r="I915">
        <f>IFERROR(tblPassengerNames[[#This Row],[OpenParPos]] - 2, LEN(tblPassengerNames[[#This Row],[Name]]))</f>
        <v>17</v>
      </c>
      <c r="J915" t="str">
        <f>MID(tblPassengerNames[[#This Row],[Name]], tblPassengerNames[[#This Row],[DotPos]] + 2, tblPassengerNames[[#This Row],[EndOfConvFNPos]] - tblPassengerNames[[#This Row],[DotPos]] - 1)</f>
        <v>Milan</v>
      </c>
      <c r="K915" t="e">
        <f>MID(tblPassengerNames[[#This Row],[Name]], tblPassengerNames[[#This Row],[OpenParPos]] + 1, tblPassengerNames[[#This Row],[CloseParPos]] - tblPassengerNames[[#This Row],[OpenParPos]] - 1)</f>
        <v>#VALUE!</v>
      </c>
      <c r="L915" t="e">
        <f>IF(AND(LEFT(tblPassengerNames[[#This Row],[InParentheses]], 1) = "'", RIGHT(tblPassengerNames[[#This Row],[InParentheses]], 1) = "'"),
    #VALUE!,
    tblPassengerNames[[#This Row],[InParentheses]]
)</f>
        <v>#VALUE!</v>
      </c>
      <c r="M915" t="e">
        <f>LEN(tblPassengerNames[[#This Row],[InParenthesesCleaned]]) - LEN(SUBSTITUTE(tblPassengerNames[[#This Row],[InParenthesesCleaned]], " ", ""))</f>
        <v>#VALUE!</v>
      </c>
      <c r="N915" t="e">
        <f>FIND("@", SUBSTITUTE(tblPassengerNames[[#This Row],[InParenthesesCleaned]], " ", "@", tblPassengerNames[[#This Row],[P_NSpaces]]))</f>
        <v>#VALUE!</v>
      </c>
      <c r="O915" t="e">
        <f>IF(tblPassengerNames[[#This Row],[P_NSpaces]] = 0,
    tblPassengerNames[[#This Row],[InParenthesesCleaned]],
    LEFT(tblPassengerNames[[#This Row],[InParenthesesCleaned]], tblPassengerNames[[#This Row],[P_FinalSpacePos]] - 1)
)</f>
        <v>#VALUE!</v>
      </c>
      <c r="P915" t="str">
        <f>IFERROR(tblPassengerNames[[#This Row],[P_Forenames]], tblPassengerNames[[#This Row],[ConvForenames]])</f>
        <v>Milan</v>
      </c>
      <c r="Q915" t="str">
        <f>MID(tblPassengerNames[[#This Row],[Name]], tblPassengerNames[[#This Row],[CommaPos]] + 2, tblPassengerNames[[#This Row],[DotPos]] - tblPassengerNames[[#This Row],[CommaPos]] - 1)</f>
        <v>Mr.</v>
      </c>
      <c r="R915" t="str">
        <f>LEFT(tblPassengerNames[[#This Row],[Name]], tblPassengerNames[[#This Row],[CommaPos]] - 1)</f>
        <v>Karaic</v>
      </c>
    </row>
    <row r="916" spans="2:18" x14ac:dyDescent="0.25">
      <c r="B916" s="21">
        <v>914</v>
      </c>
      <c r="C916" s="21" t="s">
        <v>1049</v>
      </c>
      <c r="D916" s="21" t="s">
        <v>138</v>
      </c>
      <c r="E916">
        <f>FIND(",", tblPassengerNames[[#This Row],[Name]])</f>
        <v>9</v>
      </c>
      <c r="F916">
        <f>FIND(".", tblPassengerNames[[#This Row],[Name]])</f>
        <v>13</v>
      </c>
      <c r="G916" t="e">
        <f>FIND("(", tblPassengerNames[[#This Row],[Name]])</f>
        <v>#VALUE!</v>
      </c>
      <c r="H916" t="e">
        <f>FIND(")", tblPassengerNames[[#This Row],[Name]])</f>
        <v>#VALUE!</v>
      </c>
      <c r="I916">
        <f>IFERROR(tblPassengerNames[[#This Row],[OpenParPos]] - 2, LEN(tblPassengerNames[[#This Row],[Name]]))</f>
        <v>29</v>
      </c>
      <c r="J916" t="str">
        <f>MID(tblPassengerNames[[#This Row],[Name]], tblPassengerNames[[#This Row],[DotPos]] + 2, tblPassengerNames[[#This Row],[EndOfConvFNPos]] - tblPassengerNames[[#This Row],[DotPos]] - 1)</f>
        <v>Einar Gervasius</v>
      </c>
      <c r="K916" t="e">
        <f>MID(tblPassengerNames[[#This Row],[Name]], tblPassengerNames[[#This Row],[OpenParPos]] + 1, tblPassengerNames[[#This Row],[CloseParPos]] - tblPassengerNames[[#This Row],[OpenParPos]] - 1)</f>
        <v>#VALUE!</v>
      </c>
      <c r="L916" t="e">
        <f>IF(AND(LEFT(tblPassengerNames[[#This Row],[InParentheses]], 1) = "'", RIGHT(tblPassengerNames[[#This Row],[InParentheses]], 1) = "'"),
    #VALUE!,
    tblPassengerNames[[#This Row],[InParentheses]]
)</f>
        <v>#VALUE!</v>
      </c>
      <c r="M916" t="e">
        <f>LEN(tblPassengerNames[[#This Row],[InParenthesesCleaned]]) - LEN(SUBSTITUTE(tblPassengerNames[[#This Row],[InParenthesesCleaned]], " ", ""))</f>
        <v>#VALUE!</v>
      </c>
      <c r="N916" t="e">
        <f>FIND("@", SUBSTITUTE(tblPassengerNames[[#This Row],[InParenthesesCleaned]], " ", "@", tblPassengerNames[[#This Row],[P_NSpaces]]))</f>
        <v>#VALUE!</v>
      </c>
      <c r="O916" t="e">
        <f>IF(tblPassengerNames[[#This Row],[P_NSpaces]] = 0,
    tblPassengerNames[[#This Row],[InParenthesesCleaned]],
    LEFT(tblPassengerNames[[#This Row],[InParenthesesCleaned]], tblPassengerNames[[#This Row],[P_FinalSpacePos]] - 1)
)</f>
        <v>#VALUE!</v>
      </c>
      <c r="P916" t="str">
        <f>IFERROR(tblPassengerNames[[#This Row],[P_Forenames]], tblPassengerNames[[#This Row],[ConvForenames]])</f>
        <v>Einar Gervasius</v>
      </c>
      <c r="Q916" t="str">
        <f>MID(tblPassengerNames[[#This Row],[Name]], tblPassengerNames[[#This Row],[CommaPos]] + 2, tblPassengerNames[[#This Row],[DotPos]] - tblPassengerNames[[#This Row],[CommaPos]] - 1)</f>
        <v>Mr.</v>
      </c>
      <c r="R916" t="str">
        <f>LEFT(tblPassengerNames[[#This Row],[Name]], tblPassengerNames[[#This Row],[CommaPos]] - 1)</f>
        <v>Karlsson</v>
      </c>
    </row>
    <row r="917" spans="2:18" x14ac:dyDescent="0.25">
      <c r="B917" s="21">
        <v>915</v>
      </c>
      <c r="C917" s="21" t="s">
        <v>1050</v>
      </c>
      <c r="D917" s="21" t="s">
        <v>138</v>
      </c>
      <c r="E917">
        <f>FIND(",", tblPassengerNames[[#This Row],[Name]])</f>
        <v>9</v>
      </c>
      <c r="F917">
        <f>FIND(".", tblPassengerNames[[#This Row],[Name]])</f>
        <v>13</v>
      </c>
      <c r="G917" t="e">
        <f>FIND("(", tblPassengerNames[[#This Row],[Name]])</f>
        <v>#VALUE!</v>
      </c>
      <c r="H917" t="e">
        <f>FIND(")", tblPassengerNames[[#This Row],[Name]])</f>
        <v>#VALUE!</v>
      </c>
      <c r="I917">
        <f>IFERROR(tblPassengerNames[[#This Row],[OpenParPos]] - 2, LEN(tblPassengerNames[[#This Row],[Name]]))</f>
        <v>33</v>
      </c>
      <c r="J917" t="str">
        <f>MID(tblPassengerNames[[#This Row],[Name]], tblPassengerNames[[#This Row],[DotPos]] + 2, tblPassengerNames[[#This Row],[EndOfConvFNPos]] - tblPassengerNames[[#This Row],[DotPos]] - 1)</f>
        <v>Julius Konrad Eugen</v>
      </c>
      <c r="K917" t="e">
        <f>MID(tblPassengerNames[[#This Row],[Name]], tblPassengerNames[[#This Row],[OpenParPos]] + 1, tblPassengerNames[[#This Row],[CloseParPos]] - tblPassengerNames[[#This Row],[OpenParPos]] - 1)</f>
        <v>#VALUE!</v>
      </c>
      <c r="L917" t="e">
        <f>IF(AND(LEFT(tblPassengerNames[[#This Row],[InParentheses]], 1) = "'", RIGHT(tblPassengerNames[[#This Row],[InParentheses]], 1) = "'"),
    #VALUE!,
    tblPassengerNames[[#This Row],[InParentheses]]
)</f>
        <v>#VALUE!</v>
      </c>
      <c r="M917" t="e">
        <f>LEN(tblPassengerNames[[#This Row],[InParenthesesCleaned]]) - LEN(SUBSTITUTE(tblPassengerNames[[#This Row],[InParenthesesCleaned]], " ", ""))</f>
        <v>#VALUE!</v>
      </c>
      <c r="N917" t="e">
        <f>FIND("@", SUBSTITUTE(tblPassengerNames[[#This Row],[InParenthesesCleaned]], " ", "@", tblPassengerNames[[#This Row],[P_NSpaces]]))</f>
        <v>#VALUE!</v>
      </c>
      <c r="O917" t="e">
        <f>IF(tblPassengerNames[[#This Row],[P_NSpaces]] = 0,
    tblPassengerNames[[#This Row],[InParenthesesCleaned]],
    LEFT(tblPassengerNames[[#This Row],[InParenthesesCleaned]], tblPassengerNames[[#This Row],[P_FinalSpacePos]] - 1)
)</f>
        <v>#VALUE!</v>
      </c>
      <c r="P917" t="str">
        <f>IFERROR(tblPassengerNames[[#This Row],[P_Forenames]], tblPassengerNames[[#This Row],[ConvForenames]])</f>
        <v>Julius Konrad Eugen</v>
      </c>
      <c r="Q917" t="str">
        <f>MID(tblPassengerNames[[#This Row],[Name]], tblPassengerNames[[#This Row],[CommaPos]] + 2, tblPassengerNames[[#This Row],[DotPos]] - tblPassengerNames[[#This Row],[CommaPos]] - 1)</f>
        <v>Mr.</v>
      </c>
      <c r="R917" t="str">
        <f>LEFT(tblPassengerNames[[#This Row],[Name]], tblPassengerNames[[#This Row],[CommaPos]] - 1)</f>
        <v>Karlsson</v>
      </c>
    </row>
    <row r="918" spans="2:18" x14ac:dyDescent="0.25">
      <c r="B918" s="21">
        <v>916</v>
      </c>
      <c r="C918" s="21" t="s">
        <v>1051</v>
      </c>
      <c r="D918" s="21" t="s">
        <v>138</v>
      </c>
      <c r="E918">
        <f>FIND(",", tblPassengerNames[[#This Row],[Name]])</f>
        <v>9</v>
      </c>
      <c r="F918">
        <f>FIND(".", tblPassengerNames[[#This Row],[Name]])</f>
        <v>13</v>
      </c>
      <c r="G918" t="e">
        <f>FIND("(", tblPassengerNames[[#This Row],[Name]])</f>
        <v>#VALUE!</v>
      </c>
      <c r="H918" t="e">
        <f>FIND(")", tblPassengerNames[[#This Row],[Name]])</f>
        <v>#VALUE!</v>
      </c>
      <c r="I918">
        <f>IFERROR(tblPassengerNames[[#This Row],[OpenParPos]] - 2, LEN(tblPassengerNames[[#This Row],[Name]]))</f>
        <v>25</v>
      </c>
      <c r="J918" t="str">
        <f>MID(tblPassengerNames[[#This Row],[Name]], tblPassengerNames[[#This Row],[DotPos]] + 2, tblPassengerNames[[#This Row],[EndOfConvFNPos]] - tblPassengerNames[[#This Row],[DotPos]] - 1)</f>
        <v>Nils August</v>
      </c>
      <c r="K918" t="e">
        <f>MID(tblPassengerNames[[#This Row],[Name]], tblPassengerNames[[#This Row],[OpenParPos]] + 1, tblPassengerNames[[#This Row],[CloseParPos]] - tblPassengerNames[[#This Row],[OpenParPos]] - 1)</f>
        <v>#VALUE!</v>
      </c>
      <c r="L918" t="e">
        <f>IF(AND(LEFT(tblPassengerNames[[#This Row],[InParentheses]], 1) = "'", RIGHT(tblPassengerNames[[#This Row],[InParentheses]], 1) = "'"),
    #VALUE!,
    tblPassengerNames[[#This Row],[InParentheses]]
)</f>
        <v>#VALUE!</v>
      </c>
      <c r="M918" t="e">
        <f>LEN(tblPassengerNames[[#This Row],[InParenthesesCleaned]]) - LEN(SUBSTITUTE(tblPassengerNames[[#This Row],[InParenthesesCleaned]], " ", ""))</f>
        <v>#VALUE!</v>
      </c>
      <c r="N918" t="e">
        <f>FIND("@", SUBSTITUTE(tblPassengerNames[[#This Row],[InParenthesesCleaned]], " ", "@", tblPassengerNames[[#This Row],[P_NSpaces]]))</f>
        <v>#VALUE!</v>
      </c>
      <c r="O918" t="e">
        <f>IF(tblPassengerNames[[#This Row],[P_NSpaces]] = 0,
    tblPassengerNames[[#This Row],[InParenthesesCleaned]],
    LEFT(tblPassengerNames[[#This Row],[InParenthesesCleaned]], tblPassengerNames[[#This Row],[P_FinalSpacePos]] - 1)
)</f>
        <v>#VALUE!</v>
      </c>
      <c r="P918" t="str">
        <f>IFERROR(tblPassengerNames[[#This Row],[P_Forenames]], tblPassengerNames[[#This Row],[ConvForenames]])</f>
        <v>Nils August</v>
      </c>
      <c r="Q918" t="str">
        <f>MID(tblPassengerNames[[#This Row],[Name]], tblPassengerNames[[#This Row],[CommaPos]] + 2, tblPassengerNames[[#This Row],[DotPos]] - tblPassengerNames[[#This Row],[CommaPos]] - 1)</f>
        <v>Mr.</v>
      </c>
      <c r="R918" t="str">
        <f>LEFT(tblPassengerNames[[#This Row],[Name]], tblPassengerNames[[#This Row],[CommaPos]] - 1)</f>
        <v>Karlsson</v>
      </c>
    </row>
    <row r="919" spans="2:18" x14ac:dyDescent="0.25">
      <c r="B919" s="21">
        <v>917</v>
      </c>
      <c r="C919" s="21" t="s">
        <v>1052</v>
      </c>
      <c r="D919" s="21" t="s">
        <v>136</v>
      </c>
      <c r="E919">
        <f>FIND(",", tblPassengerNames[[#This Row],[Name]])</f>
        <v>6</v>
      </c>
      <c r="F919">
        <f>FIND(".", tblPassengerNames[[#This Row],[Name]])</f>
        <v>12</v>
      </c>
      <c r="G919" t="e">
        <f>FIND("(", tblPassengerNames[[#This Row],[Name]])</f>
        <v>#VALUE!</v>
      </c>
      <c r="H919" t="e">
        <f>FIND(")", tblPassengerNames[[#This Row],[Name]])</f>
        <v>#VALUE!</v>
      </c>
      <c r="I919">
        <f>IFERROR(tblPassengerNames[[#This Row],[OpenParPos]] - 2, LEN(tblPassengerNames[[#This Row],[Name]]))</f>
        <v>18</v>
      </c>
      <c r="J919" t="str">
        <f>MID(tblPassengerNames[[#This Row],[Name]], tblPassengerNames[[#This Row],[DotPos]] + 2, tblPassengerNames[[#This Row],[EndOfConvFNPos]] - tblPassengerNames[[#This Row],[DotPos]] - 1)</f>
        <v>Manca</v>
      </c>
      <c r="K919" t="e">
        <f>MID(tblPassengerNames[[#This Row],[Name]], tblPassengerNames[[#This Row],[OpenParPos]] + 1, tblPassengerNames[[#This Row],[CloseParPos]] - tblPassengerNames[[#This Row],[OpenParPos]] - 1)</f>
        <v>#VALUE!</v>
      </c>
      <c r="L919" t="e">
        <f>IF(AND(LEFT(tblPassengerNames[[#This Row],[InParentheses]], 1) = "'", RIGHT(tblPassengerNames[[#This Row],[InParentheses]], 1) = "'"),
    #VALUE!,
    tblPassengerNames[[#This Row],[InParentheses]]
)</f>
        <v>#VALUE!</v>
      </c>
      <c r="M919" t="e">
        <f>LEN(tblPassengerNames[[#This Row],[InParenthesesCleaned]]) - LEN(SUBSTITUTE(tblPassengerNames[[#This Row],[InParenthesesCleaned]], " ", ""))</f>
        <v>#VALUE!</v>
      </c>
      <c r="N919" t="e">
        <f>FIND("@", SUBSTITUTE(tblPassengerNames[[#This Row],[InParenthesesCleaned]], " ", "@", tblPassengerNames[[#This Row],[P_NSpaces]]))</f>
        <v>#VALUE!</v>
      </c>
      <c r="O919" t="e">
        <f>IF(tblPassengerNames[[#This Row],[P_NSpaces]] = 0,
    tblPassengerNames[[#This Row],[InParenthesesCleaned]],
    LEFT(tblPassengerNames[[#This Row],[InParenthesesCleaned]], tblPassengerNames[[#This Row],[P_FinalSpacePos]] - 1)
)</f>
        <v>#VALUE!</v>
      </c>
      <c r="P919" t="str">
        <f>IFERROR(tblPassengerNames[[#This Row],[P_Forenames]], tblPassengerNames[[#This Row],[ConvForenames]])</f>
        <v>Manca</v>
      </c>
      <c r="Q919" t="str">
        <f>MID(tblPassengerNames[[#This Row],[Name]], tblPassengerNames[[#This Row],[CommaPos]] + 2, tblPassengerNames[[#This Row],[DotPos]] - tblPassengerNames[[#This Row],[CommaPos]] - 1)</f>
        <v>Miss.</v>
      </c>
      <c r="R919" t="str">
        <f>LEFT(tblPassengerNames[[#This Row],[Name]], tblPassengerNames[[#This Row],[CommaPos]] - 1)</f>
        <v>Karun</v>
      </c>
    </row>
    <row r="920" spans="2:18" x14ac:dyDescent="0.25">
      <c r="B920" s="21">
        <v>918</v>
      </c>
      <c r="C920" s="21" t="s">
        <v>1053</v>
      </c>
      <c r="D920" s="21" t="s">
        <v>138</v>
      </c>
      <c r="E920">
        <f>FIND(",", tblPassengerNames[[#This Row],[Name]])</f>
        <v>6</v>
      </c>
      <c r="F920">
        <f>FIND(".", tblPassengerNames[[#This Row],[Name]])</f>
        <v>10</v>
      </c>
      <c r="G920" t="e">
        <f>FIND("(", tblPassengerNames[[#This Row],[Name]])</f>
        <v>#VALUE!</v>
      </c>
      <c r="H920" t="e">
        <f>FIND(")", tblPassengerNames[[#This Row],[Name]])</f>
        <v>#VALUE!</v>
      </c>
      <c r="I920">
        <f>IFERROR(tblPassengerNames[[#This Row],[OpenParPos]] - 2, LEN(tblPassengerNames[[#This Row],[Name]]))</f>
        <v>16</v>
      </c>
      <c r="J920" t="str">
        <f>MID(tblPassengerNames[[#This Row],[Name]], tblPassengerNames[[#This Row],[DotPos]] + 2, tblPassengerNames[[#This Row],[EndOfConvFNPos]] - tblPassengerNames[[#This Row],[DotPos]] - 1)</f>
        <v>Franz</v>
      </c>
      <c r="K920" t="e">
        <f>MID(tblPassengerNames[[#This Row],[Name]], tblPassengerNames[[#This Row],[OpenParPos]] + 1, tblPassengerNames[[#This Row],[CloseParPos]] - tblPassengerNames[[#This Row],[OpenParPos]] - 1)</f>
        <v>#VALUE!</v>
      </c>
      <c r="L920" t="e">
        <f>IF(AND(LEFT(tblPassengerNames[[#This Row],[InParentheses]], 1) = "'", RIGHT(tblPassengerNames[[#This Row],[InParentheses]], 1) = "'"),
    #VALUE!,
    tblPassengerNames[[#This Row],[InParentheses]]
)</f>
        <v>#VALUE!</v>
      </c>
      <c r="M920" t="e">
        <f>LEN(tblPassengerNames[[#This Row],[InParenthesesCleaned]]) - LEN(SUBSTITUTE(tblPassengerNames[[#This Row],[InParenthesesCleaned]], " ", ""))</f>
        <v>#VALUE!</v>
      </c>
      <c r="N920" t="e">
        <f>FIND("@", SUBSTITUTE(tblPassengerNames[[#This Row],[InParenthesesCleaned]], " ", "@", tblPassengerNames[[#This Row],[P_NSpaces]]))</f>
        <v>#VALUE!</v>
      </c>
      <c r="O920" t="e">
        <f>IF(tblPassengerNames[[#This Row],[P_NSpaces]] = 0,
    tblPassengerNames[[#This Row],[InParenthesesCleaned]],
    LEFT(tblPassengerNames[[#This Row],[InParenthesesCleaned]], tblPassengerNames[[#This Row],[P_FinalSpacePos]] - 1)
)</f>
        <v>#VALUE!</v>
      </c>
      <c r="P920" t="str">
        <f>IFERROR(tblPassengerNames[[#This Row],[P_Forenames]], tblPassengerNames[[#This Row],[ConvForenames]])</f>
        <v>Franz</v>
      </c>
      <c r="Q920" t="str">
        <f>MID(tblPassengerNames[[#This Row],[Name]], tblPassengerNames[[#This Row],[CommaPos]] + 2, tblPassengerNames[[#This Row],[DotPos]] - tblPassengerNames[[#This Row],[CommaPos]] - 1)</f>
        <v>Mr.</v>
      </c>
      <c r="R920" t="str">
        <f>LEFT(tblPassengerNames[[#This Row],[Name]], tblPassengerNames[[#This Row],[CommaPos]] - 1)</f>
        <v>Karun</v>
      </c>
    </row>
    <row r="921" spans="2:18" x14ac:dyDescent="0.25">
      <c r="B921" s="21">
        <v>919</v>
      </c>
      <c r="C921" s="21" t="s">
        <v>1054</v>
      </c>
      <c r="D921" s="21" t="s">
        <v>138</v>
      </c>
      <c r="E921">
        <f>FIND(",", tblPassengerNames[[#This Row],[Name]])</f>
        <v>7</v>
      </c>
      <c r="F921">
        <f>FIND(".", tblPassengerNames[[#This Row],[Name]])</f>
        <v>11</v>
      </c>
      <c r="G921" t="e">
        <f>FIND("(", tblPassengerNames[[#This Row],[Name]])</f>
        <v>#VALUE!</v>
      </c>
      <c r="H921" t="e">
        <f>FIND(")", tblPassengerNames[[#This Row],[Name]])</f>
        <v>#VALUE!</v>
      </c>
      <c r="I921">
        <f>IFERROR(tblPassengerNames[[#This Row],[OpenParPos]] - 2, LEN(tblPassengerNames[[#This Row],[Name]]))</f>
        <v>17</v>
      </c>
      <c r="J921" t="str">
        <f>MID(tblPassengerNames[[#This Row],[Name]], tblPassengerNames[[#This Row],[DotPos]] + 2, tblPassengerNames[[#This Row],[EndOfConvFNPos]] - tblPassengerNames[[#This Row],[DotPos]] - 1)</f>
        <v>Fared</v>
      </c>
      <c r="K921" t="e">
        <f>MID(tblPassengerNames[[#This Row],[Name]], tblPassengerNames[[#This Row],[OpenParPos]] + 1, tblPassengerNames[[#This Row],[CloseParPos]] - tblPassengerNames[[#This Row],[OpenParPos]] - 1)</f>
        <v>#VALUE!</v>
      </c>
      <c r="L921" t="e">
        <f>IF(AND(LEFT(tblPassengerNames[[#This Row],[InParentheses]], 1) = "'", RIGHT(tblPassengerNames[[#This Row],[InParentheses]], 1) = "'"),
    #VALUE!,
    tblPassengerNames[[#This Row],[InParentheses]]
)</f>
        <v>#VALUE!</v>
      </c>
      <c r="M921" t="e">
        <f>LEN(tblPassengerNames[[#This Row],[InParenthesesCleaned]]) - LEN(SUBSTITUTE(tblPassengerNames[[#This Row],[InParenthesesCleaned]], " ", ""))</f>
        <v>#VALUE!</v>
      </c>
      <c r="N921" t="e">
        <f>FIND("@", SUBSTITUTE(tblPassengerNames[[#This Row],[InParenthesesCleaned]], " ", "@", tblPassengerNames[[#This Row],[P_NSpaces]]))</f>
        <v>#VALUE!</v>
      </c>
      <c r="O921" t="e">
        <f>IF(tblPassengerNames[[#This Row],[P_NSpaces]] = 0,
    tblPassengerNames[[#This Row],[InParenthesesCleaned]],
    LEFT(tblPassengerNames[[#This Row],[InParenthesesCleaned]], tblPassengerNames[[#This Row],[P_FinalSpacePos]] - 1)
)</f>
        <v>#VALUE!</v>
      </c>
      <c r="P921" t="str">
        <f>IFERROR(tblPassengerNames[[#This Row],[P_Forenames]], tblPassengerNames[[#This Row],[ConvForenames]])</f>
        <v>Fared</v>
      </c>
      <c r="Q921" t="str">
        <f>MID(tblPassengerNames[[#This Row],[Name]], tblPassengerNames[[#This Row],[CommaPos]] + 2, tblPassengerNames[[#This Row],[DotPos]] - tblPassengerNames[[#This Row],[CommaPos]] - 1)</f>
        <v>Mr.</v>
      </c>
      <c r="R921" t="str">
        <f>LEFT(tblPassengerNames[[#This Row],[Name]], tblPassengerNames[[#This Row],[CommaPos]] - 1)</f>
        <v>Kassem</v>
      </c>
    </row>
    <row r="922" spans="2:18" x14ac:dyDescent="0.25">
      <c r="B922" s="21">
        <v>920</v>
      </c>
      <c r="C922" s="21" t="s">
        <v>1055</v>
      </c>
      <c r="D922" s="21" t="s">
        <v>138</v>
      </c>
      <c r="E922">
        <f>FIND(",", tblPassengerNames[[#This Row],[Name]])</f>
        <v>10</v>
      </c>
      <c r="F922">
        <f>FIND(".", tblPassengerNames[[#This Row],[Name]])</f>
        <v>14</v>
      </c>
      <c r="G922">
        <f>FIND("(", tblPassengerNames[[#This Row],[Name]])</f>
        <v>26</v>
      </c>
      <c r="H922">
        <f>FIND(")", tblPassengerNames[[#This Row],[Name]])</f>
        <v>48</v>
      </c>
      <c r="I922">
        <f>IFERROR(tblPassengerNames[[#This Row],[OpenParPos]] - 2, LEN(tblPassengerNames[[#This Row],[Name]]))</f>
        <v>24</v>
      </c>
      <c r="J922" t="str">
        <f>MID(tblPassengerNames[[#This Row],[Name]], tblPassengerNames[[#This Row],[DotPos]] + 2, tblPassengerNames[[#This Row],[EndOfConvFNPos]] - tblPassengerNames[[#This Row],[DotPos]] - 1)</f>
        <v>Vassilios</v>
      </c>
      <c r="K922" t="str">
        <f>MID(tblPassengerNames[[#This Row],[Name]], tblPassengerNames[[#This Row],[OpenParPos]] + 1, tblPassengerNames[[#This Row],[CloseParPos]] - tblPassengerNames[[#This Row],[OpenParPos]] - 1)</f>
        <v>'Catavelas Vassilios'</v>
      </c>
      <c r="L922" t="e">
        <f>IF(AND(LEFT(tblPassengerNames[[#This Row],[InParentheses]], 1) = "'", RIGHT(tblPassengerNames[[#This Row],[InParentheses]], 1) = "'"),
    #VALUE!,
    tblPassengerNames[[#This Row],[InParentheses]]
)</f>
        <v>#VALUE!</v>
      </c>
      <c r="M922" t="e">
        <f>LEN(tblPassengerNames[[#This Row],[InParenthesesCleaned]]) - LEN(SUBSTITUTE(tblPassengerNames[[#This Row],[InParenthesesCleaned]], " ", ""))</f>
        <v>#VALUE!</v>
      </c>
      <c r="N922" t="e">
        <f>FIND("@", SUBSTITUTE(tblPassengerNames[[#This Row],[InParenthesesCleaned]], " ", "@", tblPassengerNames[[#This Row],[P_NSpaces]]))</f>
        <v>#VALUE!</v>
      </c>
      <c r="O922" t="e">
        <f>IF(tblPassengerNames[[#This Row],[P_NSpaces]] = 0,
    tblPassengerNames[[#This Row],[InParenthesesCleaned]],
    LEFT(tblPassengerNames[[#This Row],[InParenthesesCleaned]], tblPassengerNames[[#This Row],[P_FinalSpacePos]] - 1)
)</f>
        <v>#VALUE!</v>
      </c>
      <c r="P922" t="str">
        <f>IFERROR(tblPassengerNames[[#This Row],[P_Forenames]], tblPassengerNames[[#This Row],[ConvForenames]])</f>
        <v>Vassilios</v>
      </c>
      <c r="Q922" t="str">
        <f>MID(tblPassengerNames[[#This Row],[Name]], tblPassengerNames[[#This Row],[CommaPos]] + 2, tblPassengerNames[[#This Row],[DotPos]] - tblPassengerNames[[#This Row],[CommaPos]] - 1)</f>
        <v>Mr.</v>
      </c>
      <c r="R922" t="str">
        <f>LEFT(tblPassengerNames[[#This Row],[Name]], tblPassengerNames[[#This Row],[CommaPos]] - 1)</f>
        <v>Katavelas</v>
      </c>
    </row>
    <row r="923" spans="2:18" x14ac:dyDescent="0.25">
      <c r="B923" s="21">
        <v>921</v>
      </c>
      <c r="C923" s="21" t="s">
        <v>1056</v>
      </c>
      <c r="D923" s="21" t="s">
        <v>138</v>
      </c>
      <c r="E923">
        <f>FIND(",", tblPassengerNames[[#This Row],[Name]])</f>
        <v>6</v>
      </c>
      <c r="F923">
        <f>FIND(".", tblPassengerNames[[#This Row],[Name]])</f>
        <v>10</v>
      </c>
      <c r="G923" t="e">
        <f>FIND("(", tblPassengerNames[[#This Row],[Name]])</f>
        <v>#VALUE!</v>
      </c>
      <c r="H923" t="e">
        <f>FIND(")", tblPassengerNames[[#This Row],[Name]])</f>
        <v>#VALUE!</v>
      </c>
      <c r="I923">
        <f>IFERROR(tblPassengerNames[[#This Row],[OpenParPos]] - 2, LEN(tblPassengerNames[[#This Row],[Name]]))</f>
        <v>24</v>
      </c>
      <c r="J923" t="str">
        <f>MID(tblPassengerNames[[#This Row],[Name]], tblPassengerNames[[#This Row],[DotPos]] + 2, tblPassengerNames[[#This Row],[EndOfConvFNPos]] - tblPassengerNames[[#This Row],[DotPos]] - 1)</f>
        <v>Andrew 'Andy'</v>
      </c>
      <c r="K923" t="e">
        <f>MID(tblPassengerNames[[#This Row],[Name]], tblPassengerNames[[#This Row],[OpenParPos]] + 1, tblPassengerNames[[#This Row],[CloseParPos]] - tblPassengerNames[[#This Row],[OpenParPos]] - 1)</f>
        <v>#VALUE!</v>
      </c>
      <c r="L923" t="e">
        <f>IF(AND(LEFT(tblPassengerNames[[#This Row],[InParentheses]], 1) = "'", RIGHT(tblPassengerNames[[#This Row],[InParentheses]], 1) = "'"),
    #VALUE!,
    tblPassengerNames[[#This Row],[InParentheses]]
)</f>
        <v>#VALUE!</v>
      </c>
      <c r="M923" t="e">
        <f>LEN(tblPassengerNames[[#This Row],[InParenthesesCleaned]]) - LEN(SUBSTITUTE(tblPassengerNames[[#This Row],[InParenthesesCleaned]], " ", ""))</f>
        <v>#VALUE!</v>
      </c>
      <c r="N923" t="e">
        <f>FIND("@", SUBSTITUTE(tblPassengerNames[[#This Row],[InParenthesesCleaned]], " ", "@", tblPassengerNames[[#This Row],[P_NSpaces]]))</f>
        <v>#VALUE!</v>
      </c>
      <c r="O923" t="e">
        <f>IF(tblPassengerNames[[#This Row],[P_NSpaces]] = 0,
    tblPassengerNames[[#This Row],[InParenthesesCleaned]],
    LEFT(tblPassengerNames[[#This Row],[InParenthesesCleaned]], tblPassengerNames[[#This Row],[P_FinalSpacePos]] - 1)
)</f>
        <v>#VALUE!</v>
      </c>
      <c r="P923" t="str">
        <f>IFERROR(tblPassengerNames[[#This Row],[P_Forenames]], tblPassengerNames[[#This Row],[ConvForenames]])</f>
        <v>Andrew 'Andy'</v>
      </c>
      <c r="Q923" t="str">
        <f>MID(tblPassengerNames[[#This Row],[Name]], tblPassengerNames[[#This Row],[CommaPos]] + 2, tblPassengerNames[[#This Row],[DotPos]] - tblPassengerNames[[#This Row],[CommaPos]] - 1)</f>
        <v>Mr.</v>
      </c>
      <c r="R923" t="str">
        <f>LEFT(tblPassengerNames[[#This Row],[Name]], tblPassengerNames[[#This Row],[CommaPos]] - 1)</f>
        <v>Keane</v>
      </c>
    </row>
    <row r="924" spans="2:18" x14ac:dyDescent="0.25">
      <c r="B924" s="21">
        <v>922</v>
      </c>
      <c r="C924" s="21" t="s">
        <v>1057</v>
      </c>
      <c r="D924" s="21" t="s">
        <v>138</v>
      </c>
      <c r="E924">
        <f>FIND(",", tblPassengerNames[[#This Row],[Name]])</f>
        <v>6</v>
      </c>
      <c r="F924">
        <f>FIND(".", tblPassengerNames[[#This Row],[Name]])</f>
        <v>10</v>
      </c>
      <c r="G924" t="e">
        <f>FIND("(", tblPassengerNames[[#This Row],[Name]])</f>
        <v>#VALUE!</v>
      </c>
      <c r="H924" t="e">
        <f>FIND(")", tblPassengerNames[[#This Row],[Name]])</f>
        <v>#VALUE!</v>
      </c>
      <c r="I924">
        <f>IFERROR(tblPassengerNames[[#This Row],[OpenParPos]] - 2, LEN(tblPassengerNames[[#This Row],[Name]]))</f>
        <v>17</v>
      </c>
      <c r="J924" t="str">
        <f>MID(tblPassengerNames[[#This Row],[Name]], tblPassengerNames[[#This Row],[DotPos]] + 2, tblPassengerNames[[#This Row],[EndOfConvFNPos]] - tblPassengerNames[[#This Row],[DotPos]] - 1)</f>
        <v>Arthur</v>
      </c>
      <c r="K924" t="e">
        <f>MID(tblPassengerNames[[#This Row],[Name]], tblPassengerNames[[#This Row],[OpenParPos]] + 1, tblPassengerNames[[#This Row],[CloseParPos]] - tblPassengerNames[[#This Row],[OpenParPos]] - 1)</f>
        <v>#VALUE!</v>
      </c>
      <c r="L924" t="e">
        <f>IF(AND(LEFT(tblPassengerNames[[#This Row],[InParentheses]], 1) = "'", RIGHT(tblPassengerNames[[#This Row],[InParentheses]], 1) = "'"),
    #VALUE!,
    tblPassengerNames[[#This Row],[InParentheses]]
)</f>
        <v>#VALUE!</v>
      </c>
      <c r="M924" t="e">
        <f>LEN(tblPassengerNames[[#This Row],[InParenthesesCleaned]]) - LEN(SUBSTITUTE(tblPassengerNames[[#This Row],[InParenthesesCleaned]], " ", ""))</f>
        <v>#VALUE!</v>
      </c>
      <c r="N924" t="e">
        <f>FIND("@", SUBSTITUTE(tblPassengerNames[[#This Row],[InParenthesesCleaned]], " ", "@", tblPassengerNames[[#This Row],[P_NSpaces]]))</f>
        <v>#VALUE!</v>
      </c>
      <c r="O924" t="e">
        <f>IF(tblPassengerNames[[#This Row],[P_NSpaces]] = 0,
    tblPassengerNames[[#This Row],[InParenthesesCleaned]],
    LEFT(tblPassengerNames[[#This Row],[InParenthesesCleaned]], tblPassengerNames[[#This Row],[P_FinalSpacePos]] - 1)
)</f>
        <v>#VALUE!</v>
      </c>
      <c r="P924" t="str">
        <f>IFERROR(tblPassengerNames[[#This Row],[P_Forenames]], tblPassengerNames[[#This Row],[ConvForenames]])</f>
        <v>Arthur</v>
      </c>
      <c r="Q924" t="str">
        <f>MID(tblPassengerNames[[#This Row],[Name]], tblPassengerNames[[#This Row],[CommaPos]] + 2, tblPassengerNames[[#This Row],[DotPos]] - tblPassengerNames[[#This Row],[CommaPos]] - 1)</f>
        <v>Mr.</v>
      </c>
      <c r="R924" t="str">
        <f>LEFT(tblPassengerNames[[#This Row],[Name]], tblPassengerNames[[#This Row],[CommaPos]] - 1)</f>
        <v>Keefe</v>
      </c>
    </row>
    <row r="925" spans="2:18" x14ac:dyDescent="0.25">
      <c r="B925" s="21">
        <v>923</v>
      </c>
      <c r="C925" s="21" t="s">
        <v>1058</v>
      </c>
      <c r="D925" s="21" t="s">
        <v>136</v>
      </c>
      <c r="E925">
        <f>FIND(",", tblPassengerNames[[#This Row],[Name]])</f>
        <v>6</v>
      </c>
      <c r="F925">
        <f>FIND(".", tblPassengerNames[[#This Row],[Name]])</f>
        <v>12</v>
      </c>
      <c r="G925" t="e">
        <f>FIND("(", tblPassengerNames[[#This Row],[Name]])</f>
        <v>#VALUE!</v>
      </c>
      <c r="H925" t="e">
        <f>FIND(")", tblPassengerNames[[#This Row],[Name]])</f>
        <v>#VALUE!</v>
      </c>
      <c r="I925">
        <f>IFERROR(tblPassengerNames[[#This Row],[OpenParPos]] - 2, LEN(tblPassengerNames[[#This Row],[Name]]))</f>
        <v>40</v>
      </c>
      <c r="J925" t="str">
        <f>MID(tblPassengerNames[[#This Row],[Name]], tblPassengerNames[[#This Row],[DotPos]] + 2, tblPassengerNames[[#This Row],[EndOfConvFNPos]] - tblPassengerNames[[#This Row],[DotPos]] - 1)</f>
        <v>Anna Katherine 'Annie Kate'</v>
      </c>
      <c r="K925" t="e">
        <f>MID(tblPassengerNames[[#This Row],[Name]], tblPassengerNames[[#This Row],[OpenParPos]] + 1, tblPassengerNames[[#This Row],[CloseParPos]] - tblPassengerNames[[#This Row],[OpenParPos]] - 1)</f>
        <v>#VALUE!</v>
      </c>
      <c r="L925" t="e">
        <f>IF(AND(LEFT(tblPassengerNames[[#This Row],[InParentheses]], 1) = "'", RIGHT(tblPassengerNames[[#This Row],[InParentheses]], 1) = "'"),
    #VALUE!,
    tblPassengerNames[[#This Row],[InParentheses]]
)</f>
        <v>#VALUE!</v>
      </c>
      <c r="M925" t="e">
        <f>LEN(tblPassengerNames[[#This Row],[InParenthesesCleaned]]) - LEN(SUBSTITUTE(tblPassengerNames[[#This Row],[InParenthesesCleaned]], " ", ""))</f>
        <v>#VALUE!</v>
      </c>
      <c r="N925" t="e">
        <f>FIND("@", SUBSTITUTE(tblPassengerNames[[#This Row],[InParenthesesCleaned]], " ", "@", tblPassengerNames[[#This Row],[P_NSpaces]]))</f>
        <v>#VALUE!</v>
      </c>
      <c r="O925" t="e">
        <f>IF(tblPassengerNames[[#This Row],[P_NSpaces]] = 0,
    tblPassengerNames[[#This Row],[InParenthesesCleaned]],
    LEFT(tblPassengerNames[[#This Row],[InParenthesesCleaned]], tblPassengerNames[[#This Row],[P_FinalSpacePos]] - 1)
)</f>
        <v>#VALUE!</v>
      </c>
      <c r="P925" t="str">
        <f>IFERROR(tblPassengerNames[[#This Row],[P_Forenames]], tblPassengerNames[[#This Row],[ConvForenames]])</f>
        <v>Anna Katherine 'Annie Kate'</v>
      </c>
      <c r="Q925" t="str">
        <f>MID(tblPassengerNames[[#This Row],[Name]], tblPassengerNames[[#This Row],[CommaPos]] + 2, tblPassengerNames[[#This Row],[DotPos]] - tblPassengerNames[[#This Row],[CommaPos]] - 1)</f>
        <v>Miss.</v>
      </c>
      <c r="R925" t="str">
        <f>LEFT(tblPassengerNames[[#This Row],[Name]], tblPassengerNames[[#This Row],[CommaPos]] - 1)</f>
        <v>Kelly</v>
      </c>
    </row>
    <row r="926" spans="2:18" x14ac:dyDescent="0.25">
      <c r="B926" s="21">
        <v>924</v>
      </c>
      <c r="C926" s="21" t="s">
        <v>1059</v>
      </c>
      <c r="D926" s="21" t="s">
        <v>136</v>
      </c>
      <c r="E926">
        <f>FIND(",", tblPassengerNames[[#This Row],[Name]])</f>
        <v>6</v>
      </c>
      <c r="F926">
        <f>FIND(".", tblPassengerNames[[#This Row],[Name]])</f>
        <v>12</v>
      </c>
      <c r="G926" t="e">
        <f>FIND("(", tblPassengerNames[[#This Row],[Name]])</f>
        <v>#VALUE!</v>
      </c>
      <c r="H926" t="e">
        <f>FIND(")", tblPassengerNames[[#This Row],[Name]])</f>
        <v>#VALUE!</v>
      </c>
      <c r="I926">
        <f>IFERROR(tblPassengerNames[[#This Row],[OpenParPos]] - 2, LEN(tblPassengerNames[[#This Row],[Name]]))</f>
        <v>17</v>
      </c>
      <c r="J926" t="str">
        <f>MID(tblPassengerNames[[#This Row],[Name]], tblPassengerNames[[#This Row],[DotPos]] + 2, tblPassengerNames[[#This Row],[EndOfConvFNPos]] - tblPassengerNames[[#This Row],[DotPos]] - 1)</f>
        <v>Mary</v>
      </c>
      <c r="K926" t="e">
        <f>MID(tblPassengerNames[[#This Row],[Name]], tblPassengerNames[[#This Row],[OpenParPos]] + 1, tblPassengerNames[[#This Row],[CloseParPos]] - tblPassengerNames[[#This Row],[OpenParPos]] - 1)</f>
        <v>#VALUE!</v>
      </c>
      <c r="L926" t="e">
        <f>IF(AND(LEFT(tblPassengerNames[[#This Row],[InParentheses]], 1) = "'", RIGHT(tblPassengerNames[[#This Row],[InParentheses]], 1) = "'"),
    #VALUE!,
    tblPassengerNames[[#This Row],[InParentheses]]
)</f>
        <v>#VALUE!</v>
      </c>
      <c r="M926" t="e">
        <f>LEN(tblPassengerNames[[#This Row],[InParenthesesCleaned]]) - LEN(SUBSTITUTE(tblPassengerNames[[#This Row],[InParenthesesCleaned]], " ", ""))</f>
        <v>#VALUE!</v>
      </c>
      <c r="N926" t="e">
        <f>FIND("@", SUBSTITUTE(tblPassengerNames[[#This Row],[InParenthesesCleaned]], " ", "@", tblPassengerNames[[#This Row],[P_NSpaces]]))</f>
        <v>#VALUE!</v>
      </c>
      <c r="O926" t="e">
        <f>IF(tblPassengerNames[[#This Row],[P_NSpaces]] = 0,
    tblPassengerNames[[#This Row],[InParenthesesCleaned]],
    LEFT(tblPassengerNames[[#This Row],[InParenthesesCleaned]], tblPassengerNames[[#This Row],[P_FinalSpacePos]] - 1)
)</f>
        <v>#VALUE!</v>
      </c>
      <c r="P926" t="str">
        <f>IFERROR(tblPassengerNames[[#This Row],[P_Forenames]], tblPassengerNames[[#This Row],[ConvForenames]])</f>
        <v>Mary</v>
      </c>
      <c r="Q926" t="str">
        <f>MID(tblPassengerNames[[#This Row],[Name]], tblPassengerNames[[#This Row],[CommaPos]] + 2, tblPassengerNames[[#This Row],[DotPos]] - tblPassengerNames[[#This Row],[CommaPos]] - 1)</f>
        <v>Miss.</v>
      </c>
      <c r="R926" t="str">
        <f>LEFT(tblPassengerNames[[#This Row],[Name]], tblPassengerNames[[#This Row],[CommaPos]] - 1)</f>
        <v>Kelly</v>
      </c>
    </row>
    <row r="927" spans="2:18" x14ac:dyDescent="0.25">
      <c r="B927" s="21">
        <v>925</v>
      </c>
      <c r="C927" s="21" t="s">
        <v>1060</v>
      </c>
      <c r="D927" s="21" t="s">
        <v>138</v>
      </c>
      <c r="E927">
        <f>FIND(",", tblPassengerNames[[#This Row],[Name]])</f>
        <v>6</v>
      </c>
      <c r="F927">
        <f>FIND(".", tblPassengerNames[[#This Row],[Name]])</f>
        <v>10</v>
      </c>
      <c r="G927" t="e">
        <f>FIND("(", tblPassengerNames[[#This Row],[Name]])</f>
        <v>#VALUE!</v>
      </c>
      <c r="H927" t="e">
        <f>FIND(")", tblPassengerNames[[#This Row],[Name]])</f>
        <v>#VALUE!</v>
      </c>
      <c r="I927">
        <f>IFERROR(tblPassengerNames[[#This Row],[OpenParPos]] - 2, LEN(tblPassengerNames[[#This Row],[Name]]))</f>
        <v>16</v>
      </c>
      <c r="J927" t="str">
        <f>MID(tblPassengerNames[[#This Row],[Name]], tblPassengerNames[[#This Row],[DotPos]] + 2, tblPassengerNames[[#This Row],[EndOfConvFNPos]] - tblPassengerNames[[#This Row],[DotPos]] - 1)</f>
        <v>James</v>
      </c>
      <c r="K927" t="e">
        <f>MID(tblPassengerNames[[#This Row],[Name]], tblPassengerNames[[#This Row],[OpenParPos]] + 1, tblPassengerNames[[#This Row],[CloseParPos]] - tblPassengerNames[[#This Row],[OpenParPos]] - 1)</f>
        <v>#VALUE!</v>
      </c>
      <c r="L927" t="e">
        <f>IF(AND(LEFT(tblPassengerNames[[#This Row],[InParentheses]], 1) = "'", RIGHT(tblPassengerNames[[#This Row],[InParentheses]], 1) = "'"),
    #VALUE!,
    tblPassengerNames[[#This Row],[InParentheses]]
)</f>
        <v>#VALUE!</v>
      </c>
      <c r="M927" t="e">
        <f>LEN(tblPassengerNames[[#This Row],[InParenthesesCleaned]]) - LEN(SUBSTITUTE(tblPassengerNames[[#This Row],[InParenthesesCleaned]], " ", ""))</f>
        <v>#VALUE!</v>
      </c>
      <c r="N927" t="e">
        <f>FIND("@", SUBSTITUTE(tblPassengerNames[[#This Row],[InParenthesesCleaned]], " ", "@", tblPassengerNames[[#This Row],[P_NSpaces]]))</f>
        <v>#VALUE!</v>
      </c>
      <c r="O927" t="e">
        <f>IF(tblPassengerNames[[#This Row],[P_NSpaces]] = 0,
    tblPassengerNames[[#This Row],[InParenthesesCleaned]],
    LEFT(tblPassengerNames[[#This Row],[InParenthesesCleaned]], tblPassengerNames[[#This Row],[P_FinalSpacePos]] - 1)
)</f>
        <v>#VALUE!</v>
      </c>
      <c r="P927" t="str">
        <f>IFERROR(tblPassengerNames[[#This Row],[P_Forenames]], tblPassengerNames[[#This Row],[ConvForenames]])</f>
        <v>James</v>
      </c>
      <c r="Q927" t="str">
        <f>MID(tblPassengerNames[[#This Row],[Name]], tblPassengerNames[[#This Row],[CommaPos]] + 2, tblPassengerNames[[#This Row],[DotPos]] - tblPassengerNames[[#This Row],[CommaPos]] - 1)</f>
        <v>Mr.</v>
      </c>
      <c r="R927" t="str">
        <f>LEFT(tblPassengerNames[[#This Row],[Name]], tblPassengerNames[[#This Row],[CommaPos]] - 1)</f>
        <v>Kelly</v>
      </c>
    </row>
    <row r="928" spans="2:18" x14ac:dyDescent="0.25">
      <c r="B928" s="21">
        <v>926</v>
      </c>
      <c r="C928" s="21" t="s">
        <v>1060</v>
      </c>
      <c r="D928" s="21" t="s">
        <v>138</v>
      </c>
      <c r="E928">
        <f>FIND(",", tblPassengerNames[[#This Row],[Name]])</f>
        <v>6</v>
      </c>
      <c r="F928">
        <f>FIND(".", tblPassengerNames[[#This Row],[Name]])</f>
        <v>10</v>
      </c>
      <c r="G928" t="e">
        <f>FIND("(", tblPassengerNames[[#This Row],[Name]])</f>
        <v>#VALUE!</v>
      </c>
      <c r="H928" t="e">
        <f>FIND(")", tblPassengerNames[[#This Row],[Name]])</f>
        <v>#VALUE!</v>
      </c>
      <c r="I928">
        <f>IFERROR(tblPassengerNames[[#This Row],[OpenParPos]] - 2, LEN(tblPassengerNames[[#This Row],[Name]]))</f>
        <v>16</v>
      </c>
      <c r="J928" t="str">
        <f>MID(tblPassengerNames[[#This Row],[Name]], tblPassengerNames[[#This Row],[DotPos]] + 2, tblPassengerNames[[#This Row],[EndOfConvFNPos]] - tblPassengerNames[[#This Row],[DotPos]] - 1)</f>
        <v>James</v>
      </c>
      <c r="K928" t="e">
        <f>MID(tblPassengerNames[[#This Row],[Name]], tblPassengerNames[[#This Row],[OpenParPos]] + 1, tblPassengerNames[[#This Row],[CloseParPos]] - tblPassengerNames[[#This Row],[OpenParPos]] - 1)</f>
        <v>#VALUE!</v>
      </c>
      <c r="L928" t="e">
        <f>IF(AND(LEFT(tblPassengerNames[[#This Row],[InParentheses]], 1) = "'", RIGHT(tblPassengerNames[[#This Row],[InParentheses]], 1) = "'"),
    #VALUE!,
    tblPassengerNames[[#This Row],[InParentheses]]
)</f>
        <v>#VALUE!</v>
      </c>
      <c r="M928" t="e">
        <f>LEN(tblPassengerNames[[#This Row],[InParenthesesCleaned]]) - LEN(SUBSTITUTE(tblPassengerNames[[#This Row],[InParenthesesCleaned]], " ", ""))</f>
        <v>#VALUE!</v>
      </c>
      <c r="N928" t="e">
        <f>FIND("@", SUBSTITUTE(tblPassengerNames[[#This Row],[InParenthesesCleaned]], " ", "@", tblPassengerNames[[#This Row],[P_NSpaces]]))</f>
        <v>#VALUE!</v>
      </c>
      <c r="O928" t="e">
        <f>IF(tblPassengerNames[[#This Row],[P_NSpaces]] = 0,
    tblPassengerNames[[#This Row],[InParenthesesCleaned]],
    LEFT(tblPassengerNames[[#This Row],[InParenthesesCleaned]], tblPassengerNames[[#This Row],[P_FinalSpacePos]] - 1)
)</f>
        <v>#VALUE!</v>
      </c>
      <c r="P928" t="str">
        <f>IFERROR(tblPassengerNames[[#This Row],[P_Forenames]], tblPassengerNames[[#This Row],[ConvForenames]])</f>
        <v>James</v>
      </c>
      <c r="Q928" t="str">
        <f>MID(tblPassengerNames[[#This Row],[Name]], tblPassengerNames[[#This Row],[CommaPos]] + 2, tblPassengerNames[[#This Row],[DotPos]] - tblPassengerNames[[#This Row],[CommaPos]] - 1)</f>
        <v>Mr.</v>
      </c>
      <c r="R928" t="str">
        <f>LEFT(tblPassengerNames[[#This Row],[Name]], tblPassengerNames[[#This Row],[CommaPos]] - 1)</f>
        <v>Kelly</v>
      </c>
    </row>
    <row r="929" spans="2:18" x14ac:dyDescent="0.25">
      <c r="B929" s="21">
        <v>927</v>
      </c>
      <c r="C929" s="21" t="s">
        <v>1061</v>
      </c>
      <c r="D929" s="21" t="s">
        <v>138</v>
      </c>
      <c r="E929">
        <f>FIND(",", tblPassengerNames[[#This Row],[Name]])</f>
        <v>8</v>
      </c>
      <c r="F929">
        <f>FIND(".", tblPassengerNames[[#This Row],[Name]])</f>
        <v>12</v>
      </c>
      <c r="G929" t="e">
        <f>FIND("(", tblPassengerNames[[#This Row],[Name]])</f>
        <v>#VALUE!</v>
      </c>
      <c r="H929" t="e">
        <f>FIND(")", tblPassengerNames[[#This Row],[Name]])</f>
        <v>#VALUE!</v>
      </c>
      <c r="I929">
        <f>IFERROR(tblPassengerNames[[#This Row],[OpenParPos]] - 2, LEN(tblPassengerNames[[#This Row],[Name]]))</f>
        <v>17</v>
      </c>
      <c r="J929" t="str">
        <f>MID(tblPassengerNames[[#This Row],[Name]], tblPassengerNames[[#This Row],[DotPos]] + 2, tblPassengerNames[[#This Row],[EndOfConvFNPos]] - tblPassengerNames[[#This Row],[DotPos]] - 1)</f>
        <v>John</v>
      </c>
      <c r="K929" t="e">
        <f>MID(tblPassengerNames[[#This Row],[Name]], tblPassengerNames[[#This Row],[OpenParPos]] + 1, tblPassengerNames[[#This Row],[CloseParPos]] - tblPassengerNames[[#This Row],[OpenParPos]] - 1)</f>
        <v>#VALUE!</v>
      </c>
      <c r="L929" t="e">
        <f>IF(AND(LEFT(tblPassengerNames[[#This Row],[InParentheses]], 1) = "'", RIGHT(tblPassengerNames[[#This Row],[InParentheses]], 1) = "'"),
    #VALUE!,
    tblPassengerNames[[#This Row],[InParentheses]]
)</f>
        <v>#VALUE!</v>
      </c>
      <c r="M929" t="e">
        <f>LEN(tblPassengerNames[[#This Row],[InParenthesesCleaned]]) - LEN(SUBSTITUTE(tblPassengerNames[[#This Row],[InParenthesesCleaned]], " ", ""))</f>
        <v>#VALUE!</v>
      </c>
      <c r="N929" t="e">
        <f>FIND("@", SUBSTITUTE(tblPassengerNames[[#This Row],[InParenthesesCleaned]], " ", "@", tblPassengerNames[[#This Row],[P_NSpaces]]))</f>
        <v>#VALUE!</v>
      </c>
      <c r="O929" t="e">
        <f>IF(tblPassengerNames[[#This Row],[P_NSpaces]] = 0,
    tblPassengerNames[[#This Row],[InParenthesesCleaned]],
    LEFT(tblPassengerNames[[#This Row],[InParenthesesCleaned]], tblPassengerNames[[#This Row],[P_FinalSpacePos]] - 1)
)</f>
        <v>#VALUE!</v>
      </c>
      <c r="P929" t="str">
        <f>IFERROR(tblPassengerNames[[#This Row],[P_Forenames]], tblPassengerNames[[#This Row],[ConvForenames]])</f>
        <v>John</v>
      </c>
      <c r="Q929" t="str">
        <f>MID(tblPassengerNames[[#This Row],[Name]], tblPassengerNames[[#This Row],[CommaPos]] + 2, tblPassengerNames[[#This Row],[DotPos]] - tblPassengerNames[[#This Row],[CommaPos]] - 1)</f>
        <v>Mr.</v>
      </c>
      <c r="R929" t="str">
        <f>LEFT(tblPassengerNames[[#This Row],[Name]], tblPassengerNames[[#This Row],[CommaPos]] - 1)</f>
        <v>Kennedy</v>
      </c>
    </row>
    <row r="930" spans="2:18" x14ac:dyDescent="0.25">
      <c r="B930" s="21">
        <v>928</v>
      </c>
      <c r="C930" s="21" t="s">
        <v>1062</v>
      </c>
      <c r="D930" s="21" t="s">
        <v>138</v>
      </c>
      <c r="E930">
        <f>FIND(",", tblPassengerNames[[#This Row],[Name]])</f>
        <v>7</v>
      </c>
      <c r="F930">
        <f>FIND(".", tblPassengerNames[[#This Row],[Name]])</f>
        <v>11</v>
      </c>
      <c r="G930" t="e">
        <f>FIND("(", tblPassengerNames[[#This Row],[Name]])</f>
        <v>#VALUE!</v>
      </c>
      <c r="H930" t="e">
        <f>FIND(")", tblPassengerNames[[#This Row],[Name]])</f>
        <v>#VALUE!</v>
      </c>
      <c r="I930">
        <f>IFERROR(tblPassengerNames[[#This Row],[OpenParPos]] - 2, LEN(tblPassengerNames[[#This Row],[Name]]))</f>
        <v>18</v>
      </c>
      <c r="J930" t="str">
        <f>MID(tblPassengerNames[[#This Row],[Name]], tblPassengerNames[[#This Row],[DotPos]] + 2, tblPassengerNames[[#This Row],[EndOfConvFNPos]] - tblPassengerNames[[#This Row],[DotPos]] - 1)</f>
        <v>Betros</v>
      </c>
      <c r="K930" t="e">
        <f>MID(tblPassengerNames[[#This Row],[Name]], tblPassengerNames[[#This Row],[OpenParPos]] + 1, tblPassengerNames[[#This Row],[CloseParPos]] - tblPassengerNames[[#This Row],[OpenParPos]] - 1)</f>
        <v>#VALUE!</v>
      </c>
      <c r="L930" t="e">
        <f>IF(AND(LEFT(tblPassengerNames[[#This Row],[InParentheses]], 1) = "'", RIGHT(tblPassengerNames[[#This Row],[InParentheses]], 1) = "'"),
    #VALUE!,
    tblPassengerNames[[#This Row],[InParentheses]]
)</f>
        <v>#VALUE!</v>
      </c>
      <c r="M930" t="e">
        <f>LEN(tblPassengerNames[[#This Row],[InParenthesesCleaned]]) - LEN(SUBSTITUTE(tblPassengerNames[[#This Row],[InParenthesesCleaned]], " ", ""))</f>
        <v>#VALUE!</v>
      </c>
      <c r="N930" t="e">
        <f>FIND("@", SUBSTITUTE(tblPassengerNames[[#This Row],[InParenthesesCleaned]], " ", "@", tblPassengerNames[[#This Row],[P_NSpaces]]))</f>
        <v>#VALUE!</v>
      </c>
      <c r="O930" t="e">
        <f>IF(tblPassengerNames[[#This Row],[P_NSpaces]] = 0,
    tblPassengerNames[[#This Row],[InParenthesesCleaned]],
    LEFT(tblPassengerNames[[#This Row],[InParenthesesCleaned]], tblPassengerNames[[#This Row],[P_FinalSpacePos]] - 1)
)</f>
        <v>#VALUE!</v>
      </c>
      <c r="P930" t="str">
        <f>IFERROR(tblPassengerNames[[#This Row],[P_Forenames]], tblPassengerNames[[#This Row],[ConvForenames]])</f>
        <v>Betros</v>
      </c>
      <c r="Q930" t="str">
        <f>MID(tblPassengerNames[[#This Row],[Name]], tblPassengerNames[[#This Row],[CommaPos]] + 2, tblPassengerNames[[#This Row],[DotPos]] - tblPassengerNames[[#This Row],[CommaPos]] - 1)</f>
        <v>Mr.</v>
      </c>
      <c r="R930" t="str">
        <f>LEFT(tblPassengerNames[[#This Row],[Name]], tblPassengerNames[[#This Row],[CommaPos]] - 1)</f>
        <v>Khalil</v>
      </c>
    </row>
    <row r="931" spans="2:18" x14ac:dyDescent="0.25">
      <c r="B931" s="21">
        <v>929</v>
      </c>
      <c r="C931" s="21" t="s">
        <v>1063</v>
      </c>
      <c r="D931" s="21" t="s">
        <v>136</v>
      </c>
      <c r="E931">
        <f>FIND(",", tblPassengerNames[[#This Row],[Name]])</f>
        <v>7</v>
      </c>
      <c r="F931">
        <f>FIND(".", tblPassengerNames[[#This Row],[Name]])</f>
        <v>12</v>
      </c>
      <c r="G931">
        <f>FIND("(", tblPassengerNames[[#This Row],[Name]])</f>
        <v>21</v>
      </c>
      <c r="H931">
        <f>FIND(")", tblPassengerNames[[#This Row],[Name]])</f>
        <v>41</v>
      </c>
      <c r="I931">
        <f>IFERROR(tblPassengerNames[[#This Row],[OpenParPos]] - 2, LEN(tblPassengerNames[[#This Row],[Name]]))</f>
        <v>19</v>
      </c>
      <c r="J931" t="str">
        <f>MID(tblPassengerNames[[#This Row],[Name]], tblPassengerNames[[#This Row],[DotPos]] + 2, tblPassengerNames[[#This Row],[EndOfConvFNPos]] - tblPassengerNames[[#This Row],[DotPos]] - 1)</f>
        <v>Betros</v>
      </c>
      <c r="K931" t="str">
        <f>MID(tblPassengerNames[[#This Row],[Name]], tblPassengerNames[[#This Row],[OpenParPos]] + 1, tblPassengerNames[[#This Row],[CloseParPos]] - tblPassengerNames[[#This Row],[OpenParPos]] - 1)</f>
        <v>Zahie 'Maria' Elias</v>
      </c>
      <c r="L931" t="str">
        <f>IF(AND(LEFT(tblPassengerNames[[#This Row],[InParentheses]], 1) = "'", RIGHT(tblPassengerNames[[#This Row],[InParentheses]], 1) = "'"),
    #VALUE!,
    tblPassengerNames[[#This Row],[InParentheses]]
)</f>
        <v>Zahie 'Maria' Elias</v>
      </c>
      <c r="M931">
        <f>LEN(tblPassengerNames[[#This Row],[InParenthesesCleaned]]) - LEN(SUBSTITUTE(tblPassengerNames[[#This Row],[InParenthesesCleaned]], " ", ""))</f>
        <v>2</v>
      </c>
      <c r="N931">
        <f>FIND("@", SUBSTITUTE(tblPassengerNames[[#This Row],[InParenthesesCleaned]], " ", "@", tblPassengerNames[[#This Row],[P_NSpaces]]))</f>
        <v>14</v>
      </c>
      <c r="O931" t="str">
        <f>IF(tblPassengerNames[[#This Row],[P_NSpaces]] = 0,
    tblPassengerNames[[#This Row],[InParenthesesCleaned]],
    LEFT(tblPassengerNames[[#This Row],[InParenthesesCleaned]], tblPassengerNames[[#This Row],[P_FinalSpacePos]] - 1)
)</f>
        <v>Zahie 'Maria'</v>
      </c>
      <c r="P931" t="str">
        <f>IFERROR(tblPassengerNames[[#This Row],[P_Forenames]], tblPassengerNames[[#This Row],[ConvForenames]])</f>
        <v>Zahie 'Maria'</v>
      </c>
      <c r="Q931" t="str">
        <f>MID(tblPassengerNames[[#This Row],[Name]], tblPassengerNames[[#This Row],[CommaPos]] + 2, tblPassengerNames[[#This Row],[DotPos]] - tblPassengerNames[[#This Row],[CommaPos]] - 1)</f>
        <v>Mrs.</v>
      </c>
      <c r="R931" t="str">
        <f>LEFT(tblPassengerNames[[#This Row],[Name]], tblPassengerNames[[#This Row],[CommaPos]] - 1)</f>
        <v>Khalil</v>
      </c>
    </row>
    <row r="932" spans="2:18" x14ac:dyDescent="0.25">
      <c r="B932" s="21">
        <v>930</v>
      </c>
      <c r="C932" s="21" t="s">
        <v>1064</v>
      </c>
      <c r="D932" s="21" t="s">
        <v>138</v>
      </c>
      <c r="E932">
        <f>FIND(",", tblPassengerNames[[#This Row],[Name]])</f>
        <v>8</v>
      </c>
      <c r="F932">
        <f>FIND(".", tblPassengerNames[[#This Row],[Name]])</f>
        <v>12</v>
      </c>
      <c r="G932" t="e">
        <f>FIND("(", tblPassengerNames[[#This Row],[Name]])</f>
        <v>#VALUE!</v>
      </c>
      <c r="H932" t="e">
        <f>FIND(")", tblPassengerNames[[#This Row],[Name]])</f>
        <v>#VALUE!</v>
      </c>
      <c r="I932">
        <f>IFERROR(tblPassengerNames[[#This Row],[OpenParPos]] - 2, LEN(tblPassengerNames[[#This Row],[Name]]))</f>
        <v>17</v>
      </c>
      <c r="J932" t="str">
        <f>MID(tblPassengerNames[[#This Row],[Name]], tblPassengerNames[[#This Row],[DotPos]] + 2, tblPassengerNames[[#This Row],[EndOfConvFNPos]] - tblPassengerNames[[#This Row],[DotPos]] - 1)</f>
        <v>John</v>
      </c>
      <c r="K932" t="e">
        <f>MID(tblPassengerNames[[#This Row],[Name]], tblPassengerNames[[#This Row],[OpenParPos]] + 1, tblPassengerNames[[#This Row],[CloseParPos]] - tblPassengerNames[[#This Row],[OpenParPos]] - 1)</f>
        <v>#VALUE!</v>
      </c>
      <c r="L932" t="e">
        <f>IF(AND(LEFT(tblPassengerNames[[#This Row],[InParentheses]], 1) = "'", RIGHT(tblPassengerNames[[#This Row],[InParentheses]], 1) = "'"),
    #VALUE!,
    tblPassengerNames[[#This Row],[InParentheses]]
)</f>
        <v>#VALUE!</v>
      </c>
      <c r="M932" t="e">
        <f>LEN(tblPassengerNames[[#This Row],[InParenthesesCleaned]]) - LEN(SUBSTITUTE(tblPassengerNames[[#This Row],[InParenthesesCleaned]], " ", ""))</f>
        <v>#VALUE!</v>
      </c>
      <c r="N932" t="e">
        <f>FIND("@", SUBSTITUTE(tblPassengerNames[[#This Row],[InParenthesesCleaned]], " ", "@", tblPassengerNames[[#This Row],[P_NSpaces]]))</f>
        <v>#VALUE!</v>
      </c>
      <c r="O932" t="e">
        <f>IF(tblPassengerNames[[#This Row],[P_NSpaces]] = 0,
    tblPassengerNames[[#This Row],[InParenthesesCleaned]],
    LEFT(tblPassengerNames[[#This Row],[InParenthesesCleaned]], tblPassengerNames[[#This Row],[P_FinalSpacePos]] - 1)
)</f>
        <v>#VALUE!</v>
      </c>
      <c r="P932" t="str">
        <f>IFERROR(tblPassengerNames[[#This Row],[P_Forenames]], tblPassengerNames[[#This Row],[ConvForenames]])</f>
        <v>John</v>
      </c>
      <c r="Q932" t="str">
        <f>MID(tblPassengerNames[[#This Row],[Name]], tblPassengerNames[[#This Row],[CommaPos]] + 2, tblPassengerNames[[#This Row],[DotPos]] - tblPassengerNames[[#This Row],[CommaPos]] - 1)</f>
        <v>Mr.</v>
      </c>
      <c r="R932" t="str">
        <f>LEFT(tblPassengerNames[[#This Row],[Name]], tblPassengerNames[[#This Row],[CommaPos]] - 1)</f>
        <v>Kiernan</v>
      </c>
    </row>
    <row r="933" spans="2:18" x14ac:dyDescent="0.25">
      <c r="B933" s="21">
        <v>931</v>
      </c>
      <c r="C933" s="21" t="s">
        <v>1065</v>
      </c>
      <c r="D933" s="21" t="s">
        <v>138</v>
      </c>
      <c r="E933">
        <f>FIND(",", tblPassengerNames[[#This Row],[Name]])</f>
        <v>8</v>
      </c>
      <c r="F933">
        <f>FIND(".", tblPassengerNames[[#This Row],[Name]])</f>
        <v>12</v>
      </c>
      <c r="G933" t="e">
        <f>FIND("(", tblPassengerNames[[#This Row],[Name]])</f>
        <v>#VALUE!</v>
      </c>
      <c r="H933" t="e">
        <f>FIND(")", tblPassengerNames[[#This Row],[Name]])</f>
        <v>#VALUE!</v>
      </c>
      <c r="I933">
        <f>IFERROR(tblPassengerNames[[#This Row],[OpenParPos]] - 2, LEN(tblPassengerNames[[#This Row],[Name]]))</f>
        <v>19</v>
      </c>
      <c r="J933" t="str">
        <f>MID(tblPassengerNames[[#This Row],[Name]], tblPassengerNames[[#This Row],[DotPos]] + 2, tblPassengerNames[[#This Row],[EndOfConvFNPos]] - tblPassengerNames[[#This Row],[DotPos]] - 1)</f>
        <v>Philip</v>
      </c>
      <c r="K933" t="e">
        <f>MID(tblPassengerNames[[#This Row],[Name]], tblPassengerNames[[#This Row],[OpenParPos]] + 1, tblPassengerNames[[#This Row],[CloseParPos]] - tblPassengerNames[[#This Row],[OpenParPos]] - 1)</f>
        <v>#VALUE!</v>
      </c>
      <c r="L933" t="e">
        <f>IF(AND(LEFT(tblPassengerNames[[#This Row],[InParentheses]], 1) = "'", RIGHT(tblPassengerNames[[#This Row],[InParentheses]], 1) = "'"),
    #VALUE!,
    tblPassengerNames[[#This Row],[InParentheses]]
)</f>
        <v>#VALUE!</v>
      </c>
      <c r="M933" t="e">
        <f>LEN(tblPassengerNames[[#This Row],[InParenthesesCleaned]]) - LEN(SUBSTITUTE(tblPassengerNames[[#This Row],[InParenthesesCleaned]], " ", ""))</f>
        <v>#VALUE!</v>
      </c>
      <c r="N933" t="e">
        <f>FIND("@", SUBSTITUTE(tblPassengerNames[[#This Row],[InParenthesesCleaned]], " ", "@", tblPassengerNames[[#This Row],[P_NSpaces]]))</f>
        <v>#VALUE!</v>
      </c>
      <c r="O933" t="e">
        <f>IF(tblPassengerNames[[#This Row],[P_NSpaces]] = 0,
    tblPassengerNames[[#This Row],[InParenthesesCleaned]],
    LEFT(tblPassengerNames[[#This Row],[InParenthesesCleaned]], tblPassengerNames[[#This Row],[P_FinalSpacePos]] - 1)
)</f>
        <v>#VALUE!</v>
      </c>
      <c r="P933" t="str">
        <f>IFERROR(tblPassengerNames[[#This Row],[P_Forenames]], tblPassengerNames[[#This Row],[ConvForenames]])</f>
        <v>Philip</v>
      </c>
      <c r="Q933" t="str">
        <f>MID(tblPassengerNames[[#This Row],[Name]], tblPassengerNames[[#This Row],[CommaPos]] + 2, tblPassengerNames[[#This Row],[DotPos]] - tblPassengerNames[[#This Row],[CommaPos]] - 1)</f>
        <v>Mr.</v>
      </c>
      <c r="R933" t="str">
        <f>LEFT(tblPassengerNames[[#This Row],[Name]], tblPassengerNames[[#This Row],[CommaPos]] - 1)</f>
        <v>Kiernan</v>
      </c>
    </row>
    <row r="934" spans="2:18" x14ac:dyDescent="0.25">
      <c r="B934" s="21">
        <v>932</v>
      </c>
      <c r="C934" s="21" t="s">
        <v>1066</v>
      </c>
      <c r="D934" s="21" t="s">
        <v>138</v>
      </c>
      <c r="E934">
        <f>FIND(",", tblPassengerNames[[#This Row],[Name]])</f>
        <v>10</v>
      </c>
      <c r="F934">
        <f>FIND(".", tblPassengerNames[[#This Row],[Name]])</f>
        <v>14</v>
      </c>
      <c r="G934" t="e">
        <f>FIND("(", tblPassengerNames[[#This Row],[Name]])</f>
        <v>#VALUE!</v>
      </c>
      <c r="H934" t="e">
        <f>FIND(")", tblPassengerNames[[#This Row],[Name]])</f>
        <v>#VALUE!</v>
      </c>
      <c r="I934">
        <f>IFERROR(tblPassengerNames[[#This Row],[OpenParPos]] - 2, LEN(tblPassengerNames[[#This Row],[Name]]))</f>
        <v>23</v>
      </c>
      <c r="J934" t="str">
        <f>MID(tblPassengerNames[[#This Row],[Name]], tblPassengerNames[[#This Row],[DotPos]] + 2, tblPassengerNames[[#This Row],[EndOfConvFNPos]] - tblPassengerNames[[#This Row],[DotPos]] - 1)</f>
        <v>Thomas J</v>
      </c>
      <c r="K934" t="e">
        <f>MID(tblPassengerNames[[#This Row],[Name]], tblPassengerNames[[#This Row],[OpenParPos]] + 1, tblPassengerNames[[#This Row],[CloseParPos]] - tblPassengerNames[[#This Row],[OpenParPos]] - 1)</f>
        <v>#VALUE!</v>
      </c>
      <c r="L934" t="e">
        <f>IF(AND(LEFT(tblPassengerNames[[#This Row],[InParentheses]], 1) = "'", RIGHT(tblPassengerNames[[#This Row],[InParentheses]], 1) = "'"),
    #VALUE!,
    tblPassengerNames[[#This Row],[InParentheses]]
)</f>
        <v>#VALUE!</v>
      </c>
      <c r="M934" t="e">
        <f>LEN(tblPassengerNames[[#This Row],[InParenthesesCleaned]]) - LEN(SUBSTITUTE(tblPassengerNames[[#This Row],[InParenthesesCleaned]], " ", ""))</f>
        <v>#VALUE!</v>
      </c>
      <c r="N934" t="e">
        <f>FIND("@", SUBSTITUTE(tblPassengerNames[[#This Row],[InParenthesesCleaned]], " ", "@", tblPassengerNames[[#This Row],[P_NSpaces]]))</f>
        <v>#VALUE!</v>
      </c>
      <c r="O934" t="e">
        <f>IF(tblPassengerNames[[#This Row],[P_NSpaces]] = 0,
    tblPassengerNames[[#This Row],[InParenthesesCleaned]],
    LEFT(tblPassengerNames[[#This Row],[InParenthesesCleaned]], tblPassengerNames[[#This Row],[P_FinalSpacePos]] - 1)
)</f>
        <v>#VALUE!</v>
      </c>
      <c r="P934" t="str">
        <f>IFERROR(tblPassengerNames[[#This Row],[P_Forenames]], tblPassengerNames[[#This Row],[ConvForenames]])</f>
        <v>Thomas J</v>
      </c>
      <c r="Q934" t="str">
        <f>MID(tblPassengerNames[[#This Row],[Name]], tblPassengerNames[[#This Row],[CommaPos]] + 2, tblPassengerNames[[#This Row],[DotPos]] - tblPassengerNames[[#This Row],[CommaPos]] - 1)</f>
        <v>Mr.</v>
      </c>
      <c r="R934" t="str">
        <f>LEFT(tblPassengerNames[[#This Row],[Name]], tblPassengerNames[[#This Row],[CommaPos]] - 1)</f>
        <v>Kilgannon</v>
      </c>
    </row>
    <row r="935" spans="2:18" x14ac:dyDescent="0.25">
      <c r="B935" s="21">
        <v>933</v>
      </c>
      <c r="C935" s="21" t="s">
        <v>1067</v>
      </c>
      <c r="D935" s="21" t="s">
        <v>136</v>
      </c>
      <c r="E935">
        <f>FIND(",", tblPassengerNames[[#This Row],[Name]])</f>
        <v>5</v>
      </c>
      <c r="F935">
        <f>FIND(".", tblPassengerNames[[#This Row],[Name]])</f>
        <v>11</v>
      </c>
      <c r="G935" t="e">
        <f>FIND("(", tblPassengerNames[[#This Row],[Name]])</f>
        <v>#VALUE!</v>
      </c>
      <c r="H935" t="e">
        <f>FIND(")", tblPassengerNames[[#This Row],[Name]])</f>
        <v>#VALUE!</v>
      </c>
      <c r="I935">
        <f>IFERROR(tblPassengerNames[[#This Row],[OpenParPos]] - 2, LEN(tblPassengerNames[[#This Row],[Name]]))</f>
        <v>17</v>
      </c>
      <c r="J935" t="str">
        <f>MID(tblPassengerNames[[#This Row],[Name]], tblPassengerNames[[#This Row],[DotPos]] + 2, tblPassengerNames[[#This Row],[EndOfConvFNPos]] - tblPassengerNames[[#This Row],[DotPos]] - 1)</f>
        <v>Maria</v>
      </c>
      <c r="K935" t="e">
        <f>MID(tblPassengerNames[[#This Row],[Name]], tblPassengerNames[[#This Row],[OpenParPos]] + 1, tblPassengerNames[[#This Row],[CloseParPos]] - tblPassengerNames[[#This Row],[OpenParPos]] - 1)</f>
        <v>#VALUE!</v>
      </c>
      <c r="L935" t="e">
        <f>IF(AND(LEFT(tblPassengerNames[[#This Row],[InParentheses]], 1) = "'", RIGHT(tblPassengerNames[[#This Row],[InParentheses]], 1) = "'"),
    #VALUE!,
    tblPassengerNames[[#This Row],[InParentheses]]
)</f>
        <v>#VALUE!</v>
      </c>
      <c r="M935" t="e">
        <f>LEN(tblPassengerNames[[#This Row],[InParenthesesCleaned]]) - LEN(SUBSTITUTE(tblPassengerNames[[#This Row],[InParenthesesCleaned]], " ", ""))</f>
        <v>#VALUE!</v>
      </c>
      <c r="N935" t="e">
        <f>FIND("@", SUBSTITUTE(tblPassengerNames[[#This Row],[InParenthesesCleaned]], " ", "@", tblPassengerNames[[#This Row],[P_NSpaces]]))</f>
        <v>#VALUE!</v>
      </c>
      <c r="O935" t="e">
        <f>IF(tblPassengerNames[[#This Row],[P_NSpaces]] = 0,
    tblPassengerNames[[#This Row],[InParenthesesCleaned]],
    LEFT(tblPassengerNames[[#This Row],[InParenthesesCleaned]], tblPassengerNames[[#This Row],[P_FinalSpacePos]] - 1)
)</f>
        <v>#VALUE!</v>
      </c>
      <c r="P935" t="str">
        <f>IFERROR(tblPassengerNames[[#This Row],[P_Forenames]], tblPassengerNames[[#This Row],[ConvForenames]])</f>
        <v>Maria</v>
      </c>
      <c r="Q935" t="str">
        <f>MID(tblPassengerNames[[#This Row],[Name]], tblPassengerNames[[#This Row],[CommaPos]] + 2, tblPassengerNames[[#This Row],[DotPos]] - tblPassengerNames[[#This Row],[CommaPos]] - 1)</f>
        <v>Miss.</v>
      </c>
      <c r="R935" t="str">
        <f>LEFT(tblPassengerNames[[#This Row],[Name]], tblPassengerNames[[#This Row],[CommaPos]] - 1)</f>
        <v>Kink</v>
      </c>
    </row>
    <row r="936" spans="2:18" x14ac:dyDescent="0.25">
      <c r="B936" s="21">
        <v>934</v>
      </c>
      <c r="C936" s="21" t="s">
        <v>1068</v>
      </c>
      <c r="D936" s="21" t="s">
        <v>138</v>
      </c>
      <c r="E936">
        <f>FIND(",", tblPassengerNames[[#This Row],[Name]])</f>
        <v>5</v>
      </c>
      <c r="F936">
        <f>FIND(".", tblPassengerNames[[#This Row],[Name]])</f>
        <v>9</v>
      </c>
      <c r="G936" t="e">
        <f>FIND("(", tblPassengerNames[[#This Row],[Name]])</f>
        <v>#VALUE!</v>
      </c>
      <c r="H936" t="e">
        <f>FIND(")", tblPassengerNames[[#This Row],[Name]])</f>
        <v>#VALUE!</v>
      </c>
      <c r="I936">
        <f>IFERROR(tblPassengerNames[[#This Row],[OpenParPos]] - 2, LEN(tblPassengerNames[[#This Row],[Name]]))</f>
        <v>17</v>
      </c>
      <c r="J936" t="str">
        <f>MID(tblPassengerNames[[#This Row],[Name]], tblPassengerNames[[#This Row],[DotPos]] + 2, tblPassengerNames[[#This Row],[EndOfConvFNPos]] - tblPassengerNames[[#This Row],[DotPos]] - 1)</f>
        <v>Vincenz</v>
      </c>
      <c r="K936" t="e">
        <f>MID(tblPassengerNames[[#This Row],[Name]], tblPassengerNames[[#This Row],[OpenParPos]] + 1, tblPassengerNames[[#This Row],[CloseParPos]] - tblPassengerNames[[#This Row],[OpenParPos]] - 1)</f>
        <v>#VALUE!</v>
      </c>
      <c r="L936" t="e">
        <f>IF(AND(LEFT(tblPassengerNames[[#This Row],[InParentheses]], 1) = "'", RIGHT(tblPassengerNames[[#This Row],[InParentheses]], 1) = "'"),
    #VALUE!,
    tblPassengerNames[[#This Row],[InParentheses]]
)</f>
        <v>#VALUE!</v>
      </c>
      <c r="M936" t="e">
        <f>LEN(tblPassengerNames[[#This Row],[InParenthesesCleaned]]) - LEN(SUBSTITUTE(tblPassengerNames[[#This Row],[InParenthesesCleaned]], " ", ""))</f>
        <v>#VALUE!</v>
      </c>
      <c r="N936" t="e">
        <f>FIND("@", SUBSTITUTE(tblPassengerNames[[#This Row],[InParenthesesCleaned]], " ", "@", tblPassengerNames[[#This Row],[P_NSpaces]]))</f>
        <v>#VALUE!</v>
      </c>
      <c r="O936" t="e">
        <f>IF(tblPassengerNames[[#This Row],[P_NSpaces]] = 0,
    tblPassengerNames[[#This Row],[InParenthesesCleaned]],
    LEFT(tblPassengerNames[[#This Row],[InParenthesesCleaned]], tblPassengerNames[[#This Row],[P_FinalSpacePos]] - 1)
)</f>
        <v>#VALUE!</v>
      </c>
      <c r="P936" t="str">
        <f>IFERROR(tblPassengerNames[[#This Row],[P_Forenames]], tblPassengerNames[[#This Row],[ConvForenames]])</f>
        <v>Vincenz</v>
      </c>
      <c r="Q936" t="str">
        <f>MID(tblPassengerNames[[#This Row],[Name]], tblPassengerNames[[#This Row],[CommaPos]] + 2, tblPassengerNames[[#This Row],[DotPos]] - tblPassengerNames[[#This Row],[CommaPos]] - 1)</f>
        <v>Mr.</v>
      </c>
      <c r="R936" t="str">
        <f>LEFT(tblPassengerNames[[#This Row],[Name]], tblPassengerNames[[#This Row],[CommaPos]] - 1)</f>
        <v>Kink</v>
      </c>
    </row>
    <row r="937" spans="2:18" x14ac:dyDescent="0.25">
      <c r="B937" s="21">
        <v>935</v>
      </c>
      <c r="C937" s="21" t="s">
        <v>1069</v>
      </c>
      <c r="D937" s="21" t="s">
        <v>136</v>
      </c>
      <c r="E937">
        <f>FIND(",", tblPassengerNames[[#This Row],[Name]])</f>
        <v>14</v>
      </c>
      <c r="F937">
        <f>FIND(".", tblPassengerNames[[#This Row],[Name]])</f>
        <v>20</v>
      </c>
      <c r="G937" t="e">
        <f>FIND("(", tblPassengerNames[[#This Row],[Name]])</f>
        <v>#VALUE!</v>
      </c>
      <c r="H937" t="e">
        <f>FIND(")", tblPassengerNames[[#This Row],[Name]])</f>
        <v>#VALUE!</v>
      </c>
      <c r="I937">
        <f>IFERROR(tblPassengerNames[[#This Row],[OpenParPos]] - 2, LEN(tblPassengerNames[[#This Row],[Name]]))</f>
        <v>35</v>
      </c>
      <c r="J937" t="str">
        <f>MID(tblPassengerNames[[#This Row],[Name]], tblPassengerNames[[#This Row],[DotPos]] + 2, tblPassengerNames[[#This Row],[EndOfConvFNPos]] - tblPassengerNames[[#This Row],[DotPos]] - 1)</f>
        <v>Luise Gretchen</v>
      </c>
      <c r="K937" t="e">
        <f>MID(tblPassengerNames[[#This Row],[Name]], tblPassengerNames[[#This Row],[OpenParPos]] + 1, tblPassengerNames[[#This Row],[CloseParPos]] - tblPassengerNames[[#This Row],[OpenParPos]] - 1)</f>
        <v>#VALUE!</v>
      </c>
      <c r="L937" t="e">
        <f>IF(AND(LEFT(tblPassengerNames[[#This Row],[InParentheses]], 1) = "'", RIGHT(tblPassengerNames[[#This Row],[InParentheses]], 1) = "'"),
    #VALUE!,
    tblPassengerNames[[#This Row],[InParentheses]]
)</f>
        <v>#VALUE!</v>
      </c>
      <c r="M937" t="e">
        <f>LEN(tblPassengerNames[[#This Row],[InParenthesesCleaned]]) - LEN(SUBSTITUTE(tblPassengerNames[[#This Row],[InParenthesesCleaned]], " ", ""))</f>
        <v>#VALUE!</v>
      </c>
      <c r="N937" t="e">
        <f>FIND("@", SUBSTITUTE(tblPassengerNames[[#This Row],[InParenthesesCleaned]], " ", "@", tblPassengerNames[[#This Row],[P_NSpaces]]))</f>
        <v>#VALUE!</v>
      </c>
      <c r="O937" t="e">
        <f>IF(tblPassengerNames[[#This Row],[P_NSpaces]] = 0,
    tblPassengerNames[[#This Row],[InParenthesesCleaned]],
    LEFT(tblPassengerNames[[#This Row],[InParenthesesCleaned]], tblPassengerNames[[#This Row],[P_FinalSpacePos]] - 1)
)</f>
        <v>#VALUE!</v>
      </c>
      <c r="P937" t="str">
        <f>IFERROR(tblPassengerNames[[#This Row],[P_Forenames]], tblPassengerNames[[#This Row],[ConvForenames]])</f>
        <v>Luise Gretchen</v>
      </c>
      <c r="Q937" t="str">
        <f>MID(tblPassengerNames[[#This Row],[Name]], tblPassengerNames[[#This Row],[CommaPos]] + 2, tblPassengerNames[[#This Row],[DotPos]] - tblPassengerNames[[#This Row],[CommaPos]] - 1)</f>
        <v>Miss.</v>
      </c>
      <c r="R937" t="str">
        <f>LEFT(tblPassengerNames[[#This Row],[Name]], tblPassengerNames[[#This Row],[CommaPos]] - 1)</f>
        <v>Kink-Heilmann</v>
      </c>
    </row>
    <row r="938" spans="2:18" x14ac:dyDescent="0.25">
      <c r="B938" s="21">
        <v>936</v>
      </c>
      <c r="C938" s="21" t="s">
        <v>1070</v>
      </c>
      <c r="D938" s="21" t="s">
        <v>138</v>
      </c>
      <c r="E938">
        <f>FIND(",", tblPassengerNames[[#This Row],[Name]])</f>
        <v>14</v>
      </c>
      <c r="F938">
        <f>FIND(".", tblPassengerNames[[#This Row],[Name]])</f>
        <v>18</v>
      </c>
      <c r="G938" t="e">
        <f>FIND("(", tblPassengerNames[[#This Row],[Name]])</f>
        <v>#VALUE!</v>
      </c>
      <c r="H938" t="e">
        <f>FIND(")", tblPassengerNames[[#This Row],[Name]])</f>
        <v>#VALUE!</v>
      </c>
      <c r="I938">
        <f>IFERROR(tblPassengerNames[[#This Row],[OpenParPos]] - 2, LEN(tblPassengerNames[[#This Row],[Name]]))</f>
        <v>24</v>
      </c>
      <c r="J938" t="str">
        <f>MID(tblPassengerNames[[#This Row],[Name]], tblPassengerNames[[#This Row],[DotPos]] + 2, tblPassengerNames[[#This Row],[EndOfConvFNPos]] - tblPassengerNames[[#This Row],[DotPos]] - 1)</f>
        <v>Anton</v>
      </c>
      <c r="K938" t="e">
        <f>MID(tblPassengerNames[[#This Row],[Name]], tblPassengerNames[[#This Row],[OpenParPos]] + 1, tblPassengerNames[[#This Row],[CloseParPos]] - tblPassengerNames[[#This Row],[OpenParPos]] - 1)</f>
        <v>#VALUE!</v>
      </c>
      <c r="L938" t="e">
        <f>IF(AND(LEFT(tblPassengerNames[[#This Row],[InParentheses]], 1) = "'", RIGHT(tblPassengerNames[[#This Row],[InParentheses]], 1) = "'"),
    #VALUE!,
    tblPassengerNames[[#This Row],[InParentheses]]
)</f>
        <v>#VALUE!</v>
      </c>
      <c r="M938" t="e">
        <f>LEN(tblPassengerNames[[#This Row],[InParenthesesCleaned]]) - LEN(SUBSTITUTE(tblPassengerNames[[#This Row],[InParenthesesCleaned]], " ", ""))</f>
        <v>#VALUE!</v>
      </c>
      <c r="N938" t="e">
        <f>FIND("@", SUBSTITUTE(tblPassengerNames[[#This Row],[InParenthesesCleaned]], " ", "@", tblPassengerNames[[#This Row],[P_NSpaces]]))</f>
        <v>#VALUE!</v>
      </c>
      <c r="O938" t="e">
        <f>IF(tblPassengerNames[[#This Row],[P_NSpaces]] = 0,
    tblPassengerNames[[#This Row],[InParenthesesCleaned]],
    LEFT(tblPassengerNames[[#This Row],[InParenthesesCleaned]], tblPassengerNames[[#This Row],[P_FinalSpacePos]] - 1)
)</f>
        <v>#VALUE!</v>
      </c>
      <c r="P938" t="str">
        <f>IFERROR(tblPassengerNames[[#This Row],[P_Forenames]], tblPassengerNames[[#This Row],[ConvForenames]])</f>
        <v>Anton</v>
      </c>
      <c r="Q938" t="str">
        <f>MID(tblPassengerNames[[#This Row],[Name]], tblPassengerNames[[#This Row],[CommaPos]] + 2, tblPassengerNames[[#This Row],[DotPos]] - tblPassengerNames[[#This Row],[CommaPos]] - 1)</f>
        <v>Mr.</v>
      </c>
      <c r="R938" t="str">
        <f>LEFT(tblPassengerNames[[#This Row],[Name]], tblPassengerNames[[#This Row],[CommaPos]] - 1)</f>
        <v>Kink-Heilmann</v>
      </c>
    </row>
    <row r="939" spans="2:18" x14ac:dyDescent="0.25">
      <c r="B939" s="21">
        <v>937</v>
      </c>
      <c r="C939" s="21" t="s">
        <v>1071</v>
      </c>
      <c r="D939" s="21" t="s">
        <v>136</v>
      </c>
      <c r="E939">
        <f>FIND(",", tblPassengerNames[[#This Row],[Name]])</f>
        <v>14</v>
      </c>
      <c r="F939">
        <f>FIND(".", tblPassengerNames[[#This Row],[Name]])</f>
        <v>19</v>
      </c>
      <c r="G939">
        <f>FIND("(", tblPassengerNames[[#This Row],[Name]])</f>
        <v>27</v>
      </c>
      <c r="H939">
        <f>FIND(")", tblPassengerNames[[#This Row],[Name]])</f>
        <v>42</v>
      </c>
      <c r="I939">
        <f>IFERROR(tblPassengerNames[[#This Row],[OpenParPos]] - 2, LEN(tblPassengerNames[[#This Row],[Name]]))</f>
        <v>25</v>
      </c>
      <c r="J939" t="str">
        <f>MID(tblPassengerNames[[#This Row],[Name]], tblPassengerNames[[#This Row],[DotPos]] + 2, tblPassengerNames[[#This Row],[EndOfConvFNPos]] - tblPassengerNames[[#This Row],[DotPos]] - 1)</f>
        <v>Anton</v>
      </c>
      <c r="K939" t="str">
        <f>MID(tblPassengerNames[[#This Row],[Name]], tblPassengerNames[[#This Row],[OpenParPos]] + 1, tblPassengerNames[[#This Row],[CloseParPos]] - tblPassengerNames[[#This Row],[OpenParPos]] - 1)</f>
        <v>Luise Heilmann</v>
      </c>
      <c r="L939" t="str">
        <f>IF(AND(LEFT(tblPassengerNames[[#This Row],[InParentheses]], 1) = "'", RIGHT(tblPassengerNames[[#This Row],[InParentheses]], 1) = "'"),
    #VALUE!,
    tblPassengerNames[[#This Row],[InParentheses]]
)</f>
        <v>Luise Heilmann</v>
      </c>
      <c r="M939">
        <f>LEN(tblPassengerNames[[#This Row],[InParenthesesCleaned]]) - LEN(SUBSTITUTE(tblPassengerNames[[#This Row],[InParenthesesCleaned]], " ", ""))</f>
        <v>1</v>
      </c>
      <c r="N939">
        <f>FIND("@", SUBSTITUTE(tblPassengerNames[[#This Row],[InParenthesesCleaned]], " ", "@", tblPassengerNames[[#This Row],[P_NSpaces]]))</f>
        <v>6</v>
      </c>
      <c r="O939" t="str">
        <f>IF(tblPassengerNames[[#This Row],[P_NSpaces]] = 0,
    tblPassengerNames[[#This Row],[InParenthesesCleaned]],
    LEFT(tblPassengerNames[[#This Row],[InParenthesesCleaned]], tblPassengerNames[[#This Row],[P_FinalSpacePos]] - 1)
)</f>
        <v>Luise</v>
      </c>
      <c r="P939" t="str">
        <f>IFERROR(tblPassengerNames[[#This Row],[P_Forenames]], tblPassengerNames[[#This Row],[ConvForenames]])</f>
        <v>Luise</v>
      </c>
      <c r="Q939" t="str">
        <f>MID(tblPassengerNames[[#This Row],[Name]], tblPassengerNames[[#This Row],[CommaPos]] + 2, tblPassengerNames[[#This Row],[DotPos]] - tblPassengerNames[[#This Row],[CommaPos]] - 1)</f>
        <v>Mrs.</v>
      </c>
      <c r="R939" t="str">
        <f>LEFT(tblPassengerNames[[#This Row],[Name]], tblPassengerNames[[#This Row],[CommaPos]] - 1)</f>
        <v>Kink-Heilmann</v>
      </c>
    </row>
    <row r="940" spans="2:18" x14ac:dyDescent="0.25">
      <c r="B940" s="21">
        <v>938</v>
      </c>
      <c r="C940" s="21" t="s">
        <v>1072</v>
      </c>
      <c r="D940" s="21" t="s">
        <v>136</v>
      </c>
      <c r="E940">
        <f>FIND(",", tblPassengerNames[[#This Row],[Name]])</f>
        <v>7</v>
      </c>
      <c r="F940">
        <f>FIND(".", tblPassengerNames[[#This Row],[Name]])</f>
        <v>13</v>
      </c>
      <c r="G940" t="e">
        <f>FIND("(", tblPassengerNames[[#This Row],[Name]])</f>
        <v>#VALUE!</v>
      </c>
      <c r="H940" t="e">
        <f>FIND(")", tblPassengerNames[[#This Row],[Name]])</f>
        <v>#VALUE!</v>
      </c>
      <c r="I940">
        <f>IFERROR(tblPassengerNames[[#This Row],[OpenParPos]] - 2, LEN(tblPassengerNames[[#This Row],[Name]]))</f>
        <v>28</v>
      </c>
      <c r="J940" t="str">
        <f>MID(tblPassengerNames[[#This Row],[Name]], tblPassengerNames[[#This Row],[DotPos]] + 2, tblPassengerNames[[#This Row],[EndOfConvFNPos]] - tblPassengerNames[[#This Row],[DotPos]] - 1)</f>
        <v>Gertrud Emilia</v>
      </c>
      <c r="K940" t="e">
        <f>MID(tblPassengerNames[[#This Row],[Name]], tblPassengerNames[[#This Row],[OpenParPos]] + 1, tblPassengerNames[[#This Row],[CloseParPos]] - tblPassengerNames[[#This Row],[OpenParPos]] - 1)</f>
        <v>#VALUE!</v>
      </c>
      <c r="L940" t="e">
        <f>IF(AND(LEFT(tblPassengerNames[[#This Row],[InParentheses]], 1) = "'", RIGHT(tblPassengerNames[[#This Row],[InParentheses]], 1) = "'"),
    #VALUE!,
    tblPassengerNames[[#This Row],[InParentheses]]
)</f>
        <v>#VALUE!</v>
      </c>
      <c r="M940" t="e">
        <f>LEN(tblPassengerNames[[#This Row],[InParenthesesCleaned]]) - LEN(SUBSTITUTE(tblPassengerNames[[#This Row],[InParenthesesCleaned]], " ", ""))</f>
        <v>#VALUE!</v>
      </c>
      <c r="N940" t="e">
        <f>FIND("@", SUBSTITUTE(tblPassengerNames[[#This Row],[InParenthesesCleaned]], " ", "@", tblPassengerNames[[#This Row],[P_NSpaces]]))</f>
        <v>#VALUE!</v>
      </c>
      <c r="O940" t="e">
        <f>IF(tblPassengerNames[[#This Row],[P_NSpaces]] = 0,
    tblPassengerNames[[#This Row],[InParenthesesCleaned]],
    LEFT(tblPassengerNames[[#This Row],[InParenthesesCleaned]], tblPassengerNames[[#This Row],[P_FinalSpacePos]] - 1)
)</f>
        <v>#VALUE!</v>
      </c>
      <c r="P940" t="str">
        <f>IFERROR(tblPassengerNames[[#This Row],[P_Forenames]], tblPassengerNames[[#This Row],[ConvForenames]])</f>
        <v>Gertrud Emilia</v>
      </c>
      <c r="Q940" t="str">
        <f>MID(tblPassengerNames[[#This Row],[Name]], tblPassengerNames[[#This Row],[CommaPos]] + 2, tblPassengerNames[[#This Row],[DotPos]] - tblPassengerNames[[#This Row],[CommaPos]] - 1)</f>
        <v>Miss.</v>
      </c>
      <c r="R940" t="str">
        <f>LEFT(tblPassengerNames[[#This Row],[Name]], tblPassengerNames[[#This Row],[CommaPos]] - 1)</f>
        <v>Klasen</v>
      </c>
    </row>
    <row r="941" spans="2:18" x14ac:dyDescent="0.25">
      <c r="B941" s="21">
        <v>939</v>
      </c>
      <c r="C941" s="21" t="s">
        <v>1073</v>
      </c>
      <c r="D941" s="21" t="s">
        <v>138</v>
      </c>
      <c r="E941">
        <f>FIND(",", tblPassengerNames[[#This Row],[Name]])</f>
        <v>7</v>
      </c>
      <c r="F941">
        <f>FIND(".", tblPassengerNames[[#This Row],[Name]])</f>
        <v>11</v>
      </c>
      <c r="G941" t="e">
        <f>FIND("(", tblPassengerNames[[#This Row],[Name]])</f>
        <v>#VALUE!</v>
      </c>
      <c r="H941" t="e">
        <f>FIND(")", tblPassengerNames[[#This Row],[Name]])</f>
        <v>#VALUE!</v>
      </c>
      <c r="I941">
        <f>IFERROR(tblPassengerNames[[#This Row],[OpenParPos]] - 2, LEN(tblPassengerNames[[#This Row],[Name]]))</f>
        <v>22</v>
      </c>
      <c r="J941" t="str">
        <f>MID(tblPassengerNames[[#This Row],[Name]], tblPassengerNames[[#This Row],[DotPos]] + 2, tblPassengerNames[[#This Row],[EndOfConvFNPos]] - tblPassengerNames[[#This Row],[DotPos]] - 1)</f>
        <v>Klas Albin</v>
      </c>
      <c r="K941" t="e">
        <f>MID(tblPassengerNames[[#This Row],[Name]], tblPassengerNames[[#This Row],[OpenParPos]] + 1, tblPassengerNames[[#This Row],[CloseParPos]] - tblPassengerNames[[#This Row],[OpenParPos]] - 1)</f>
        <v>#VALUE!</v>
      </c>
      <c r="L941" t="e">
        <f>IF(AND(LEFT(tblPassengerNames[[#This Row],[InParentheses]], 1) = "'", RIGHT(tblPassengerNames[[#This Row],[InParentheses]], 1) = "'"),
    #VALUE!,
    tblPassengerNames[[#This Row],[InParentheses]]
)</f>
        <v>#VALUE!</v>
      </c>
      <c r="M941" t="e">
        <f>LEN(tblPassengerNames[[#This Row],[InParenthesesCleaned]]) - LEN(SUBSTITUTE(tblPassengerNames[[#This Row],[InParenthesesCleaned]], " ", ""))</f>
        <v>#VALUE!</v>
      </c>
      <c r="N941" t="e">
        <f>FIND("@", SUBSTITUTE(tblPassengerNames[[#This Row],[InParenthesesCleaned]], " ", "@", tblPassengerNames[[#This Row],[P_NSpaces]]))</f>
        <v>#VALUE!</v>
      </c>
      <c r="O941" t="e">
        <f>IF(tblPassengerNames[[#This Row],[P_NSpaces]] = 0,
    tblPassengerNames[[#This Row],[InParenthesesCleaned]],
    LEFT(tblPassengerNames[[#This Row],[InParenthesesCleaned]], tblPassengerNames[[#This Row],[P_FinalSpacePos]] - 1)
)</f>
        <v>#VALUE!</v>
      </c>
      <c r="P941" t="str">
        <f>IFERROR(tblPassengerNames[[#This Row],[P_Forenames]], tblPassengerNames[[#This Row],[ConvForenames]])</f>
        <v>Klas Albin</v>
      </c>
      <c r="Q941" t="str">
        <f>MID(tblPassengerNames[[#This Row],[Name]], tblPassengerNames[[#This Row],[CommaPos]] + 2, tblPassengerNames[[#This Row],[DotPos]] - tblPassengerNames[[#This Row],[CommaPos]] - 1)</f>
        <v>Mr.</v>
      </c>
      <c r="R941" t="str">
        <f>LEFT(tblPassengerNames[[#This Row],[Name]], tblPassengerNames[[#This Row],[CommaPos]] - 1)</f>
        <v>Klasen</v>
      </c>
    </row>
    <row r="942" spans="2:18" x14ac:dyDescent="0.25">
      <c r="B942" s="21">
        <v>940</v>
      </c>
      <c r="C942" s="21" t="s">
        <v>1074</v>
      </c>
      <c r="D942" s="21" t="s">
        <v>136</v>
      </c>
      <c r="E942">
        <f>FIND(",", tblPassengerNames[[#This Row],[Name]])</f>
        <v>7</v>
      </c>
      <c r="F942">
        <f>FIND(".", tblPassengerNames[[#This Row],[Name]])</f>
        <v>12</v>
      </c>
      <c r="G942">
        <f>FIND("(", tblPassengerNames[[#This Row],[Name]])</f>
        <v>14</v>
      </c>
      <c r="H942">
        <f>FIND(")", tblPassengerNames[[#This Row],[Name]])</f>
        <v>46</v>
      </c>
      <c r="I942">
        <f>IFERROR(tblPassengerNames[[#This Row],[OpenParPos]] - 2, LEN(tblPassengerNames[[#This Row],[Name]]))</f>
        <v>12</v>
      </c>
      <c r="J942" t="e">
        <f>MID(tblPassengerNames[[#This Row],[Name]], tblPassengerNames[[#This Row],[DotPos]] + 2, tblPassengerNames[[#This Row],[EndOfConvFNPos]] - tblPassengerNames[[#This Row],[DotPos]] - 1)</f>
        <v>#VALUE!</v>
      </c>
      <c r="K942" t="str">
        <f>MID(tblPassengerNames[[#This Row],[Name]], tblPassengerNames[[#This Row],[OpenParPos]] + 1, tblPassengerNames[[#This Row],[CloseParPos]] - tblPassengerNames[[#This Row],[OpenParPos]] - 1)</f>
        <v>Hulda Kristina Eugenia Lofqvist</v>
      </c>
      <c r="L942" t="str">
        <f>IF(AND(LEFT(tblPassengerNames[[#This Row],[InParentheses]], 1) = "'", RIGHT(tblPassengerNames[[#This Row],[InParentheses]], 1) = "'"),
    #VALUE!,
    tblPassengerNames[[#This Row],[InParentheses]]
)</f>
        <v>Hulda Kristina Eugenia Lofqvist</v>
      </c>
      <c r="M942">
        <f>LEN(tblPassengerNames[[#This Row],[InParenthesesCleaned]]) - LEN(SUBSTITUTE(tblPassengerNames[[#This Row],[InParenthesesCleaned]], " ", ""))</f>
        <v>3</v>
      </c>
      <c r="N942">
        <f>FIND("@", SUBSTITUTE(tblPassengerNames[[#This Row],[InParenthesesCleaned]], " ", "@", tblPassengerNames[[#This Row],[P_NSpaces]]))</f>
        <v>23</v>
      </c>
      <c r="O942" t="str">
        <f>IF(tblPassengerNames[[#This Row],[P_NSpaces]] = 0,
    tblPassengerNames[[#This Row],[InParenthesesCleaned]],
    LEFT(tblPassengerNames[[#This Row],[InParenthesesCleaned]], tblPassengerNames[[#This Row],[P_FinalSpacePos]] - 1)
)</f>
        <v>Hulda Kristina Eugenia</v>
      </c>
      <c r="P942" t="str">
        <f>IFERROR(tblPassengerNames[[#This Row],[P_Forenames]], tblPassengerNames[[#This Row],[ConvForenames]])</f>
        <v>Hulda Kristina Eugenia</v>
      </c>
      <c r="Q942" t="str">
        <f>MID(tblPassengerNames[[#This Row],[Name]], tblPassengerNames[[#This Row],[CommaPos]] + 2, tblPassengerNames[[#This Row],[DotPos]] - tblPassengerNames[[#This Row],[CommaPos]] - 1)</f>
        <v>Mrs.</v>
      </c>
      <c r="R942" t="str">
        <f>LEFT(tblPassengerNames[[#This Row],[Name]], tblPassengerNames[[#This Row],[CommaPos]] - 1)</f>
        <v>Klasen</v>
      </c>
    </row>
    <row r="943" spans="2:18" x14ac:dyDescent="0.25">
      <c r="B943" s="21">
        <v>941</v>
      </c>
      <c r="C943" s="21" t="s">
        <v>1075</v>
      </c>
      <c r="D943" s="21" t="s">
        <v>138</v>
      </c>
      <c r="E943">
        <f>FIND(",", tblPassengerNames[[#This Row],[Name]])</f>
        <v>7</v>
      </c>
      <c r="F943">
        <f>FIND(".", tblPassengerNames[[#This Row],[Name]])</f>
        <v>11</v>
      </c>
      <c r="G943" t="e">
        <f>FIND("(", tblPassengerNames[[#This Row],[Name]])</f>
        <v>#VALUE!</v>
      </c>
      <c r="H943" t="e">
        <f>FIND(")", tblPassengerNames[[#This Row],[Name]])</f>
        <v>#VALUE!</v>
      </c>
      <c r="I943">
        <f>IFERROR(tblPassengerNames[[#This Row],[OpenParPos]] - 2, LEN(tblPassengerNames[[#This Row],[Name]]))</f>
        <v>19</v>
      </c>
      <c r="J943" t="str">
        <f>MID(tblPassengerNames[[#This Row],[Name]], tblPassengerNames[[#This Row],[DotPos]] + 2, tblPassengerNames[[#This Row],[EndOfConvFNPos]] - tblPassengerNames[[#This Row],[DotPos]] - 1)</f>
        <v>Theodor</v>
      </c>
      <c r="K943" t="e">
        <f>MID(tblPassengerNames[[#This Row],[Name]], tblPassengerNames[[#This Row],[OpenParPos]] + 1, tblPassengerNames[[#This Row],[CloseParPos]] - tblPassengerNames[[#This Row],[OpenParPos]] - 1)</f>
        <v>#VALUE!</v>
      </c>
      <c r="L943" t="e">
        <f>IF(AND(LEFT(tblPassengerNames[[#This Row],[InParentheses]], 1) = "'", RIGHT(tblPassengerNames[[#This Row],[InParentheses]], 1) = "'"),
    #VALUE!,
    tblPassengerNames[[#This Row],[InParentheses]]
)</f>
        <v>#VALUE!</v>
      </c>
      <c r="M943" t="e">
        <f>LEN(tblPassengerNames[[#This Row],[InParenthesesCleaned]]) - LEN(SUBSTITUTE(tblPassengerNames[[#This Row],[InParenthesesCleaned]], " ", ""))</f>
        <v>#VALUE!</v>
      </c>
      <c r="N943" t="e">
        <f>FIND("@", SUBSTITUTE(tblPassengerNames[[#This Row],[InParenthesesCleaned]], " ", "@", tblPassengerNames[[#This Row],[P_NSpaces]]))</f>
        <v>#VALUE!</v>
      </c>
      <c r="O943" t="e">
        <f>IF(tblPassengerNames[[#This Row],[P_NSpaces]] = 0,
    tblPassengerNames[[#This Row],[InParenthesesCleaned]],
    LEFT(tblPassengerNames[[#This Row],[InParenthesesCleaned]], tblPassengerNames[[#This Row],[P_FinalSpacePos]] - 1)
)</f>
        <v>#VALUE!</v>
      </c>
      <c r="P943" t="str">
        <f>IFERROR(tblPassengerNames[[#This Row],[P_Forenames]], tblPassengerNames[[#This Row],[ConvForenames]])</f>
        <v>Theodor</v>
      </c>
      <c r="Q943" t="str">
        <f>MID(tblPassengerNames[[#This Row],[Name]], tblPassengerNames[[#This Row],[CommaPos]] + 2, tblPassengerNames[[#This Row],[DotPos]] - tblPassengerNames[[#This Row],[CommaPos]] - 1)</f>
        <v>Mr.</v>
      </c>
      <c r="R943" t="str">
        <f>LEFT(tblPassengerNames[[#This Row],[Name]], tblPassengerNames[[#This Row],[CommaPos]] - 1)</f>
        <v>Kraeff</v>
      </c>
    </row>
    <row r="944" spans="2:18" x14ac:dyDescent="0.25">
      <c r="B944" s="21">
        <v>942</v>
      </c>
      <c r="C944" s="21" t="s">
        <v>1076</v>
      </c>
      <c r="D944" s="21" t="s">
        <v>138</v>
      </c>
      <c r="E944">
        <f>FIND(",", tblPassengerNames[[#This Row],[Name]])</f>
        <v>10</v>
      </c>
      <c r="F944">
        <f>FIND(".", tblPassengerNames[[#This Row],[Name]])</f>
        <v>14</v>
      </c>
      <c r="G944" t="e">
        <f>FIND("(", tblPassengerNames[[#This Row],[Name]])</f>
        <v>#VALUE!</v>
      </c>
      <c r="H944" t="e">
        <f>FIND(")", tblPassengerNames[[#This Row],[Name]])</f>
        <v>#VALUE!</v>
      </c>
      <c r="I944">
        <f>IFERROR(tblPassengerNames[[#This Row],[OpenParPos]] - 2, LEN(tblPassengerNames[[#This Row],[Name]]))</f>
        <v>21</v>
      </c>
      <c r="J944" t="str">
        <f>MID(tblPassengerNames[[#This Row],[Name]], tblPassengerNames[[#This Row],[DotPos]] + 2, tblPassengerNames[[#This Row],[EndOfConvFNPos]] - tblPassengerNames[[#This Row],[DotPos]] - 1)</f>
        <v>Neshan</v>
      </c>
      <c r="K944" t="e">
        <f>MID(tblPassengerNames[[#This Row],[Name]], tblPassengerNames[[#This Row],[OpenParPos]] + 1, tblPassengerNames[[#This Row],[CloseParPos]] - tblPassengerNames[[#This Row],[OpenParPos]] - 1)</f>
        <v>#VALUE!</v>
      </c>
      <c r="L944" t="e">
        <f>IF(AND(LEFT(tblPassengerNames[[#This Row],[InParentheses]], 1) = "'", RIGHT(tblPassengerNames[[#This Row],[InParentheses]], 1) = "'"),
    #VALUE!,
    tblPassengerNames[[#This Row],[InParentheses]]
)</f>
        <v>#VALUE!</v>
      </c>
      <c r="M944" t="e">
        <f>LEN(tblPassengerNames[[#This Row],[InParenthesesCleaned]]) - LEN(SUBSTITUTE(tblPassengerNames[[#This Row],[InParenthesesCleaned]], " ", ""))</f>
        <v>#VALUE!</v>
      </c>
      <c r="N944" t="e">
        <f>FIND("@", SUBSTITUTE(tblPassengerNames[[#This Row],[InParenthesesCleaned]], " ", "@", tblPassengerNames[[#This Row],[P_NSpaces]]))</f>
        <v>#VALUE!</v>
      </c>
      <c r="O944" t="e">
        <f>IF(tblPassengerNames[[#This Row],[P_NSpaces]] = 0,
    tblPassengerNames[[#This Row],[InParenthesesCleaned]],
    LEFT(tblPassengerNames[[#This Row],[InParenthesesCleaned]], tblPassengerNames[[#This Row],[P_FinalSpacePos]] - 1)
)</f>
        <v>#VALUE!</v>
      </c>
      <c r="P944" t="str">
        <f>IFERROR(tblPassengerNames[[#This Row],[P_Forenames]], tblPassengerNames[[#This Row],[ConvForenames]])</f>
        <v>Neshan</v>
      </c>
      <c r="Q944" t="str">
        <f>MID(tblPassengerNames[[#This Row],[Name]], tblPassengerNames[[#This Row],[CommaPos]] + 2, tblPassengerNames[[#This Row],[DotPos]] - tblPassengerNames[[#This Row],[CommaPos]] - 1)</f>
        <v>Mr.</v>
      </c>
      <c r="R944" t="str">
        <f>LEFT(tblPassengerNames[[#This Row],[Name]], tblPassengerNames[[#This Row],[CommaPos]] - 1)</f>
        <v>Krekorian</v>
      </c>
    </row>
    <row r="945" spans="2:18" x14ac:dyDescent="0.25">
      <c r="B945" s="21">
        <v>943</v>
      </c>
      <c r="C945" s="21" t="s">
        <v>1077</v>
      </c>
      <c r="D945" s="21" t="s">
        <v>138</v>
      </c>
      <c r="E945">
        <f>FIND(",", tblPassengerNames[[#This Row],[Name]])</f>
        <v>7</v>
      </c>
      <c r="F945">
        <f>FIND(".", tblPassengerNames[[#This Row],[Name]])</f>
        <v>11</v>
      </c>
      <c r="G945" t="e">
        <f>FIND("(", tblPassengerNames[[#This Row],[Name]])</f>
        <v>#VALUE!</v>
      </c>
      <c r="H945" t="e">
        <f>FIND(")", tblPassengerNames[[#This Row],[Name]])</f>
        <v>#VALUE!</v>
      </c>
      <c r="I945">
        <f>IFERROR(tblPassengerNames[[#This Row],[OpenParPos]] - 2, LEN(tblPassengerNames[[#This Row],[Name]]))</f>
        <v>18</v>
      </c>
      <c r="J945" t="str">
        <f>MID(tblPassengerNames[[#This Row],[Name]], tblPassengerNames[[#This Row],[DotPos]] + 2, tblPassengerNames[[#This Row],[EndOfConvFNPos]] - tblPassengerNames[[#This Row],[DotPos]] - 1)</f>
        <v>Sarkis</v>
      </c>
      <c r="K945" t="e">
        <f>MID(tblPassengerNames[[#This Row],[Name]], tblPassengerNames[[#This Row],[OpenParPos]] + 1, tblPassengerNames[[#This Row],[CloseParPos]] - tblPassengerNames[[#This Row],[OpenParPos]] - 1)</f>
        <v>#VALUE!</v>
      </c>
      <c r="L945" t="e">
        <f>IF(AND(LEFT(tblPassengerNames[[#This Row],[InParentheses]], 1) = "'", RIGHT(tblPassengerNames[[#This Row],[InParentheses]], 1) = "'"),
    #VALUE!,
    tblPassengerNames[[#This Row],[InParentheses]]
)</f>
        <v>#VALUE!</v>
      </c>
      <c r="M945" t="e">
        <f>LEN(tblPassengerNames[[#This Row],[InParenthesesCleaned]]) - LEN(SUBSTITUTE(tblPassengerNames[[#This Row],[InParenthesesCleaned]], " ", ""))</f>
        <v>#VALUE!</v>
      </c>
      <c r="N945" t="e">
        <f>FIND("@", SUBSTITUTE(tblPassengerNames[[#This Row],[InParenthesesCleaned]], " ", "@", tblPassengerNames[[#This Row],[P_NSpaces]]))</f>
        <v>#VALUE!</v>
      </c>
      <c r="O945" t="e">
        <f>IF(tblPassengerNames[[#This Row],[P_NSpaces]] = 0,
    tblPassengerNames[[#This Row],[InParenthesesCleaned]],
    LEFT(tblPassengerNames[[#This Row],[InParenthesesCleaned]], tblPassengerNames[[#This Row],[P_FinalSpacePos]] - 1)
)</f>
        <v>#VALUE!</v>
      </c>
      <c r="P945" t="str">
        <f>IFERROR(tblPassengerNames[[#This Row],[P_Forenames]], tblPassengerNames[[#This Row],[ConvForenames]])</f>
        <v>Sarkis</v>
      </c>
      <c r="Q945" t="str">
        <f>MID(tblPassengerNames[[#This Row],[Name]], tblPassengerNames[[#This Row],[CommaPos]] + 2, tblPassengerNames[[#This Row],[DotPos]] - tblPassengerNames[[#This Row],[CommaPos]] - 1)</f>
        <v>Mr.</v>
      </c>
      <c r="R945" t="str">
        <f>LEFT(tblPassengerNames[[#This Row],[Name]], tblPassengerNames[[#This Row],[CommaPos]] - 1)</f>
        <v>Lahoud</v>
      </c>
    </row>
    <row r="946" spans="2:18" x14ac:dyDescent="0.25">
      <c r="B946" s="21">
        <v>944</v>
      </c>
      <c r="C946" s="21" t="s">
        <v>1078</v>
      </c>
      <c r="D946" s="21" t="s">
        <v>136</v>
      </c>
      <c r="E946">
        <f>FIND(",", tblPassengerNames[[#This Row],[Name]])</f>
        <v>9</v>
      </c>
      <c r="F946">
        <f>FIND(".", tblPassengerNames[[#This Row],[Name]])</f>
        <v>15</v>
      </c>
      <c r="G946" t="e">
        <f>FIND("(", tblPassengerNames[[#This Row],[Name]])</f>
        <v>#VALUE!</v>
      </c>
      <c r="H946" t="e">
        <f>FIND(")", tblPassengerNames[[#This Row],[Name]])</f>
        <v>#VALUE!</v>
      </c>
      <c r="I946">
        <f>IFERROR(tblPassengerNames[[#This Row],[OpenParPos]] - 2, LEN(tblPassengerNames[[#This Row],[Name]]))</f>
        <v>30</v>
      </c>
      <c r="J946" t="str">
        <f>MID(tblPassengerNames[[#This Row],[Name]], tblPassengerNames[[#This Row],[DotPos]] + 2, tblPassengerNames[[#This Row],[EndOfConvFNPos]] - tblPassengerNames[[#This Row],[DotPos]] - 1)</f>
        <v>Kristina Sofia</v>
      </c>
      <c r="K946" t="e">
        <f>MID(tblPassengerNames[[#This Row],[Name]], tblPassengerNames[[#This Row],[OpenParPos]] + 1, tblPassengerNames[[#This Row],[CloseParPos]] - tblPassengerNames[[#This Row],[OpenParPos]] - 1)</f>
        <v>#VALUE!</v>
      </c>
      <c r="L946" t="e">
        <f>IF(AND(LEFT(tblPassengerNames[[#This Row],[InParentheses]], 1) = "'", RIGHT(tblPassengerNames[[#This Row],[InParentheses]], 1) = "'"),
    #VALUE!,
    tblPassengerNames[[#This Row],[InParentheses]]
)</f>
        <v>#VALUE!</v>
      </c>
      <c r="M946" t="e">
        <f>LEN(tblPassengerNames[[#This Row],[InParenthesesCleaned]]) - LEN(SUBSTITUTE(tblPassengerNames[[#This Row],[InParenthesesCleaned]], " ", ""))</f>
        <v>#VALUE!</v>
      </c>
      <c r="N946" t="e">
        <f>FIND("@", SUBSTITUTE(tblPassengerNames[[#This Row],[InParenthesesCleaned]], " ", "@", tblPassengerNames[[#This Row],[P_NSpaces]]))</f>
        <v>#VALUE!</v>
      </c>
      <c r="O946" t="e">
        <f>IF(tblPassengerNames[[#This Row],[P_NSpaces]] = 0,
    tblPassengerNames[[#This Row],[InParenthesesCleaned]],
    LEFT(tblPassengerNames[[#This Row],[InParenthesesCleaned]], tblPassengerNames[[#This Row],[P_FinalSpacePos]] - 1)
)</f>
        <v>#VALUE!</v>
      </c>
      <c r="P946" t="str">
        <f>IFERROR(tblPassengerNames[[#This Row],[P_Forenames]], tblPassengerNames[[#This Row],[ConvForenames]])</f>
        <v>Kristina Sofia</v>
      </c>
      <c r="Q946" t="str">
        <f>MID(tblPassengerNames[[#This Row],[Name]], tblPassengerNames[[#This Row],[CommaPos]] + 2, tblPassengerNames[[#This Row],[DotPos]] - tblPassengerNames[[#This Row],[CommaPos]] - 1)</f>
        <v>Miss.</v>
      </c>
      <c r="R946" t="str">
        <f>LEFT(tblPassengerNames[[#This Row],[Name]], tblPassengerNames[[#This Row],[CommaPos]] - 1)</f>
        <v>Laitinen</v>
      </c>
    </row>
    <row r="947" spans="2:18" x14ac:dyDescent="0.25">
      <c r="B947" s="21">
        <v>945</v>
      </c>
      <c r="C947" s="21" t="s">
        <v>1079</v>
      </c>
      <c r="D947" s="21" t="s">
        <v>138</v>
      </c>
      <c r="E947">
        <f>FIND(",", tblPassengerNames[[#This Row],[Name]])</f>
        <v>7</v>
      </c>
      <c r="F947">
        <f>FIND(".", tblPassengerNames[[#This Row],[Name]])</f>
        <v>11</v>
      </c>
      <c r="G947" t="e">
        <f>FIND("(", tblPassengerNames[[#This Row],[Name]])</f>
        <v>#VALUE!</v>
      </c>
      <c r="H947" t="e">
        <f>FIND(")", tblPassengerNames[[#This Row],[Name]])</f>
        <v>#VALUE!</v>
      </c>
      <c r="I947">
        <f>IFERROR(tblPassengerNames[[#This Row],[OpenParPos]] - 2, LEN(tblPassengerNames[[#This Row],[Name]]))</f>
        <v>18</v>
      </c>
      <c r="J947" t="str">
        <f>MID(tblPassengerNames[[#This Row],[Name]], tblPassengerNames[[#This Row],[DotPos]] + 2, tblPassengerNames[[#This Row],[EndOfConvFNPos]] - tblPassengerNames[[#This Row],[DotPos]] - 1)</f>
        <v>Kristo</v>
      </c>
      <c r="K947" t="e">
        <f>MID(tblPassengerNames[[#This Row],[Name]], tblPassengerNames[[#This Row],[OpenParPos]] + 1, tblPassengerNames[[#This Row],[CloseParPos]] - tblPassengerNames[[#This Row],[OpenParPos]] - 1)</f>
        <v>#VALUE!</v>
      </c>
      <c r="L947" t="e">
        <f>IF(AND(LEFT(tblPassengerNames[[#This Row],[InParentheses]], 1) = "'", RIGHT(tblPassengerNames[[#This Row],[InParentheses]], 1) = "'"),
    #VALUE!,
    tblPassengerNames[[#This Row],[InParentheses]]
)</f>
        <v>#VALUE!</v>
      </c>
      <c r="M947" t="e">
        <f>LEN(tblPassengerNames[[#This Row],[InParenthesesCleaned]]) - LEN(SUBSTITUTE(tblPassengerNames[[#This Row],[InParenthesesCleaned]], " ", ""))</f>
        <v>#VALUE!</v>
      </c>
      <c r="N947" t="e">
        <f>FIND("@", SUBSTITUTE(tblPassengerNames[[#This Row],[InParenthesesCleaned]], " ", "@", tblPassengerNames[[#This Row],[P_NSpaces]]))</f>
        <v>#VALUE!</v>
      </c>
      <c r="O947" t="e">
        <f>IF(tblPassengerNames[[#This Row],[P_NSpaces]] = 0,
    tblPassengerNames[[#This Row],[InParenthesesCleaned]],
    LEFT(tblPassengerNames[[#This Row],[InParenthesesCleaned]], tblPassengerNames[[#This Row],[P_FinalSpacePos]] - 1)
)</f>
        <v>#VALUE!</v>
      </c>
      <c r="P947" t="str">
        <f>IFERROR(tblPassengerNames[[#This Row],[P_Forenames]], tblPassengerNames[[#This Row],[ConvForenames]])</f>
        <v>Kristo</v>
      </c>
      <c r="Q947" t="str">
        <f>MID(tblPassengerNames[[#This Row],[Name]], tblPassengerNames[[#This Row],[CommaPos]] + 2, tblPassengerNames[[#This Row],[DotPos]] - tblPassengerNames[[#This Row],[CommaPos]] - 1)</f>
        <v>Mr.</v>
      </c>
      <c r="R947" t="str">
        <f>LEFT(tblPassengerNames[[#This Row],[Name]], tblPassengerNames[[#This Row],[CommaPos]] - 1)</f>
        <v>Laleff</v>
      </c>
    </row>
    <row r="948" spans="2:18" x14ac:dyDescent="0.25">
      <c r="B948" s="21">
        <v>946</v>
      </c>
      <c r="C948" s="21" t="s">
        <v>1080</v>
      </c>
      <c r="D948" s="21" t="s">
        <v>138</v>
      </c>
      <c r="E948">
        <f>FIND(",", tblPassengerNames[[#This Row],[Name]])</f>
        <v>4</v>
      </c>
      <c r="F948">
        <f>FIND(".", tblPassengerNames[[#This Row],[Name]])</f>
        <v>8</v>
      </c>
      <c r="G948" t="e">
        <f>FIND("(", tblPassengerNames[[#This Row],[Name]])</f>
        <v>#VALUE!</v>
      </c>
      <c r="H948" t="e">
        <f>FIND(")", tblPassengerNames[[#This Row],[Name]])</f>
        <v>#VALUE!</v>
      </c>
      <c r="I948">
        <f>IFERROR(tblPassengerNames[[#This Row],[OpenParPos]] - 2, LEN(tblPassengerNames[[#This Row],[Name]]))</f>
        <v>12</v>
      </c>
      <c r="J948" t="str">
        <f>MID(tblPassengerNames[[#This Row],[Name]], tblPassengerNames[[#This Row],[DotPos]] + 2, tblPassengerNames[[#This Row],[EndOfConvFNPos]] - tblPassengerNames[[#This Row],[DotPos]] - 1)</f>
        <v>Ali</v>
      </c>
      <c r="K948" t="e">
        <f>MID(tblPassengerNames[[#This Row],[Name]], tblPassengerNames[[#This Row],[OpenParPos]] + 1, tblPassengerNames[[#This Row],[CloseParPos]] - tblPassengerNames[[#This Row],[OpenParPos]] - 1)</f>
        <v>#VALUE!</v>
      </c>
      <c r="L948" t="e">
        <f>IF(AND(LEFT(tblPassengerNames[[#This Row],[InParentheses]], 1) = "'", RIGHT(tblPassengerNames[[#This Row],[InParentheses]], 1) = "'"),
    #VALUE!,
    tblPassengerNames[[#This Row],[InParentheses]]
)</f>
        <v>#VALUE!</v>
      </c>
      <c r="M948" t="e">
        <f>LEN(tblPassengerNames[[#This Row],[InParenthesesCleaned]]) - LEN(SUBSTITUTE(tblPassengerNames[[#This Row],[InParenthesesCleaned]], " ", ""))</f>
        <v>#VALUE!</v>
      </c>
      <c r="N948" t="e">
        <f>FIND("@", SUBSTITUTE(tblPassengerNames[[#This Row],[InParenthesesCleaned]], " ", "@", tblPassengerNames[[#This Row],[P_NSpaces]]))</f>
        <v>#VALUE!</v>
      </c>
      <c r="O948" t="e">
        <f>IF(tblPassengerNames[[#This Row],[P_NSpaces]] = 0,
    tblPassengerNames[[#This Row],[InParenthesesCleaned]],
    LEFT(tblPassengerNames[[#This Row],[InParenthesesCleaned]], tblPassengerNames[[#This Row],[P_FinalSpacePos]] - 1)
)</f>
        <v>#VALUE!</v>
      </c>
      <c r="P948" t="str">
        <f>IFERROR(tblPassengerNames[[#This Row],[P_Forenames]], tblPassengerNames[[#This Row],[ConvForenames]])</f>
        <v>Ali</v>
      </c>
      <c r="Q948" t="str">
        <f>MID(tblPassengerNames[[#This Row],[Name]], tblPassengerNames[[#This Row],[CommaPos]] + 2, tblPassengerNames[[#This Row],[DotPos]] - tblPassengerNames[[#This Row],[CommaPos]] - 1)</f>
        <v>Mr.</v>
      </c>
      <c r="R948" t="str">
        <f>LEFT(tblPassengerNames[[#This Row],[Name]], tblPassengerNames[[#This Row],[CommaPos]] - 1)</f>
        <v>Lam</v>
      </c>
    </row>
    <row r="949" spans="2:18" x14ac:dyDescent="0.25">
      <c r="B949" s="21">
        <v>947</v>
      </c>
      <c r="C949" s="21" t="s">
        <v>1081</v>
      </c>
      <c r="D949" s="21" t="s">
        <v>138</v>
      </c>
      <c r="E949">
        <f>FIND(",", tblPassengerNames[[#This Row],[Name]])</f>
        <v>4</v>
      </c>
      <c r="F949">
        <f>FIND(".", tblPassengerNames[[#This Row],[Name]])</f>
        <v>8</v>
      </c>
      <c r="G949" t="e">
        <f>FIND("(", tblPassengerNames[[#This Row],[Name]])</f>
        <v>#VALUE!</v>
      </c>
      <c r="H949" t="e">
        <f>FIND(")", tblPassengerNames[[#This Row],[Name]])</f>
        <v>#VALUE!</v>
      </c>
      <c r="I949">
        <f>IFERROR(tblPassengerNames[[#This Row],[OpenParPos]] - 2, LEN(tblPassengerNames[[#This Row],[Name]]))</f>
        <v>12</v>
      </c>
      <c r="J949" t="str">
        <f>MID(tblPassengerNames[[#This Row],[Name]], tblPassengerNames[[#This Row],[DotPos]] + 2, tblPassengerNames[[#This Row],[EndOfConvFNPos]] - tblPassengerNames[[#This Row],[DotPos]] - 1)</f>
        <v>Len</v>
      </c>
      <c r="K949" t="e">
        <f>MID(tblPassengerNames[[#This Row],[Name]], tblPassengerNames[[#This Row],[OpenParPos]] + 1, tblPassengerNames[[#This Row],[CloseParPos]] - tblPassengerNames[[#This Row],[OpenParPos]] - 1)</f>
        <v>#VALUE!</v>
      </c>
      <c r="L949" t="e">
        <f>IF(AND(LEFT(tblPassengerNames[[#This Row],[InParentheses]], 1) = "'", RIGHT(tblPassengerNames[[#This Row],[InParentheses]], 1) = "'"),
    #VALUE!,
    tblPassengerNames[[#This Row],[InParentheses]]
)</f>
        <v>#VALUE!</v>
      </c>
      <c r="M949" t="e">
        <f>LEN(tblPassengerNames[[#This Row],[InParenthesesCleaned]]) - LEN(SUBSTITUTE(tblPassengerNames[[#This Row],[InParenthesesCleaned]], " ", ""))</f>
        <v>#VALUE!</v>
      </c>
      <c r="N949" t="e">
        <f>FIND("@", SUBSTITUTE(tblPassengerNames[[#This Row],[InParenthesesCleaned]], " ", "@", tblPassengerNames[[#This Row],[P_NSpaces]]))</f>
        <v>#VALUE!</v>
      </c>
      <c r="O949" t="e">
        <f>IF(tblPassengerNames[[#This Row],[P_NSpaces]] = 0,
    tblPassengerNames[[#This Row],[InParenthesesCleaned]],
    LEFT(tblPassengerNames[[#This Row],[InParenthesesCleaned]], tblPassengerNames[[#This Row],[P_FinalSpacePos]] - 1)
)</f>
        <v>#VALUE!</v>
      </c>
      <c r="P949" t="str">
        <f>IFERROR(tblPassengerNames[[#This Row],[P_Forenames]], tblPassengerNames[[#This Row],[ConvForenames]])</f>
        <v>Len</v>
      </c>
      <c r="Q949" t="str">
        <f>MID(tblPassengerNames[[#This Row],[Name]], tblPassengerNames[[#This Row],[CommaPos]] + 2, tblPassengerNames[[#This Row],[DotPos]] - tblPassengerNames[[#This Row],[CommaPos]] - 1)</f>
        <v>Mr.</v>
      </c>
      <c r="R949" t="str">
        <f>LEFT(tblPassengerNames[[#This Row],[Name]], tblPassengerNames[[#This Row],[CommaPos]] - 1)</f>
        <v>Lam</v>
      </c>
    </row>
    <row r="950" spans="2:18" x14ac:dyDescent="0.25">
      <c r="B950" s="21">
        <v>948</v>
      </c>
      <c r="C950" s="21" t="s">
        <v>1082</v>
      </c>
      <c r="D950" s="21" t="s">
        <v>136</v>
      </c>
      <c r="E950">
        <f>FIND(",", tblPassengerNames[[#This Row],[Name]])</f>
        <v>11</v>
      </c>
      <c r="F950">
        <f>FIND(".", tblPassengerNames[[#This Row],[Name]])</f>
        <v>17</v>
      </c>
      <c r="G950" t="e">
        <f>FIND("(", tblPassengerNames[[#This Row],[Name]])</f>
        <v>#VALUE!</v>
      </c>
      <c r="H950" t="e">
        <f>FIND(")", tblPassengerNames[[#This Row],[Name]])</f>
        <v>#VALUE!</v>
      </c>
      <c r="I950">
        <f>IFERROR(tblPassengerNames[[#This Row],[OpenParPos]] - 2, LEN(tblPassengerNames[[#This Row],[Name]]))</f>
        <v>31</v>
      </c>
      <c r="J950" t="str">
        <f>MID(tblPassengerNames[[#This Row],[Name]], tblPassengerNames[[#This Row],[DotPos]] + 2, tblPassengerNames[[#This Row],[EndOfConvFNPos]] - tblPassengerNames[[#This Row],[DotPos]] - 1)</f>
        <v>Aurora Adelia</v>
      </c>
      <c r="K950" t="e">
        <f>MID(tblPassengerNames[[#This Row],[Name]], tblPassengerNames[[#This Row],[OpenParPos]] + 1, tblPassengerNames[[#This Row],[CloseParPos]] - tblPassengerNames[[#This Row],[OpenParPos]] - 1)</f>
        <v>#VALUE!</v>
      </c>
      <c r="L950" t="e">
        <f>IF(AND(LEFT(tblPassengerNames[[#This Row],[InParentheses]], 1) = "'", RIGHT(tblPassengerNames[[#This Row],[InParentheses]], 1) = "'"),
    #VALUE!,
    tblPassengerNames[[#This Row],[InParentheses]]
)</f>
        <v>#VALUE!</v>
      </c>
      <c r="M950" t="e">
        <f>LEN(tblPassengerNames[[#This Row],[InParenthesesCleaned]]) - LEN(SUBSTITUTE(tblPassengerNames[[#This Row],[InParenthesesCleaned]], " ", ""))</f>
        <v>#VALUE!</v>
      </c>
      <c r="N950" t="e">
        <f>FIND("@", SUBSTITUTE(tblPassengerNames[[#This Row],[InParenthesesCleaned]], " ", "@", tblPassengerNames[[#This Row],[P_NSpaces]]))</f>
        <v>#VALUE!</v>
      </c>
      <c r="O950" t="e">
        <f>IF(tblPassengerNames[[#This Row],[P_NSpaces]] = 0,
    tblPassengerNames[[#This Row],[InParenthesesCleaned]],
    LEFT(tblPassengerNames[[#This Row],[InParenthesesCleaned]], tblPassengerNames[[#This Row],[P_FinalSpacePos]] - 1)
)</f>
        <v>#VALUE!</v>
      </c>
      <c r="P950" t="str">
        <f>IFERROR(tblPassengerNames[[#This Row],[P_Forenames]], tblPassengerNames[[#This Row],[ConvForenames]])</f>
        <v>Aurora Adelia</v>
      </c>
      <c r="Q950" t="str">
        <f>MID(tblPassengerNames[[#This Row],[Name]], tblPassengerNames[[#This Row],[CommaPos]] + 2, tblPassengerNames[[#This Row],[DotPos]] - tblPassengerNames[[#This Row],[CommaPos]] - 1)</f>
        <v>Miss.</v>
      </c>
      <c r="R950" t="str">
        <f>LEFT(tblPassengerNames[[#This Row],[Name]], tblPassengerNames[[#This Row],[CommaPos]] - 1)</f>
        <v>Landergren</v>
      </c>
    </row>
    <row r="951" spans="2:18" x14ac:dyDescent="0.25">
      <c r="B951" s="21">
        <v>949</v>
      </c>
      <c r="C951" s="21" t="s">
        <v>1083</v>
      </c>
      <c r="D951" s="21" t="s">
        <v>138</v>
      </c>
      <c r="E951">
        <f>FIND(",", tblPassengerNames[[#This Row],[Name]])</f>
        <v>5</v>
      </c>
      <c r="F951">
        <f>FIND(".", tblPassengerNames[[#This Row],[Name]])</f>
        <v>9</v>
      </c>
      <c r="G951" t="e">
        <f>FIND("(", tblPassengerNames[[#This Row],[Name]])</f>
        <v>#VALUE!</v>
      </c>
      <c r="H951" t="e">
        <f>FIND(")", tblPassengerNames[[#This Row],[Name]])</f>
        <v>#VALUE!</v>
      </c>
      <c r="I951">
        <f>IFERROR(tblPassengerNames[[#This Row],[OpenParPos]] - 2, LEN(tblPassengerNames[[#This Row],[Name]]))</f>
        <v>17</v>
      </c>
      <c r="J951" t="str">
        <f>MID(tblPassengerNames[[#This Row],[Name]], tblPassengerNames[[#This Row],[DotPos]] + 2, tblPassengerNames[[#This Row],[EndOfConvFNPos]] - tblPassengerNames[[#This Row],[DotPos]] - 1)</f>
        <v>Patrick</v>
      </c>
      <c r="K951" t="e">
        <f>MID(tblPassengerNames[[#This Row],[Name]], tblPassengerNames[[#This Row],[OpenParPos]] + 1, tblPassengerNames[[#This Row],[CloseParPos]] - tblPassengerNames[[#This Row],[OpenParPos]] - 1)</f>
        <v>#VALUE!</v>
      </c>
      <c r="L951" t="e">
        <f>IF(AND(LEFT(tblPassengerNames[[#This Row],[InParentheses]], 1) = "'", RIGHT(tblPassengerNames[[#This Row],[InParentheses]], 1) = "'"),
    #VALUE!,
    tblPassengerNames[[#This Row],[InParentheses]]
)</f>
        <v>#VALUE!</v>
      </c>
      <c r="M951" t="e">
        <f>LEN(tblPassengerNames[[#This Row],[InParenthesesCleaned]]) - LEN(SUBSTITUTE(tblPassengerNames[[#This Row],[InParenthesesCleaned]], " ", ""))</f>
        <v>#VALUE!</v>
      </c>
      <c r="N951" t="e">
        <f>FIND("@", SUBSTITUTE(tblPassengerNames[[#This Row],[InParenthesesCleaned]], " ", "@", tblPassengerNames[[#This Row],[P_NSpaces]]))</f>
        <v>#VALUE!</v>
      </c>
      <c r="O951" t="e">
        <f>IF(tblPassengerNames[[#This Row],[P_NSpaces]] = 0,
    tblPassengerNames[[#This Row],[InParenthesesCleaned]],
    LEFT(tblPassengerNames[[#This Row],[InParenthesesCleaned]], tblPassengerNames[[#This Row],[P_FinalSpacePos]] - 1)
)</f>
        <v>#VALUE!</v>
      </c>
      <c r="P951" t="str">
        <f>IFERROR(tblPassengerNames[[#This Row],[P_Forenames]], tblPassengerNames[[#This Row],[ConvForenames]])</f>
        <v>Patrick</v>
      </c>
      <c r="Q951" t="str">
        <f>MID(tblPassengerNames[[#This Row],[Name]], tblPassengerNames[[#This Row],[CommaPos]] + 2, tblPassengerNames[[#This Row],[DotPos]] - tblPassengerNames[[#This Row],[CommaPos]] - 1)</f>
        <v>Mr.</v>
      </c>
      <c r="R951" t="str">
        <f>LEFT(tblPassengerNames[[#This Row],[Name]], tblPassengerNames[[#This Row],[CommaPos]] - 1)</f>
        <v>Lane</v>
      </c>
    </row>
    <row r="952" spans="2:18" x14ac:dyDescent="0.25">
      <c r="B952" s="21">
        <v>950</v>
      </c>
      <c r="C952" s="21" t="s">
        <v>1084</v>
      </c>
      <c r="D952" s="21" t="s">
        <v>138</v>
      </c>
      <c r="E952">
        <f>FIND(",", tblPassengerNames[[#This Row],[Name]])</f>
        <v>5</v>
      </c>
      <c r="F952">
        <f>FIND(".", tblPassengerNames[[#This Row],[Name]])</f>
        <v>9</v>
      </c>
      <c r="G952" t="e">
        <f>FIND("(", tblPassengerNames[[#This Row],[Name]])</f>
        <v>#VALUE!</v>
      </c>
      <c r="H952" t="e">
        <f>FIND(")", tblPassengerNames[[#This Row],[Name]])</f>
        <v>#VALUE!</v>
      </c>
      <c r="I952">
        <f>IFERROR(tblPassengerNames[[#This Row],[OpenParPos]] - 2, LEN(tblPassengerNames[[#This Row],[Name]]))</f>
        <v>14</v>
      </c>
      <c r="J952" t="str">
        <f>MID(tblPassengerNames[[#This Row],[Name]], tblPassengerNames[[#This Row],[DotPos]] + 2, tblPassengerNames[[#This Row],[EndOfConvFNPos]] - tblPassengerNames[[#This Row],[DotPos]] - 1)</f>
        <v>Fang</v>
      </c>
      <c r="K952" t="e">
        <f>MID(tblPassengerNames[[#This Row],[Name]], tblPassengerNames[[#This Row],[OpenParPos]] + 1, tblPassengerNames[[#This Row],[CloseParPos]] - tblPassengerNames[[#This Row],[OpenParPos]] - 1)</f>
        <v>#VALUE!</v>
      </c>
      <c r="L952" t="e">
        <f>IF(AND(LEFT(tblPassengerNames[[#This Row],[InParentheses]], 1) = "'", RIGHT(tblPassengerNames[[#This Row],[InParentheses]], 1) = "'"),
    #VALUE!,
    tblPassengerNames[[#This Row],[InParentheses]]
)</f>
        <v>#VALUE!</v>
      </c>
      <c r="M952" t="e">
        <f>LEN(tblPassengerNames[[#This Row],[InParenthesesCleaned]]) - LEN(SUBSTITUTE(tblPassengerNames[[#This Row],[InParenthesesCleaned]], " ", ""))</f>
        <v>#VALUE!</v>
      </c>
      <c r="N952" t="e">
        <f>FIND("@", SUBSTITUTE(tblPassengerNames[[#This Row],[InParenthesesCleaned]], " ", "@", tblPassengerNames[[#This Row],[P_NSpaces]]))</f>
        <v>#VALUE!</v>
      </c>
      <c r="O952" t="e">
        <f>IF(tblPassengerNames[[#This Row],[P_NSpaces]] = 0,
    tblPassengerNames[[#This Row],[InParenthesesCleaned]],
    LEFT(tblPassengerNames[[#This Row],[InParenthesesCleaned]], tblPassengerNames[[#This Row],[P_FinalSpacePos]] - 1)
)</f>
        <v>#VALUE!</v>
      </c>
      <c r="P952" t="str">
        <f>IFERROR(tblPassengerNames[[#This Row],[P_Forenames]], tblPassengerNames[[#This Row],[ConvForenames]])</f>
        <v>Fang</v>
      </c>
      <c r="Q952" t="str">
        <f>MID(tblPassengerNames[[#This Row],[Name]], tblPassengerNames[[#This Row],[CommaPos]] + 2, tblPassengerNames[[#This Row],[DotPos]] - tblPassengerNames[[#This Row],[CommaPos]] - 1)</f>
        <v>Mr.</v>
      </c>
      <c r="R952" t="str">
        <f>LEFT(tblPassengerNames[[#This Row],[Name]], tblPassengerNames[[#This Row],[CommaPos]] - 1)</f>
        <v>Lang</v>
      </c>
    </row>
    <row r="953" spans="2:18" x14ac:dyDescent="0.25">
      <c r="B953" s="21">
        <v>951</v>
      </c>
      <c r="C953" s="21" t="s">
        <v>1085</v>
      </c>
      <c r="D953" s="21" t="s">
        <v>138</v>
      </c>
      <c r="E953">
        <f>FIND(",", tblPassengerNames[[#This Row],[Name]])</f>
        <v>8</v>
      </c>
      <c r="F953">
        <f>FIND(".", tblPassengerNames[[#This Row],[Name]])</f>
        <v>12</v>
      </c>
      <c r="G953" t="e">
        <f>FIND("(", tblPassengerNames[[#This Row],[Name]])</f>
        <v>#VALUE!</v>
      </c>
      <c r="H953" t="e">
        <f>FIND(")", tblPassengerNames[[#This Row],[Name]])</f>
        <v>#VALUE!</v>
      </c>
      <c r="I953">
        <f>IFERROR(tblPassengerNames[[#This Row],[OpenParPos]] - 2, LEN(tblPassengerNames[[#This Row],[Name]]))</f>
        <v>26</v>
      </c>
      <c r="J953" t="str">
        <f>MID(tblPassengerNames[[#This Row],[Name]], tblPassengerNames[[#This Row],[DotPos]] + 2, tblPassengerNames[[#This Row],[EndOfConvFNPos]] - tblPassengerNames[[#This Row],[DotPos]] - 1)</f>
        <v>August Viktor</v>
      </c>
      <c r="K953" t="e">
        <f>MID(tblPassengerNames[[#This Row],[Name]], tblPassengerNames[[#This Row],[OpenParPos]] + 1, tblPassengerNames[[#This Row],[CloseParPos]] - tblPassengerNames[[#This Row],[OpenParPos]] - 1)</f>
        <v>#VALUE!</v>
      </c>
      <c r="L953" t="e">
        <f>IF(AND(LEFT(tblPassengerNames[[#This Row],[InParentheses]], 1) = "'", RIGHT(tblPassengerNames[[#This Row],[InParentheses]], 1) = "'"),
    #VALUE!,
    tblPassengerNames[[#This Row],[InParentheses]]
)</f>
        <v>#VALUE!</v>
      </c>
      <c r="M953" t="e">
        <f>LEN(tblPassengerNames[[#This Row],[InParenthesesCleaned]]) - LEN(SUBSTITUTE(tblPassengerNames[[#This Row],[InParenthesesCleaned]], " ", ""))</f>
        <v>#VALUE!</v>
      </c>
      <c r="N953" t="e">
        <f>FIND("@", SUBSTITUTE(tblPassengerNames[[#This Row],[InParenthesesCleaned]], " ", "@", tblPassengerNames[[#This Row],[P_NSpaces]]))</f>
        <v>#VALUE!</v>
      </c>
      <c r="O953" t="e">
        <f>IF(tblPassengerNames[[#This Row],[P_NSpaces]] = 0,
    tblPassengerNames[[#This Row],[InParenthesesCleaned]],
    LEFT(tblPassengerNames[[#This Row],[InParenthesesCleaned]], tblPassengerNames[[#This Row],[P_FinalSpacePos]] - 1)
)</f>
        <v>#VALUE!</v>
      </c>
      <c r="P953" t="str">
        <f>IFERROR(tblPassengerNames[[#This Row],[P_Forenames]], tblPassengerNames[[#This Row],[ConvForenames]])</f>
        <v>August Viktor</v>
      </c>
      <c r="Q953" t="str">
        <f>MID(tblPassengerNames[[#This Row],[Name]], tblPassengerNames[[#This Row],[CommaPos]] + 2, tblPassengerNames[[#This Row],[DotPos]] - tblPassengerNames[[#This Row],[CommaPos]] - 1)</f>
        <v>Mr.</v>
      </c>
      <c r="R953" t="str">
        <f>LEFT(tblPassengerNames[[#This Row],[Name]], tblPassengerNames[[#This Row],[CommaPos]] - 1)</f>
        <v>Larsson</v>
      </c>
    </row>
    <row r="954" spans="2:18" x14ac:dyDescent="0.25">
      <c r="B954" s="21">
        <v>952</v>
      </c>
      <c r="C954" s="21" t="s">
        <v>1086</v>
      </c>
      <c r="D954" s="21" t="s">
        <v>138</v>
      </c>
      <c r="E954">
        <f>FIND(",", tblPassengerNames[[#This Row],[Name]])</f>
        <v>8</v>
      </c>
      <c r="F954">
        <f>FIND(".", tblPassengerNames[[#This Row],[Name]])</f>
        <v>12</v>
      </c>
      <c r="G954" t="e">
        <f>FIND("(", tblPassengerNames[[#This Row],[Name]])</f>
        <v>#VALUE!</v>
      </c>
      <c r="H954" t="e">
        <f>FIND(")", tblPassengerNames[[#This Row],[Name]])</f>
        <v>#VALUE!</v>
      </c>
      <c r="I954">
        <f>IFERROR(tblPassengerNames[[#This Row],[OpenParPos]] - 2, LEN(tblPassengerNames[[#This Row],[Name]]))</f>
        <v>24</v>
      </c>
      <c r="J954" t="str">
        <f>MID(tblPassengerNames[[#This Row],[Name]], tblPassengerNames[[#This Row],[DotPos]] + 2, tblPassengerNames[[#This Row],[EndOfConvFNPos]] - tblPassengerNames[[#This Row],[DotPos]] - 1)</f>
        <v>Bengt Edvin</v>
      </c>
      <c r="K954" t="e">
        <f>MID(tblPassengerNames[[#This Row],[Name]], tblPassengerNames[[#This Row],[OpenParPos]] + 1, tblPassengerNames[[#This Row],[CloseParPos]] - tblPassengerNames[[#This Row],[OpenParPos]] - 1)</f>
        <v>#VALUE!</v>
      </c>
      <c r="L954" t="e">
        <f>IF(AND(LEFT(tblPassengerNames[[#This Row],[InParentheses]], 1) = "'", RIGHT(tblPassengerNames[[#This Row],[InParentheses]], 1) = "'"),
    #VALUE!,
    tblPassengerNames[[#This Row],[InParentheses]]
)</f>
        <v>#VALUE!</v>
      </c>
      <c r="M954" t="e">
        <f>LEN(tblPassengerNames[[#This Row],[InParenthesesCleaned]]) - LEN(SUBSTITUTE(tblPassengerNames[[#This Row],[InParenthesesCleaned]], " ", ""))</f>
        <v>#VALUE!</v>
      </c>
      <c r="N954" t="e">
        <f>FIND("@", SUBSTITUTE(tblPassengerNames[[#This Row],[InParenthesesCleaned]], " ", "@", tblPassengerNames[[#This Row],[P_NSpaces]]))</f>
        <v>#VALUE!</v>
      </c>
      <c r="O954" t="e">
        <f>IF(tblPassengerNames[[#This Row],[P_NSpaces]] = 0,
    tblPassengerNames[[#This Row],[InParenthesesCleaned]],
    LEFT(tblPassengerNames[[#This Row],[InParenthesesCleaned]], tblPassengerNames[[#This Row],[P_FinalSpacePos]] - 1)
)</f>
        <v>#VALUE!</v>
      </c>
      <c r="P954" t="str">
        <f>IFERROR(tblPassengerNames[[#This Row],[P_Forenames]], tblPassengerNames[[#This Row],[ConvForenames]])</f>
        <v>Bengt Edvin</v>
      </c>
      <c r="Q954" t="str">
        <f>MID(tblPassengerNames[[#This Row],[Name]], tblPassengerNames[[#This Row],[CommaPos]] + 2, tblPassengerNames[[#This Row],[DotPos]] - tblPassengerNames[[#This Row],[CommaPos]] - 1)</f>
        <v>Mr.</v>
      </c>
      <c r="R954" t="str">
        <f>LEFT(tblPassengerNames[[#This Row],[Name]], tblPassengerNames[[#This Row],[CommaPos]] - 1)</f>
        <v>Larsson</v>
      </c>
    </row>
    <row r="955" spans="2:18" x14ac:dyDescent="0.25">
      <c r="B955" s="21">
        <v>953</v>
      </c>
      <c r="C955" s="21" t="s">
        <v>1087</v>
      </c>
      <c r="D955" s="21" t="s">
        <v>138</v>
      </c>
      <c r="E955">
        <f>FIND(",", tblPassengerNames[[#This Row],[Name]])</f>
        <v>17</v>
      </c>
      <c r="F955">
        <f>FIND(".", tblPassengerNames[[#This Row],[Name]])</f>
        <v>21</v>
      </c>
      <c r="G955" t="e">
        <f>FIND("(", tblPassengerNames[[#This Row],[Name]])</f>
        <v>#VALUE!</v>
      </c>
      <c r="H955" t="e">
        <f>FIND(")", tblPassengerNames[[#This Row],[Name]])</f>
        <v>#VALUE!</v>
      </c>
      <c r="I955">
        <f>IFERROR(tblPassengerNames[[#This Row],[OpenParPos]] - 2, LEN(tblPassengerNames[[#This Row],[Name]]))</f>
        <v>30</v>
      </c>
      <c r="J955" t="str">
        <f>MID(tblPassengerNames[[#This Row],[Name]], tblPassengerNames[[#This Row],[DotPos]] + 2, tblPassengerNames[[#This Row],[EndOfConvFNPos]] - tblPassengerNames[[#This Row],[DotPos]] - 1)</f>
        <v>Edvard A</v>
      </c>
      <c r="K955" t="e">
        <f>MID(tblPassengerNames[[#This Row],[Name]], tblPassengerNames[[#This Row],[OpenParPos]] + 1, tblPassengerNames[[#This Row],[CloseParPos]] - tblPassengerNames[[#This Row],[OpenParPos]] - 1)</f>
        <v>#VALUE!</v>
      </c>
      <c r="L955" t="e">
        <f>IF(AND(LEFT(tblPassengerNames[[#This Row],[InParentheses]], 1) = "'", RIGHT(tblPassengerNames[[#This Row],[InParentheses]], 1) = "'"),
    #VALUE!,
    tblPassengerNames[[#This Row],[InParentheses]]
)</f>
        <v>#VALUE!</v>
      </c>
      <c r="M955" t="e">
        <f>LEN(tblPassengerNames[[#This Row],[InParenthesesCleaned]]) - LEN(SUBSTITUTE(tblPassengerNames[[#This Row],[InParenthesesCleaned]], " ", ""))</f>
        <v>#VALUE!</v>
      </c>
      <c r="N955" t="e">
        <f>FIND("@", SUBSTITUTE(tblPassengerNames[[#This Row],[InParenthesesCleaned]], " ", "@", tblPassengerNames[[#This Row],[P_NSpaces]]))</f>
        <v>#VALUE!</v>
      </c>
      <c r="O955" t="e">
        <f>IF(tblPassengerNames[[#This Row],[P_NSpaces]] = 0,
    tblPassengerNames[[#This Row],[InParenthesesCleaned]],
    LEFT(tblPassengerNames[[#This Row],[InParenthesesCleaned]], tblPassengerNames[[#This Row],[P_FinalSpacePos]] - 1)
)</f>
        <v>#VALUE!</v>
      </c>
      <c r="P955" t="str">
        <f>IFERROR(tblPassengerNames[[#This Row],[P_Forenames]], tblPassengerNames[[#This Row],[ConvForenames]])</f>
        <v>Edvard A</v>
      </c>
      <c r="Q955" t="str">
        <f>MID(tblPassengerNames[[#This Row],[Name]], tblPassengerNames[[#This Row],[CommaPos]] + 2, tblPassengerNames[[#This Row],[DotPos]] - tblPassengerNames[[#This Row],[CommaPos]] - 1)</f>
        <v>Mr.</v>
      </c>
      <c r="R955" t="str">
        <f>LEFT(tblPassengerNames[[#This Row],[Name]], tblPassengerNames[[#This Row],[CommaPos]] - 1)</f>
        <v>Larsson-Rondberg</v>
      </c>
    </row>
    <row r="956" spans="2:18" x14ac:dyDescent="0.25">
      <c r="B956" s="21">
        <v>954</v>
      </c>
      <c r="C956" s="21" t="s">
        <v>1088</v>
      </c>
      <c r="D956" s="21" t="s">
        <v>138</v>
      </c>
      <c r="E956">
        <f>FIND(",", tblPassengerNames[[#This Row],[Name]])</f>
        <v>6</v>
      </c>
      <c r="F956">
        <f>FIND(".", tblPassengerNames[[#This Row],[Name]])</f>
        <v>10</v>
      </c>
      <c r="G956">
        <f>FIND("(", tblPassengerNames[[#This Row],[Name]])</f>
        <v>18</v>
      </c>
      <c r="H956">
        <f>FIND(")", tblPassengerNames[[#This Row],[Name]])</f>
        <v>33</v>
      </c>
      <c r="I956">
        <f>IFERROR(tblPassengerNames[[#This Row],[OpenParPos]] - 2, LEN(tblPassengerNames[[#This Row],[Name]]))</f>
        <v>16</v>
      </c>
      <c r="J956" t="str">
        <f>MID(tblPassengerNames[[#This Row],[Name]], tblPassengerNames[[#This Row],[DotPos]] + 2, tblPassengerNames[[#This Row],[EndOfConvFNPos]] - tblPassengerNames[[#This Row],[DotPos]] - 1)</f>
        <v>Fahim</v>
      </c>
      <c r="K956" t="str">
        <f>MID(tblPassengerNames[[#This Row],[Name]], tblPassengerNames[[#This Row],[OpenParPos]] + 1, tblPassengerNames[[#This Row],[CloseParPos]] - tblPassengerNames[[#This Row],[OpenParPos]] - 1)</f>
        <v>'Philip Zenni'</v>
      </c>
      <c r="L956" t="e">
        <f>IF(AND(LEFT(tblPassengerNames[[#This Row],[InParentheses]], 1) = "'", RIGHT(tblPassengerNames[[#This Row],[InParentheses]], 1) = "'"),
    #VALUE!,
    tblPassengerNames[[#This Row],[InParentheses]]
)</f>
        <v>#VALUE!</v>
      </c>
      <c r="M956" t="e">
        <f>LEN(tblPassengerNames[[#This Row],[InParenthesesCleaned]]) - LEN(SUBSTITUTE(tblPassengerNames[[#This Row],[InParenthesesCleaned]], " ", ""))</f>
        <v>#VALUE!</v>
      </c>
      <c r="N956" t="e">
        <f>FIND("@", SUBSTITUTE(tblPassengerNames[[#This Row],[InParenthesesCleaned]], " ", "@", tblPassengerNames[[#This Row],[P_NSpaces]]))</f>
        <v>#VALUE!</v>
      </c>
      <c r="O956" t="e">
        <f>IF(tblPassengerNames[[#This Row],[P_NSpaces]] = 0,
    tblPassengerNames[[#This Row],[InParenthesesCleaned]],
    LEFT(tblPassengerNames[[#This Row],[InParenthesesCleaned]], tblPassengerNames[[#This Row],[P_FinalSpacePos]] - 1)
)</f>
        <v>#VALUE!</v>
      </c>
      <c r="P956" t="str">
        <f>IFERROR(tblPassengerNames[[#This Row],[P_Forenames]], tblPassengerNames[[#This Row],[ConvForenames]])</f>
        <v>Fahim</v>
      </c>
      <c r="Q956" t="str">
        <f>MID(tblPassengerNames[[#This Row],[Name]], tblPassengerNames[[#This Row],[CommaPos]] + 2, tblPassengerNames[[#This Row],[DotPos]] - tblPassengerNames[[#This Row],[CommaPos]] - 1)</f>
        <v>Mr.</v>
      </c>
      <c r="R956" t="str">
        <f>LEFT(tblPassengerNames[[#This Row],[Name]], tblPassengerNames[[#This Row],[CommaPos]] - 1)</f>
        <v>Leeni</v>
      </c>
    </row>
    <row r="957" spans="2:18" x14ac:dyDescent="0.25">
      <c r="B957" s="21">
        <v>955</v>
      </c>
      <c r="C957" s="21" t="s">
        <v>1089</v>
      </c>
      <c r="D957" s="21" t="s">
        <v>138</v>
      </c>
      <c r="E957">
        <f>FIND(",", tblPassengerNames[[#This Row],[Name]])</f>
        <v>8</v>
      </c>
      <c r="F957">
        <f>FIND(".", tblPassengerNames[[#This Row],[Name]])</f>
        <v>16</v>
      </c>
      <c r="G957" t="e">
        <f>FIND("(", tblPassengerNames[[#This Row],[Name]])</f>
        <v>#VALUE!</v>
      </c>
      <c r="H957" t="e">
        <f>FIND(")", tblPassengerNames[[#This Row],[Name]])</f>
        <v>#VALUE!</v>
      </c>
      <c r="I957">
        <f>IFERROR(tblPassengerNames[[#This Row],[OpenParPos]] - 2, LEN(tblPassengerNames[[#This Row],[Name]]))</f>
        <v>29</v>
      </c>
      <c r="J957" t="str">
        <f>MID(tblPassengerNames[[#This Row],[Name]], tblPassengerNames[[#This Row],[DotPos]] + 2, tblPassengerNames[[#This Row],[EndOfConvFNPos]] - tblPassengerNames[[#This Row],[DotPos]] - 1)</f>
        <v>Henry Forbes</v>
      </c>
      <c r="K957" t="e">
        <f>MID(tblPassengerNames[[#This Row],[Name]], tblPassengerNames[[#This Row],[OpenParPos]] + 1, tblPassengerNames[[#This Row],[CloseParPos]] - tblPassengerNames[[#This Row],[OpenParPos]] - 1)</f>
        <v>#VALUE!</v>
      </c>
      <c r="L957" t="e">
        <f>IF(AND(LEFT(tblPassengerNames[[#This Row],[InParentheses]], 1) = "'", RIGHT(tblPassengerNames[[#This Row],[InParentheses]], 1) = "'"),
    #VALUE!,
    tblPassengerNames[[#This Row],[InParentheses]]
)</f>
        <v>#VALUE!</v>
      </c>
      <c r="M957" t="e">
        <f>LEN(tblPassengerNames[[#This Row],[InParenthesesCleaned]]) - LEN(SUBSTITUTE(tblPassengerNames[[#This Row],[InParenthesesCleaned]], " ", ""))</f>
        <v>#VALUE!</v>
      </c>
      <c r="N957" t="e">
        <f>FIND("@", SUBSTITUTE(tblPassengerNames[[#This Row],[InParenthesesCleaned]], " ", "@", tblPassengerNames[[#This Row],[P_NSpaces]]))</f>
        <v>#VALUE!</v>
      </c>
      <c r="O957" t="e">
        <f>IF(tblPassengerNames[[#This Row],[P_NSpaces]] = 0,
    tblPassengerNames[[#This Row],[InParenthesesCleaned]],
    LEFT(tblPassengerNames[[#This Row],[InParenthesesCleaned]], tblPassengerNames[[#This Row],[P_FinalSpacePos]] - 1)
)</f>
        <v>#VALUE!</v>
      </c>
      <c r="P957" t="str">
        <f>IFERROR(tblPassengerNames[[#This Row],[P_Forenames]], tblPassengerNames[[#This Row],[ConvForenames]])</f>
        <v>Henry Forbes</v>
      </c>
      <c r="Q957" t="str">
        <f>MID(tblPassengerNames[[#This Row],[Name]], tblPassengerNames[[#This Row],[CommaPos]] + 2, tblPassengerNames[[#This Row],[DotPos]] - tblPassengerNames[[#This Row],[CommaPos]] - 1)</f>
        <v>Master.</v>
      </c>
      <c r="R957" t="str">
        <f>LEFT(tblPassengerNames[[#This Row],[Name]], tblPassengerNames[[#This Row],[CommaPos]] - 1)</f>
        <v>Lefebre</v>
      </c>
    </row>
    <row r="958" spans="2:18" x14ac:dyDescent="0.25">
      <c r="B958" s="21">
        <v>956</v>
      </c>
      <c r="C958" s="21" t="s">
        <v>1090</v>
      </c>
      <c r="D958" s="21" t="s">
        <v>136</v>
      </c>
      <c r="E958">
        <f>FIND(",", tblPassengerNames[[#This Row],[Name]])</f>
        <v>8</v>
      </c>
      <c r="F958">
        <f>FIND(".", tblPassengerNames[[#This Row],[Name]])</f>
        <v>14</v>
      </c>
      <c r="G958" t="e">
        <f>FIND("(", tblPassengerNames[[#This Row],[Name]])</f>
        <v>#VALUE!</v>
      </c>
      <c r="H958" t="e">
        <f>FIND(")", tblPassengerNames[[#This Row],[Name]])</f>
        <v>#VALUE!</v>
      </c>
      <c r="I958">
        <f>IFERROR(tblPassengerNames[[#This Row],[OpenParPos]] - 2, LEN(tblPassengerNames[[#This Row],[Name]]))</f>
        <v>18</v>
      </c>
      <c r="J958" t="str">
        <f>MID(tblPassengerNames[[#This Row],[Name]], tblPassengerNames[[#This Row],[DotPos]] + 2, tblPassengerNames[[#This Row],[EndOfConvFNPos]] - tblPassengerNames[[#This Row],[DotPos]] - 1)</f>
        <v>Ida</v>
      </c>
      <c r="K958" t="e">
        <f>MID(tblPassengerNames[[#This Row],[Name]], tblPassengerNames[[#This Row],[OpenParPos]] + 1, tblPassengerNames[[#This Row],[CloseParPos]] - tblPassengerNames[[#This Row],[OpenParPos]] - 1)</f>
        <v>#VALUE!</v>
      </c>
      <c r="L958" t="e">
        <f>IF(AND(LEFT(tblPassengerNames[[#This Row],[InParentheses]], 1) = "'", RIGHT(tblPassengerNames[[#This Row],[InParentheses]], 1) = "'"),
    #VALUE!,
    tblPassengerNames[[#This Row],[InParentheses]]
)</f>
        <v>#VALUE!</v>
      </c>
      <c r="M958" t="e">
        <f>LEN(tblPassengerNames[[#This Row],[InParenthesesCleaned]]) - LEN(SUBSTITUTE(tblPassengerNames[[#This Row],[InParenthesesCleaned]], " ", ""))</f>
        <v>#VALUE!</v>
      </c>
      <c r="N958" t="e">
        <f>FIND("@", SUBSTITUTE(tblPassengerNames[[#This Row],[InParenthesesCleaned]], " ", "@", tblPassengerNames[[#This Row],[P_NSpaces]]))</f>
        <v>#VALUE!</v>
      </c>
      <c r="O958" t="e">
        <f>IF(tblPassengerNames[[#This Row],[P_NSpaces]] = 0,
    tblPassengerNames[[#This Row],[InParenthesesCleaned]],
    LEFT(tblPassengerNames[[#This Row],[InParenthesesCleaned]], tblPassengerNames[[#This Row],[P_FinalSpacePos]] - 1)
)</f>
        <v>#VALUE!</v>
      </c>
      <c r="P958" t="str">
        <f>IFERROR(tblPassengerNames[[#This Row],[P_Forenames]], tblPassengerNames[[#This Row],[ConvForenames]])</f>
        <v>Ida</v>
      </c>
      <c r="Q958" t="str">
        <f>MID(tblPassengerNames[[#This Row],[Name]], tblPassengerNames[[#This Row],[CommaPos]] + 2, tblPassengerNames[[#This Row],[DotPos]] - tblPassengerNames[[#This Row],[CommaPos]] - 1)</f>
        <v>Miss.</v>
      </c>
      <c r="R958" t="str">
        <f>LEFT(tblPassengerNames[[#This Row],[Name]], tblPassengerNames[[#This Row],[CommaPos]] - 1)</f>
        <v>Lefebre</v>
      </c>
    </row>
    <row r="959" spans="2:18" x14ac:dyDescent="0.25">
      <c r="B959" s="21">
        <v>957</v>
      </c>
      <c r="C959" s="21" t="s">
        <v>1091</v>
      </c>
      <c r="D959" s="21" t="s">
        <v>136</v>
      </c>
      <c r="E959">
        <f>FIND(",", tblPassengerNames[[#This Row],[Name]])</f>
        <v>8</v>
      </c>
      <c r="F959">
        <f>FIND(".", tblPassengerNames[[#This Row],[Name]])</f>
        <v>14</v>
      </c>
      <c r="G959" t="e">
        <f>FIND("(", tblPassengerNames[[#This Row],[Name]])</f>
        <v>#VALUE!</v>
      </c>
      <c r="H959" t="e">
        <f>FIND(")", tblPassengerNames[[#This Row],[Name]])</f>
        <v>#VALUE!</v>
      </c>
      <c r="I959">
        <f>IFERROR(tblPassengerNames[[#This Row],[OpenParPos]] - 2, LEN(tblPassengerNames[[#This Row],[Name]]))</f>
        <v>22</v>
      </c>
      <c r="J959" t="str">
        <f>MID(tblPassengerNames[[#This Row],[Name]], tblPassengerNames[[#This Row],[DotPos]] + 2, tblPassengerNames[[#This Row],[EndOfConvFNPos]] - tblPassengerNames[[#This Row],[DotPos]] - 1)</f>
        <v>Jeannie</v>
      </c>
      <c r="K959" t="e">
        <f>MID(tblPassengerNames[[#This Row],[Name]], tblPassengerNames[[#This Row],[OpenParPos]] + 1, tblPassengerNames[[#This Row],[CloseParPos]] - tblPassengerNames[[#This Row],[OpenParPos]] - 1)</f>
        <v>#VALUE!</v>
      </c>
      <c r="L959" t="e">
        <f>IF(AND(LEFT(tblPassengerNames[[#This Row],[InParentheses]], 1) = "'", RIGHT(tblPassengerNames[[#This Row],[InParentheses]], 1) = "'"),
    #VALUE!,
    tblPassengerNames[[#This Row],[InParentheses]]
)</f>
        <v>#VALUE!</v>
      </c>
      <c r="M959" t="e">
        <f>LEN(tblPassengerNames[[#This Row],[InParenthesesCleaned]]) - LEN(SUBSTITUTE(tblPassengerNames[[#This Row],[InParenthesesCleaned]], " ", ""))</f>
        <v>#VALUE!</v>
      </c>
      <c r="N959" t="e">
        <f>FIND("@", SUBSTITUTE(tblPassengerNames[[#This Row],[InParenthesesCleaned]], " ", "@", tblPassengerNames[[#This Row],[P_NSpaces]]))</f>
        <v>#VALUE!</v>
      </c>
      <c r="O959" t="e">
        <f>IF(tblPassengerNames[[#This Row],[P_NSpaces]] = 0,
    tblPassengerNames[[#This Row],[InParenthesesCleaned]],
    LEFT(tblPassengerNames[[#This Row],[InParenthesesCleaned]], tblPassengerNames[[#This Row],[P_FinalSpacePos]] - 1)
)</f>
        <v>#VALUE!</v>
      </c>
      <c r="P959" t="str">
        <f>IFERROR(tblPassengerNames[[#This Row],[P_Forenames]], tblPassengerNames[[#This Row],[ConvForenames]])</f>
        <v>Jeannie</v>
      </c>
      <c r="Q959" t="str">
        <f>MID(tblPassengerNames[[#This Row],[Name]], tblPassengerNames[[#This Row],[CommaPos]] + 2, tblPassengerNames[[#This Row],[DotPos]] - tblPassengerNames[[#This Row],[CommaPos]] - 1)</f>
        <v>Miss.</v>
      </c>
      <c r="R959" t="str">
        <f>LEFT(tblPassengerNames[[#This Row],[Name]], tblPassengerNames[[#This Row],[CommaPos]] - 1)</f>
        <v>Lefebre</v>
      </c>
    </row>
    <row r="960" spans="2:18" x14ac:dyDescent="0.25">
      <c r="B960" s="21">
        <v>958</v>
      </c>
      <c r="C960" s="21" t="s">
        <v>1092</v>
      </c>
      <c r="D960" s="21" t="s">
        <v>136</v>
      </c>
      <c r="E960">
        <f>FIND(",", tblPassengerNames[[#This Row],[Name]])</f>
        <v>8</v>
      </c>
      <c r="F960">
        <f>FIND(".", tblPassengerNames[[#This Row],[Name]])</f>
        <v>14</v>
      </c>
      <c r="G960" t="e">
        <f>FIND("(", tblPassengerNames[[#This Row],[Name]])</f>
        <v>#VALUE!</v>
      </c>
      <c r="H960" t="e">
        <f>FIND(")", tblPassengerNames[[#This Row],[Name]])</f>
        <v>#VALUE!</v>
      </c>
      <c r="I960">
        <f>IFERROR(tblPassengerNames[[#This Row],[OpenParPos]] - 2, LEN(tblPassengerNames[[#This Row],[Name]]))</f>
        <v>23</v>
      </c>
      <c r="J960" t="str">
        <f>MID(tblPassengerNames[[#This Row],[Name]], tblPassengerNames[[#This Row],[DotPos]] + 2, tblPassengerNames[[#This Row],[EndOfConvFNPos]] - tblPassengerNames[[#This Row],[DotPos]] - 1)</f>
        <v>Mathilde</v>
      </c>
      <c r="K960" t="e">
        <f>MID(tblPassengerNames[[#This Row],[Name]], tblPassengerNames[[#This Row],[OpenParPos]] + 1, tblPassengerNames[[#This Row],[CloseParPos]] - tblPassengerNames[[#This Row],[OpenParPos]] - 1)</f>
        <v>#VALUE!</v>
      </c>
      <c r="L960" t="e">
        <f>IF(AND(LEFT(tblPassengerNames[[#This Row],[InParentheses]], 1) = "'", RIGHT(tblPassengerNames[[#This Row],[InParentheses]], 1) = "'"),
    #VALUE!,
    tblPassengerNames[[#This Row],[InParentheses]]
)</f>
        <v>#VALUE!</v>
      </c>
      <c r="M960" t="e">
        <f>LEN(tblPassengerNames[[#This Row],[InParenthesesCleaned]]) - LEN(SUBSTITUTE(tblPassengerNames[[#This Row],[InParenthesesCleaned]], " ", ""))</f>
        <v>#VALUE!</v>
      </c>
      <c r="N960" t="e">
        <f>FIND("@", SUBSTITUTE(tblPassengerNames[[#This Row],[InParenthesesCleaned]], " ", "@", tblPassengerNames[[#This Row],[P_NSpaces]]))</f>
        <v>#VALUE!</v>
      </c>
      <c r="O960" t="e">
        <f>IF(tblPassengerNames[[#This Row],[P_NSpaces]] = 0,
    tblPassengerNames[[#This Row],[InParenthesesCleaned]],
    LEFT(tblPassengerNames[[#This Row],[InParenthesesCleaned]], tblPassengerNames[[#This Row],[P_FinalSpacePos]] - 1)
)</f>
        <v>#VALUE!</v>
      </c>
      <c r="P960" t="str">
        <f>IFERROR(tblPassengerNames[[#This Row],[P_Forenames]], tblPassengerNames[[#This Row],[ConvForenames]])</f>
        <v>Mathilde</v>
      </c>
      <c r="Q960" t="str">
        <f>MID(tblPassengerNames[[#This Row],[Name]], tblPassengerNames[[#This Row],[CommaPos]] + 2, tblPassengerNames[[#This Row],[DotPos]] - tblPassengerNames[[#This Row],[CommaPos]] - 1)</f>
        <v>Miss.</v>
      </c>
      <c r="R960" t="str">
        <f>LEFT(tblPassengerNames[[#This Row],[Name]], tblPassengerNames[[#This Row],[CommaPos]] - 1)</f>
        <v>Lefebre</v>
      </c>
    </row>
    <row r="961" spans="2:18" x14ac:dyDescent="0.25">
      <c r="B961" s="21">
        <v>959</v>
      </c>
      <c r="C961" s="21" t="s">
        <v>1093</v>
      </c>
      <c r="D961" s="21" t="s">
        <v>136</v>
      </c>
      <c r="E961">
        <f>FIND(",", tblPassengerNames[[#This Row],[Name]])</f>
        <v>8</v>
      </c>
      <c r="F961">
        <f>FIND(".", tblPassengerNames[[#This Row],[Name]])</f>
        <v>13</v>
      </c>
      <c r="G961">
        <f>FIND("(", tblPassengerNames[[#This Row],[Name]])</f>
        <v>21</v>
      </c>
      <c r="H961">
        <f>FIND(")", tblPassengerNames[[#This Row],[Name]])</f>
        <v>29</v>
      </c>
      <c r="I961">
        <f>IFERROR(tblPassengerNames[[#This Row],[OpenParPos]] - 2, LEN(tblPassengerNames[[#This Row],[Name]]))</f>
        <v>19</v>
      </c>
      <c r="J961" t="str">
        <f>MID(tblPassengerNames[[#This Row],[Name]], tblPassengerNames[[#This Row],[DotPos]] + 2, tblPassengerNames[[#This Row],[EndOfConvFNPos]] - tblPassengerNames[[#This Row],[DotPos]] - 1)</f>
        <v>Frank</v>
      </c>
      <c r="K961" t="str">
        <f>MID(tblPassengerNames[[#This Row],[Name]], tblPassengerNames[[#This Row],[OpenParPos]] + 1, tblPassengerNames[[#This Row],[CloseParPos]] - tblPassengerNames[[#This Row],[OpenParPos]] - 1)</f>
        <v>Frances</v>
      </c>
      <c r="L961" t="str">
        <f>IF(AND(LEFT(tblPassengerNames[[#This Row],[InParentheses]], 1) = "'", RIGHT(tblPassengerNames[[#This Row],[InParentheses]], 1) = "'"),
    #VALUE!,
    tblPassengerNames[[#This Row],[InParentheses]]
)</f>
        <v>Frances</v>
      </c>
      <c r="M961">
        <f>LEN(tblPassengerNames[[#This Row],[InParenthesesCleaned]]) - LEN(SUBSTITUTE(tblPassengerNames[[#This Row],[InParenthesesCleaned]], " ", ""))</f>
        <v>0</v>
      </c>
      <c r="N961" t="e">
        <f>FIND("@", SUBSTITUTE(tblPassengerNames[[#This Row],[InParenthesesCleaned]], " ", "@", tblPassengerNames[[#This Row],[P_NSpaces]]))</f>
        <v>#VALUE!</v>
      </c>
      <c r="O961" t="str">
        <f>IF(tblPassengerNames[[#This Row],[P_NSpaces]] = 0,
    tblPassengerNames[[#This Row],[InParenthesesCleaned]],
    LEFT(tblPassengerNames[[#This Row],[InParenthesesCleaned]], tblPassengerNames[[#This Row],[P_FinalSpacePos]] - 1)
)</f>
        <v>Frances</v>
      </c>
      <c r="P961" t="str">
        <f>IFERROR(tblPassengerNames[[#This Row],[P_Forenames]], tblPassengerNames[[#This Row],[ConvForenames]])</f>
        <v>Frances</v>
      </c>
      <c r="Q961" t="str">
        <f>MID(tblPassengerNames[[#This Row],[Name]], tblPassengerNames[[#This Row],[CommaPos]] + 2, tblPassengerNames[[#This Row],[DotPos]] - tblPassengerNames[[#This Row],[CommaPos]] - 1)</f>
        <v>Mrs.</v>
      </c>
      <c r="R961" t="str">
        <f>LEFT(tblPassengerNames[[#This Row],[Name]], tblPassengerNames[[#This Row],[CommaPos]] - 1)</f>
        <v>Lefebre</v>
      </c>
    </row>
    <row r="962" spans="2:18" x14ac:dyDescent="0.25">
      <c r="B962" s="21">
        <v>960</v>
      </c>
      <c r="C962" s="21" t="s">
        <v>1094</v>
      </c>
      <c r="D962" s="21" t="s">
        <v>138</v>
      </c>
      <c r="E962">
        <f>FIND(",", tblPassengerNames[[#This Row],[Name]])</f>
        <v>9</v>
      </c>
      <c r="F962">
        <f>FIND(".", tblPassengerNames[[#This Row],[Name]])</f>
        <v>13</v>
      </c>
      <c r="G962" t="e">
        <f>FIND("(", tblPassengerNames[[#This Row],[Name]])</f>
        <v>#VALUE!</v>
      </c>
      <c r="H962" t="e">
        <f>FIND(")", tblPassengerNames[[#This Row],[Name]])</f>
        <v>#VALUE!</v>
      </c>
      <c r="I962">
        <f>IFERROR(tblPassengerNames[[#This Row],[OpenParPos]] - 2, LEN(tblPassengerNames[[#This Row],[Name]]))</f>
        <v>26</v>
      </c>
      <c r="J962" t="str">
        <f>MID(tblPassengerNames[[#This Row],[Name]], tblPassengerNames[[#This Row],[DotPos]] + 2, tblPassengerNames[[#This Row],[EndOfConvFNPos]] - tblPassengerNames[[#This Row],[DotPos]] - 1)</f>
        <v>Antti Gustaf</v>
      </c>
      <c r="K962" t="e">
        <f>MID(tblPassengerNames[[#This Row],[Name]], tblPassengerNames[[#This Row],[OpenParPos]] + 1, tblPassengerNames[[#This Row],[CloseParPos]] - tblPassengerNames[[#This Row],[OpenParPos]] - 1)</f>
        <v>#VALUE!</v>
      </c>
      <c r="L962" t="e">
        <f>IF(AND(LEFT(tblPassengerNames[[#This Row],[InParentheses]], 1) = "'", RIGHT(tblPassengerNames[[#This Row],[InParentheses]], 1) = "'"),
    #VALUE!,
    tblPassengerNames[[#This Row],[InParentheses]]
)</f>
        <v>#VALUE!</v>
      </c>
      <c r="M962" t="e">
        <f>LEN(tblPassengerNames[[#This Row],[InParenthesesCleaned]]) - LEN(SUBSTITUTE(tblPassengerNames[[#This Row],[InParenthesesCleaned]], " ", ""))</f>
        <v>#VALUE!</v>
      </c>
      <c r="N962" t="e">
        <f>FIND("@", SUBSTITUTE(tblPassengerNames[[#This Row],[InParenthesesCleaned]], " ", "@", tblPassengerNames[[#This Row],[P_NSpaces]]))</f>
        <v>#VALUE!</v>
      </c>
      <c r="O962" t="e">
        <f>IF(tblPassengerNames[[#This Row],[P_NSpaces]] = 0,
    tblPassengerNames[[#This Row],[InParenthesesCleaned]],
    LEFT(tblPassengerNames[[#This Row],[InParenthesesCleaned]], tblPassengerNames[[#This Row],[P_FinalSpacePos]] - 1)
)</f>
        <v>#VALUE!</v>
      </c>
      <c r="P962" t="str">
        <f>IFERROR(tblPassengerNames[[#This Row],[P_Forenames]], tblPassengerNames[[#This Row],[ConvForenames]])</f>
        <v>Antti Gustaf</v>
      </c>
      <c r="Q962" t="str">
        <f>MID(tblPassengerNames[[#This Row],[Name]], tblPassengerNames[[#This Row],[CommaPos]] + 2, tblPassengerNames[[#This Row],[DotPos]] - tblPassengerNames[[#This Row],[CommaPos]] - 1)</f>
        <v>Mr.</v>
      </c>
      <c r="R962" t="str">
        <f>LEFT(tblPassengerNames[[#This Row],[Name]], tblPassengerNames[[#This Row],[CommaPos]] - 1)</f>
        <v>Leinonen</v>
      </c>
    </row>
    <row r="963" spans="2:18" x14ac:dyDescent="0.25">
      <c r="B963" s="21">
        <v>961</v>
      </c>
      <c r="C963" s="21" t="s">
        <v>1095</v>
      </c>
      <c r="D963" s="21" t="s">
        <v>138</v>
      </c>
      <c r="E963">
        <f>FIND(",", tblPassengerNames[[#This Row],[Name]])</f>
        <v>14</v>
      </c>
      <c r="F963">
        <f>FIND(".", tblPassengerNames[[#This Row],[Name]])</f>
        <v>18</v>
      </c>
      <c r="G963" t="e">
        <f>FIND("(", tblPassengerNames[[#This Row],[Name]])</f>
        <v>#VALUE!</v>
      </c>
      <c r="H963" t="e">
        <f>FIND(")", tblPassengerNames[[#This Row],[Name]])</f>
        <v>#VALUE!</v>
      </c>
      <c r="I963">
        <f>IFERROR(tblPassengerNames[[#This Row],[OpenParPos]] - 2, LEN(tblPassengerNames[[#This Row],[Name]]))</f>
        <v>26</v>
      </c>
      <c r="J963" t="str">
        <f>MID(tblPassengerNames[[#This Row],[Name]], tblPassengerNames[[#This Row],[DotPos]] + 2, tblPassengerNames[[#This Row],[EndOfConvFNPos]] - tblPassengerNames[[#This Row],[DotPos]] - 1)</f>
        <v>Peter L</v>
      </c>
      <c r="K963" t="e">
        <f>MID(tblPassengerNames[[#This Row],[Name]], tblPassengerNames[[#This Row],[OpenParPos]] + 1, tblPassengerNames[[#This Row],[CloseParPos]] - tblPassengerNames[[#This Row],[OpenParPos]] - 1)</f>
        <v>#VALUE!</v>
      </c>
      <c r="L963" t="e">
        <f>IF(AND(LEFT(tblPassengerNames[[#This Row],[InParentheses]], 1) = "'", RIGHT(tblPassengerNames[[#This Row],[InParentheses]], 1) = "'"),
    #VALUE!,
    tblPassengerNames[[#This Row],[InParentheses]]
)</f>
        <v>#VALUE!</v>
      </c>
      <c r="M963" t="e">
        <f>LEN(tblPassengerNames[[#This Row],[InParenthesesCleaned]]) - LEN(SUBSTITUTE(tblPassengerNames[[#This Row],[InParenthesesCleaned]], " ", ""))</f>
        <v>#VALUE!</v>
      </c>
      <c r="N963" t="e">
        <f>FIND("@", SUBSTITUTE(tblPassengerNames[[#This Row],[InParenthesesCleaned]], " ", "@", tblPassengerNames[[#This Row],[P_NSpaces]]))</f>
        <v>#VALUE!</v>
      </c>
      <c r="O963" t="e">
        <f>IF(tblPassengerNames[[#This Row],[P_NSpaces]] = 0,
    tblPassengerNames[[#This Row],[InParenthesesCleaned]],
    LEFT(tblPassengerNames[[#This Row],[InParenthesesCleaned]], tblPassengerNames[[#This Row],[P_FinalSpacePos]] - 1)
)</f>
        <v>#VALUE!</v>
      </c>
      <c r="P963" t="str">
        <f>IFERROR(tblPassengerNames[[#This Row],[P_Forenames]], tblPassengerNames[[#This Row],[ConvForenames]])</f>
        <v>Peter L</v>
      </c>
      <c r="Q963" t="str">
        <f>MID(tblPassengerNames[[#This Row],[Name]], tblPassengerNames[[#This Row],[CommaPos]] + 2, tblPassengerNames[[#This Row],[DotPos]] - tblPassengerNames[[#This Row],[CommaPos]] - 1)</f>
        <v>Mr.</v>
      </c>
      <c r="R963" t="str">
        <f>LEFT(tblPassengerNames[[#This Row],[Name]], tblPassengerNames[[#This Row],[CommaPos]] - 1)</f>
        <v>Lemberopolous</v>
      </c>
    </row>
    <row r="964" spans="2:18" x14ac:dyDescent="0.25">
      <c r="B964" s="21">
        <v>962</v>
      </c>
      <c r="C964" s="21" t="s">
        <v>1096</v>
      </c>
      <c r="D964" s="21" t="s">
        <v>136</v>
      </c>
      <c r="E964">
        <f>FIND(",", tblPassengerNames[[#This Row],[Name]])</f>
        <v>7</v>
      </c>
      <c r="F964">
        <f>FIND(".", tblPassengerNames[[#This Row],[Name]])</f>
        <v>13</v>
      </c>
      <c r="G964" t="e">
        <f>FIND("(", tblPassengerNames[[#This Row],[Name]])</f>
        <v>#VALUE!</v>
      </c>
      <c r="H964" t="e">
        <f>FIND(")", tblPassengerNames[[#This Row],[Name]])</f>
        <v>#VALUE!</v>
      </c>
      <c r="I964">
        <f>IFERROR(tblPassengerNames[[#This Row],[OpenParPos]] - 2, LEN(tblPassengerNames[[#This Row],[Name]]))</f>
        <v>18</v>
      </c>
      <c r="J964" t="str">
        <f>MID(tblPassengerNames[[#This Row],[Name]], tblPassengerNames[[#This Row],[DotPos]] + 2, tblPassengerNames[[#This Row],[EndOfConvFNPos]] - tblPassengerNames[[#This Row],[DotPos]] - 1)</f>
        <v>Mary</v>
      </c>
      <c r="K964" t="e">
        <f>MID(tblPassengerNames[[#This Row],[Name]], tblPassengerNames[[#This Row],[OpenParPos]] + 1, tblPassengerNames[[#This Row],[CloseParPos]] - tblPassengerNames[[#This Row],[OpenParPos]] - 1)</f>
        <v>#VALUE!</v>
      </c>
      <c r="L964" t="e">
        <f>IF(AND(LEFT(tblPassengerNames[[#This Row],[InParentheses]], 1) = "'", RIGHT(tblPassengerNames[[#This Row],[InParentheses]], 1) = "'"),
    #VALUE!,
    tblPassengerNames[[#This Row],[InParentheses]]
)</f>
        <v>#VALUE!</v>
      </c>
      <c r="M964" t="e">
        <f>LEN(tblPassengerNames[[#This Row],[InParenthesesCleaned]]) - LEN(SUBSTITUTE(tblPassengerNames[[#This Row],[InParenthesesCleaned]], " ", ""))</f>
        <v>#VALUE!</v>
      </c>
      <c r="N964" t="e">
        <f>FIND("@", SUBSTITUTE(tblPassengerNames[[#This Row],[InParenthesesCleaned]], " ", "@", tblPassengerNames[[#This Row],[P_NSpaces]]))</f>
        <v>#VALUE!</v>
      </c>
      <c r="O964" t="e">
        <f>IF(tblPassengerNames[[#This Row],[P_NSpaces]] = 0,
    tblPassengerNames[[#This Row],[InParenthesesCleaned]],
    LEFT(tblPassengerNames[[#This Row],[InParenthesesCleaned]], tblPassengerNames[[#This Row],[P_FinalSpacePos]] - 1)
)</f>
        <v>#VALUE!</v>
      </c>
      <c r="P964" t="str">
        <f>IFERROR(tblPassengerNames[[#This Row],[P_Forenames]], tblPassengerNames[[#This Row],[ConvForenames]])</f>
        <v>Mary</v>
      </c>
      <c r="Q964" t="str">
        <f>MID(tblPassengerNames[[#This Row],[Name]], tblPassengerNames[[#This Row],[CommaPos]] + 2, tblPassengerNames[[#This Row],[DotPos]] - tblPassengerNames[[#This Row],[CommaPos]] - 1)</f>
        <v>Miss.</v>
      </c>
      <c r="R964" t="str">
        <f>LEFT(tblPassengerNames[[#This Row],[Name]], tblPassengerNames[[#This Row],[CommaPos]] - 1)</f>
        <v>Lennon</v>
      </c>
    </row>
    <row r="965" spans="2:18" x14ac:dyDescent="0.25">
      <c r="B965" s="21">
        <v>963</v>
      </c>
      <c r="C965" s="21" t="s">
        <v>1097</v>
      </c>
      <c r="D965" s="21" t="s">
        <v>138</v>
      </c>
      <c r="E965">
        <f>FIND(",", tblPassengerNames[[#This Row],[Name]])</f>
        <v>7</v>
      </c>
      <c r="F965">
        <f>FIND(".", tblPassengerNames[[#This Row],[Name]])</f>
        <v>11</v>
      </c>
      <c r="G965" t="e">
        <f>FIND("(", tblPassengerNames[[#This Row],[Name]])</f>
        <v>#VALUE!</v>
      </c>
      <c r="H965" t="e">
        <f>FIND(")", tblPassengerNames[[#This Row],[Name]])</f>
        <v>#VALUE!</v>
      </c>
      <c r="I965">
        <f>IFERROR(tblPassengerNames[[#This Row],[OpenParPos]] - 2, LEN(tblPassengerNames[[#This Row],[Name]]))</f>
        <v>17</v>
      </c>
      <c r="J965" t="str">
        <f>MID(tblPassengerNames[[#This Row],[Name]], tblPassengerNames[[#This Row],[DotPos]] + 2, tblPassengerNames[[#This Row],[EndOfConvFNPos]] - tblPassengerNames[[#This Row],[DotPos]] - 1)</f>
        <v>Denis</v>
      </c>
      <c r="K965" t="e">
        <f>MID(tblPassengerNames[[#This Row],[Name]], tblPassengerNames[[#This Row],[OpenParPos]] + 1, tblPassengerNames[[#This Row],[CloseParPos]] - tblPassengerNames[[#This Row],[OpenParPos]] - 1)</f>
        <v>#VALUE!</v>
      </c>
      <c r="L965" t="e">
        <f>IF(AND(LEFT(tblPassengerNames[[#This Row],[InParentheses]], 1) = "'", RIGHT(tblPassengerNames[[#This Row],[InParentheses]], 1) = "'"),
    #VALUE!,
    tblPassengerNames[[#This Row],[InParentheses]]
)</f>
        <v>#VALUE!</v>
      </c>
      <c r="M965" t="e">
        <f>LEN(tblPassengerNames[[#This Row],[InParenthesesCleaned]]) - LEN(SUBSTITUTE(tblPassengerNames[[#This Row],[InParenthesesCleaned]], " ", ""))</f>
        <v>#VALUE!</v>
      </c>
      <c r="N965" t="e">
        <f>FIND("@", SUBSTITUTE(tblPassengerNames[[#This Row],[InParenthesesCleaned]], " ", "@", tblPassengerNames[[#This Row],[P_NSpaces]]))</f>
        <v>#VALUE!</v>
      </c>
      <c r="O965" t="e">
        <f>IF(tblPassengerNames[[#This Row],[P_NSpaces]] = 0,
    tblPassengerNames[[#This Row],[InParenthesesCleaned]],
    LEFT(tblPassengerNames[[#This Row],[InParenthesesCleaned]], tblPassengerNames[[#This Row],[P_FinalSpacePos]] - 1)
)</f>
        <v>#VALUE!</v>
      </c>
      <c r="P965" t="str">
        <f>IFERROR(tblPassengerNames[[#This Row],[P_Forenames]], tblPassengerNames[[#This Row],[ConvForenames]])</f>
        <v>Denis</v>
      </c>
      <c r="Q965" t="str">
        <f>MID(tblPassengerNames[[#This Row],[Name]], tblPassengerNames[[#This Row],[CommaPos]] + 2, tblPassengerNames[[#This Row],[DotPos]] - tblPassengerNames[[#This Row],[CommaPos]] - 1)</f>
        <v>Mr.</v>
      </c>
      <c r="R965" t="str">
        <f>LEFT(tblPassengerNames[[#This Row],[Name]], tblPassengerNames[[#This Row],[CommaPos]] - 1)</f>
        <v>Lennon</v>
      </c>
    </row>
    <row r="966" spans="2:18" x14ac:dyDescent="0.25">
      <c r="B966" s="21">
        <v>964</v>
      </c>
      <c r="C966" s="21" t="s">
        <v>1098</v>
      </c>
      <c r="D966" s="21" t="s">
        <v>138</v>
      </c>
      <c r="E966">
        <f>FIND(",", tblPassengerNames[[#This Row],[Name]])</f>
        <v>8</v>
      </c>
      <c r="F966">
        <f>FIND(".", tblPassengerNames[[#This Row],[Name]])</f>
        <v>12</v>
      </c>
      <c r="G966" t="e">
        <f>FIND("(", tblPassengerNames[[#This Row],[Name]])</f>
        <v>#VALUE!</v>
      </c>
      <c r="H966" t="e">
        <f>FIND(")", tblPassengerNames[[#This Row],[Name]])</f>
        <v>#VALUE!</v>
      </c>
      <c r="I966">
        <f>IFERROR(tblPassengerNames[[#This Row],[OpenParPos]] - 2, LEN(tblPassengerNames[[#This Row],[Name]]))</f>
        <v>19</v>
      </c>
      <c r="J966" t="str">
        <f>MID(tblPassengerNames[[#This Row],[Name]], tblPassengerNames[[#This Row],[DotPos]] + 2, tblPassengerNames[[#This Row],[EndOfConvFNPos]] - tblPassengerNames[[#This Row],[DotPos]] - 1)</f>
        <v>Lionel</v>
      </c>
      <c r="K966" t="e">
        <f>MID(tblPassengerNames[[#This Row],[Name]], tblPassengerNames[[#This Row],[OpenParPos]] + 1, tblPassengerNames[[#This Row],[CloseParPos]] - tblPassengerNames[[#This Row],[OpenParPos]] - 1)</f>
        <v>#VALUE!</v>
      </c>
      <c r="L966" t="e">
        <f>IF(AND(LEFT(tblPassengerNames[[#This Row],[InParentheses]], 1) = "'", RIGHT(tblPassengerNames[[#This Row],[InParentheses]], 1) = "'"),
    #VALUE!,
    tblPassengerNames[[#This Row],[InParentheses]]
)</f>
        <v>#VALUE!</v>
      </c>
      <c r="M966" t="e">
        <f>LEN(tblPassengerNames[[#This Row],[InParenthesesCleaned]]) - LEN(SUBSTITUTE(tblPassengerNames[[#This Row],[InParenthesesCleaned]], " ", ""))</f>
        <v>#VALUE!</v>
      </c>
      <c r="N966" t="e">
        <f>FIND("@", SUBSTITUTE(tblPassengerNames[[#This Row],[InParenthesesCleaned]], " ", "@", tblPassengerNames[[#This Row],[P_NSpaces]]))</f>
        <v>#VALUE!</v>
      </c>
      <c r="O966" t="e">
        <f>IF(tblPassengerNames[[#This Row],[P_NSpaces]] = 0,
    tblPassengerNames[[#This Row],[InParenthesesCleaned]],
    LEFT(tblPassengerNames[[#This Row],[InParenthesesCleaned]], tblPassengerNames[[#This Row],[P_FinalSpacePos]] - 1)
)</f>
        <v>#VALUE!</v>
      </c>
      <c r="P966" t="str">
        <f>IFERROR(tblPassengerNames[[#This Row],[P_Forenames]], tblPassengerNames[[#This Row],[ConvForenames]])</f>
        <v>Lionel</v>
      </c>
      <c r="Q966" t="str">
        <f>MID(tblPassengerNames[[#This Row],[Name]], tblPassengerNames[[#This Row],[CommaPos]] + 2, tblPassengerNames[[#This Row],[DotPos]] - tblPassengerNames[[#This Row],[CommaPos]] - 1)</f>
        <v>Mr.</v>
      </c>
      <c r="R966" t="str">
        <f>LEFT(tblPassengerNames[[#This Row],[Name]], tblPassengerNames[[#This Row],[CommaPos]] - 1)</f>
        <v>Leonard</v>
      </c>
    </row>
    <row r="967" spans="2:18" x14ac:dyDescent="0.25">
      <c r="B967" s="21">
        <v>965</v>
      </c>
      <c r="C967" s="21" t="s">
        <v>1099</v>
      </c>
      <c r="D967" s="21" t="s">
        <v>138</v>
      </c>
      <c r="E967">
        <f>FIND(",", tblPassengerNames[[#This Row],[Name]])</f>
        <v>7</v>
      </c>
      <c r="F967">
        <f>FIND(".", tblPassengerNames[[#This Row],[Name]])</f>
        <v>11</v>
      </c>
      <c r="G967" t="e">
        <f>FIND("(", tblPassengerNames[[#This Row],[Name]])</f>
        <v>#VALUE!</v>
      </c>
      <c r="H967" t="e">
        <f>FIND(")", tblPassengerNames[[#This Row],[Name]])</f>
        <v>#VALUE!</v>
      </c>
      <c r="I967">
        <f>IFERROR(tblPassengerNames[[#This Row],[OpenParPos]] - 2, LEN(tblPassengerNames[[#This Row],[Name]]))</f>
        <v>17</v>
      </c>
      <c r="J967" t="str">
        <f>MID(tblPassengerNames[[#This Row],[Name]], tblPassengerNames[[#This Row],[DotPos]] + 2, tblPassengerNames[[#This Row],[EndOfConvFNPos]] - tblPassengerNames[[#This Row],[DotPos]] - 1)</f>
        <v>James</v>
      </c>
      <c r="K967" t="e">
        <f>MID(tblPassengerNames[[#This Row],[Name]], tblPassengerNames[[#This Row],[OpenParPos]] + 1, tblPassengerNames[[#This Row],[CloseParPos]] - tblPassengerNames[[#This Row],[OpenParPos]] - 1)</f>
        <v>#VALUE!</v>
      </c>
      <c r="L967" t="e">
        <f>IF(AND(LEFT(tblPassengerNames[[#This Row],[InParentheses]], 1) = "'", RIGHT(tblPassengerNames[[#This Row],[InParentheses]], 1) = "'"),
    #VALUE!,
    tblPassengerNames[[#This Row],[InParentheses]]
)</f>
        <v>#VALUE!</v>
      </c>
      <c r="M967" t="e">
        <f>LEN(tblPassengerNames[[#This Row],[InParenthesesCleaned]]) - LEN(SUBSTITUTE(tblPassengerNames[[#This Row],[InParenthesesCleaned]], " ", ""))</f>
        <v>#VALUE!</v>
      </c>
      <c r="N967" t="e">
        <f>FIND("@", SUBSTITUTE(tblPassengerNames[[#This Row],[InParenthesesCleaned]], " ", "@", tblPassengerNames[[#This Row],[P_NSpaces]]))</f>
        <v>#VALUE!</v>
      </c>
      <c r="O967" t="e">
        <f>IF(tblPassengerNames[[#This Row],[P_NSpaces]] = 0,
    tblPassengerNames[[#This Row],[InParenthesesCleaned]],
    LEFT(tblPassengerNames[[#This Row],[InParenthesesCleaned]], tblPassengerNames[[#This Row],[P_FinalSpacePos]] - 1)
)</f>
        <v>#VALUE!</v>
      </c>
      <c r="P967" t="str">
        <f>IFERROR(tblPassengerNames[[#This Row],[P_Forenames]], tblPassengerNames[[#This Row],[ConvForenames]])</f>
        <v>James</v>
      </c>
      <c r="Q967" t="str">
        <f>MID(tblPassengerNames[[#This Row],[Name]], tblPassengerNames[[#This Row],[CommaPos]] + 2, tblPassengerNames[[#This Row],[DotPos]] - tblPassengerNames[[#This Row],[CommaPos]] - 1)</f>
        <v>Mr.</v>
      </c>
      <c r="R967" t="str">
        <f>LEFT(tblPassengerNames[[#This Row],[Name]], tblPassengerNames[[#This Row],[CommaPos]] - 1)</f>
        <v>Lester</v>
      </c>
    </row>
    <row r="968" spans="2:18" x14ac:dyDescent="0.25">
      <c r="B968" s="21">
        <v>966</v>
      </c>
      <c r="C968" s="21" t="s">
        <v>1100</v>
      </c>
      <c r="D968" s="21" t="s">
        <v>138</v>
      </c>
      <c r="E968">
        <f>FIND(",", tblPassengerNames[[#This Row],[Name]])</f>
        <v>8</v>
      </c>
      <c r="F968">
        <f>FIND(".", tblPassengerNames[[#This Row],[Name]])</f>
        <v>12</v>
      </c>
      <c r="G968" t="e">
        <f>FIND("(", tblPassengerNames[[#This Row],[Name]])</f>
        <v>#VALUE!</v>
      </c>
      <c r="H968" t="e">
        <f>FIND(")", tblPassengerNames[[#This Row],[Name]])</f>
        <v>#VALUE!</v>
      </c>
      <c r="I968">
        <f>IFERROR(tblPassengerNames[[#This Row],[OpenParPos]] - 2, LEN(tblPassengerNames[[#This Row],[Name]]))</f>
        <v>22</v>
      </c>
      <c r="J968" t="str">
        <f>MID(tblPassengerNames[[#This Row],[Name]], tblPassengerNames[[#This Row],[DotPos]] + 2, tblPassengerNames[[#This Row],[EndOfConvFNPos]] - tblPassengerNames[[#This Row],[DotPos]] - 1)</f>
        <v>Rene Aime</v>
      </c>
      <c r="K968" t="e">
        <f>MID(tblPassengerNames[[#This Row],[Name]], tblPassengerNames[[#This Row],[OpenParPos]] + 1, tblPassengerNames[[#This Row],[CloseParPos]] - tblPassengerNames[[#This Row],[OpenParPos]] - 1)</f>
        <v>#VALUE!</v>
      </c>
      <c r="L968" t="e">
        <f>IF(AND(LEFT(tblPassengerNames[[#This Row],[InParentheses]], 1) = "'", RIGHT(tblPassengerNames[[#This Row],[InParentheses]], 1) = "'"),
    #VALUE!,
    tblPassengerNames[[#This Row],[InParentheses]]
)</f>
        <v>#VALUE!</v>
      </c>
      <c r="M968" t="e">
        <f>LEN(tblPassengerNames[[#This Row],[InParenthesesCleaned]]) - LEN(SUBSTITUTE(tblPassengerNames[[#This Row],[InParenthesesCleaned]], " ", ""))</f>
        <v>#VALUE!</v>
      </c>
      <c r="N968" t="e">
        <f>FIND("@", SUBSTITUTE(tblPassengerNames[[#This Row],[InParenthesesCleaned]], " ", "@", tblPassengerNames[[#This Row],[P_NSpaces]]))</f>
        <v>#VALUE!</v>
      </c>
      <c r="O968" t="e">
        <f>IF(tblPassengerNames[[#This Row],[P_NSpaces]] = 0,
    tblPassengerNames[[#This Row],[InParenthesesCleaned]],
    LEFT(tblPassengerNames[[#This Row],[InParenthesesCleaned]], tblPassengerNames[[#This Row],[P_FinalSpacePos]] - 1)
)</f>
        <v>#VALUE!</v>
      </c>
      <c r="P968" t="str">
        <f>IFERROR(tblPassengerNames[[#This Row],[P_Forenames]], tblPassengerNames[[#This Row],[ConvForenames]])</f>
        <v>Rene Aime</v>
      </c>
      <c r="Q968" t="str">
        <f>MID(tblPassengerNames[[#This Row],[Name]], tblPassengerNames[[#This Row],[CommaPos]] + 2, tblPassengerNames[[#This Row],[DotPos]] - tblPassengerNames[[#This Row],[CommaPos]] - 1)</f>
        <v>Mr.</v>
      </c>
      <c r="R968" t="str">
        <f>LEFT(tblPassengerNames[[#This Row],[Name]], tblPassengerNames[[#This Row],[CommaPos]] - 1)</f>
        <v>Lievens</v>
      </c>
    </row>
    <row r="969" spans="2:18" x14ac:dyDescent="0.25">
      <c r="B969" s="21">
        <v>967</v>
      </c>
      <c r="C969" s="21" t="s">
        <v>1101</v>
      </c>
      <c r="D969" s="21" t="s">
        <v>136</v>
      </c>
      <c r="E969">
        <f>FIND(",", tblPassengerNames[[#This Row],[Name]])</f>
        <v>8</v>
      </c>
      <c r="F969">
        <f>FIND(".", tblPassengerNames[[#This Row],[Name]])</f>
        <v>14</v>
      </c>
      <c r="G969" t="e">
        <f>FIND("(", tblPassengerNames[[#This Row],[Name]])</f>
        <v>#VALUE!</v>
      </c>
      <c r="H969" t="e">
        <f>FIND(")", tblPassengerNames[[#This Row],[Name]])</f>
        <v>#VALUE!</v>
      </c>
      <c r="I969">
        <f>IFERROR(tblPassengerNames[[#This Row],[OpenParPos]] - 2, LEN(tblPassengerNames[[#This Row],[Name]]))</f>
        <v>37</v>
      </c>
      <c r="J969" t="str">
        <f>MID(tblPassengerNames[[#This Row],[Name]], tblPassengerNames[[#This Row],[DotPos]] + 2, tblPassengerNames[[#This Row],[EndOfConvFNPos]] - tblPassengerNames[[#This Row],[DotPos]] - 1)</f>
        <v>Agda Thorilda Viktoria</v>
      </c>
      <c r="K969" t="e">
        <f>MID(tblPassengerNames[[#This Row],[Name]], tblPassengerNames[[#This Row],[OpenParPos]] + 1, tblPassengerNames[[#This Row],[CloseParPos]] - tblPassengerNames[[#This Row],[OpenParPos]] - 1)</f>
        <v>#VALUE!</v>
      </c>
      <c r="L969" t="e">
        <f>IF(AND(LEFT(tblPassengerNames[[#This Row],[InParentheses]], 1) = "'", RIGHT(tblPassengerNames[[#This Row],[InParentheses]], 1) = "'"),
    #VALUE!,
    tblPassengerNames[[#This Row],[InParentheses]]
)</f>
        <v>#VALUE!</v>
      </c>
      <c r="M969" t="e">
        <f>LEN(tblPassengerNames[[#This Row],[InParenthesesCleaned]]) - LEN(SUBSTITUTE(tblPassengerNames[[#This Row],[InParenthesesCleaned]], " ", ""))</f>
        <v>#VALUE!</v>
      </c>
      <c r="N969" t="e">
        <f>FIND("@", SUBSTITUTE(tblPassengerNames[[#This Row],[InParenthesesCleaned]], " ", "@", tblPassengerNames[[#This Row],[P_NSpaces]]))</f>
        <v>#VALUE!</v>
      </c>
      <c r="O969" t="e">
        <f>IF(tblPassengerNames[[#This Row],[P_NSpaces]] = 0,
    tblPassengerNames[[#This Row],[InParenthesesCleaned]],
    LEFT(tblPassengerNames[[#This Row],[InParenthesesCleaned]], tblPassengerNames[[#This Row],[P_FinalSpacePos]] - 1)
)</f>
        <v>#VALUE!</v>
      </c>
      <c r="P969" t="str">
        <f>IFERROR(tblPassengerNames[[#This Row],[P_Forenames]], tblPassengerNames[[#This Row],[ConvForenames]])</f>
        <v>Agda Thorilda Viktoria</v>
      </c>
      <c r="Q969" t="str">
        <f>MID(tblPassengerNames[[#This Row],[Name]], tblPassengerNames[[#This Row],[CommaPos]] + 2, tblPassengerNames[[#This Row],[DotPos]] - tblPassengerNames[[#This Row],[CommaPos]] - 1)</f>
        <v>Miss.</v>
      </c>
      <c r="R969" t="str">
        <f>LEFT(tblPassengerNames[[#This Row],[Name]], tblPassengerNames[[#This Row],[CommaPos]] - 1)</f>
        <v>Lindahl</v>
      </c>
    </row>
    <row r="970" spans="2:18" x14ac:dyDescent="0.25">
      <c r="B970" s="21">
        <v>968</v>
      </c>
      <c r="C970" s="21" t="s">
        <v>1102</v>
      </c>
      <c r="D970" s="21" t="s">
        <v>136</v>
      </c>
      <c r="E970">
        <f>FIND(",", tblPassengerNames[[#This Row],[Name]])</f>
        <v>9</v>
      </c>
      <c r="F970">
        <f>FIND(".", tblPassengerNames[[#This Row],[Name]])</f>
        <v>15</v>
      </c>
      <c r="G970" t="e">
        <f>FIND("(", tblPassengerNames[[#This Row],[Name]])</f>
        <v>#VALUE!</v>
      </c>
      <c r="H970" t="e">
        <f>FIND(")", tblPassengerNames[[#This Row],[Name]])</f>
        <v>#VALUE!</v>
      </c>
      <c r="I970">
        <f>IFERROR(tblPassengerNames[[#This Row],[OpenParPos]] - 2, LEN(tblPassengerNames[[#This Row],[Name]]))</f>
        <v>33</v>
      </c>
      <c r="J970" t="str">
        <f>MID(tblPassengerNames[[#This Row],[Name]], tblPassengerNames[[#This Row],[DotPos]] + 2, tblPassengerNames[[#This Row],[EndOfConvFNPos]] - tblPassengerNames[[#This Row],[DotPos]] - 1)</f>
        <v>Augusta Charlotta</v>
      </c>
      <c r="K970" t="e">
        <f>MID(tblPassengerNames[[#This Row],[Name]], tblPassengerNames[[#This Row],[OpenParPos]] + 1, tblPassengerNames[[#This Row],[CloseParPos]] - tblPassengerNames[[#This Row],[OpenParPos]] - 1)</f>
        <v>#VALUE!</v>
      </c>
      <c r="L970" t="e">
        <f>IF(AND(LEFT(tblPassengerNames[[#This Row],[InParentheses]], 1) = "'", RIGHT(tblPassengerNames[[#This Row],[InParentheses]], 1) = "'"),
    #VALUE!,
    tblPassengerNames[[#This Row],[InParentheses]]
)</f>
        <v>#VALUE!</v>
      </c>
      <c r="M970" t="e">
        <f>LEN(tblPassengerNames[[#This Row],[InParenthesesCleaned]]) - LEN(SUBSTITUTE(tblPassengerNames[[#This Row],[InParenthesesCleaned]], " ", ""))</f>
        <v>#VALUE!</v>
      </c>
      <c r="N970" t="e">
        <f>FIND("@", SUBSTITUTE(tblPassengerNames[[#This Row],[InParenthesesCleaned]], " ", "@", tblPassengerNames[[#This Row],[P_NSpaces]]))</f>
        <v>#VALUE!</v>
      </c>
      <c r="O970" t="e">
        <f>IF(tblPassengerNames[[#This Row],[P_NSpaces]] = 0,
    tblPassengerNames[[#This Row],[InParenthesesCleaned]],
    LEFT(tblPassengerNames[[#This Row],[InParenthesesCleaned]], tblPassengerNames[[#This Row],[P_FinalSpacePos]] - 1)
)</f>
        <v>#VALUE!</v>
      </c>
      <c r="P970" t="str">
        <f>IFERROR(tblPassengerNames[[#This Row],[P_Forenames]], tblPassengerNames[[#This Row],[ConvForenames]])</f>
        <v>Augusta Charlotta</v>
      </c>
      <c r="Q970" t="str">
        <f>MID(tblPassengerNames[[#This Row],[Name]], tblPassengerNames[[#This Row],[CommaPos]] + 2, tblPassengerNames[[#This Row],[DotPos]] - tblPassengerNames[[#This Row],[CommaPos]] - 1)</f>
        <v>Miss.</v>
      </c>
      <c r="R970" t="str">
        <f>LEFT(tblPassengerNames[[#This Row],[Name]], tblPassengerNames[[#This Row],[CommaPos]] - 1)</f>
        <v>Lindblom</v>
      </c>
    </row>
    <row r="971" spans="2:18" x14ac:dyDescent="0.25">
      <c r="B971" s="21">
        <v>969</v>
      </c>
      <c r="C971" s="21" t="s">
        <v>1103</v>
      </c>
      <c r="D971" s="21" t="s">
        <v>138</v>
      </c>
      <c r="E971">
        <f>FIND(",", tblPassengerNames[[#This Row],[Name]])</f>
        <v>8</v>
      </c>
      <c r="F971">
        <f>FIND(".", tblPassengerNames[[#This Row],[Name]])</f>
        <v>12</v>
      </c>
      <c r="G971" t="e">
        <f>FIND("(", tblPassengerNames[[#This Row],[Name]])</f>
        <v>#VALUE!</v>
      </c>
      <c r="H971" t="e">
        <f>FIND(")", tblPassengerNames[[#This Row],[Name]])</f>
        <v>#VALUE!</v>
      </c>
      <c r="I971">
        <f>IFERROR(tblPassengerNames[[#This Row],[OpenParPos]] - 2, LEN(tblPassengerNames[[#This Row],[Name]]))</f>
        <v>29</v>
      </c>
      <c r="J971" t="str">
        <f>MID(tblPassengerNames[[#This Row],[Name]], tblPassengerNames[[#This Row],[DotPos]] + 2, tblPassengerNames[[#This Row],[EndOfConvFNPos]] - tblPassengerNames[[#This Row],[DotPos]] - 1)</f>
        <v>Edvard Bengtsson</v>
      </c>
      <c r="K971" t="e">
        <f>MID(tblPassengerNames[[#This Row],[Name]], tblPassengerNames[[#This Row],[OpenParPos]] + 1, tblPassengerNames[[#This Row],[CloseParPos]] - tblPassengerNames[[#This Row],[OpenParPos]] - 1)</f>
        <v>#VALUE!</v>
      </c>
      <c r="L971" t="e">
        <f>IF(AND(LEFT(tblPassengerNames[[#This Row],[InParentheses]], 1) = "'", RIGHT(tblPassengerNames[[#This Row],[InParentheses]], 1) = "'"),
    #VALUE!,
    tblPassengerNames[[#This Row],[InParentheses]]
)</f>
        <v>#VALUE!</v>
      </c>
      <c r="M971" t="e">
        <f>LEN(tblPassengerNames[[#This Row],[InParenthesesCleaned]]) - LEN(SUBSTITUTE(tblPassengerNames[[#This Row],[InParenthesesCleaned]], " ", ""))</f>
        <v>#VALUE!</v>
      </c>
      <c r="N971" t="e">
        <f>FIND("@", SUBSTITUTE(tblPassengerNames[[#This Row],[InParenthesesCleaned]], " ", "@", tblPassengerNames[[#This Row],[P_NSpaces]]))</f>
        <v>#VALUE!</v>
      </c>
      <c r="O971" t="e">
        <f>IF(tblPassengerNames[[#This Row],[P_NSpaces]] = 0,
    tblPassengerNames[[#This Row],[InParenthesesCleaned]],
    LEFT(tblPassengerNames[[#This Row],[InParenthesesCleaned]], tblPassengerNames[[#This Row],[P_FinalSpacePos]] - 1)
)</f>
        <v>#VALUE!</v>
      </c>
      <c r="P971" t="str">
        <f>IFERROR(tblPassengerNames[[#This Row],[P_Forenames]], tblPassengerNames[[#This Row],[ConvForenames]])</f>
        <v>Edvard Bengtsson</v>
      </c>
      <c r="Q971" t="str">
        <f>MID(tblPassengerNames[[#This Row],[Name]], tblPassengerNames[[#This Row],[CommaPos]] + 2, tblPassengerNames[[#This Row],[DotPos]] - tblPassengerNames[[#This Row],[CommaPos]] - 1)</f>
        <v>Mr.</v>
      </c>
      <c r="R971" t="str">
        <f>LEFT(tblPassengerNames[[#This Row],[Name]], tblPassengerNames[[#This Row],[CommaPos]] - 1)</f>
        <v>Lindell</v>
      </c>
    </row>
    <row r="972" spans="2:18" x14ac:dyDescent="0.25">
      <c r="B972" s="21">
        <v>970</v>
      </c>
      <c r="C972" s="21" t="s">
        <v>1104</v>
      </c>
      <c r="D972" s="21" t="s">
        <v>136</v>
      </c>
      <c r="E972">
        <f>FIND(",", tblPassengerNames[[#This Row],[Name]])</f>
        <v>8</v>
      </c>
      <c r="F972">
        <f>FIND(".", tblPassengerNames[[#This Row],[Name]])</f>
        <v>13</v>
      </c>
      <c r="G972">
        <f>FIND("(", tblPassengerNames[[#This Row],[Name]])</f>
        <v>32</v>
      </c>
      <c r="H972">
        <f>FIND(")", tblPassengerNames[[#This Row],[Name]])</f>
        <v>51</v>
      </c>
      <c r="I972">
        <f>IFERROR(tblPassengerNames[[#This Row],[OpenParPos]] - 2, LEN(tblPassengerNames[[#This Row],[Name]]))</f>
        <v>30</v>
      </c>
      <c r="J972" t="str">
        <f>MID(tblPassengerNames[[#This Row],[Name]], tblPassengerNames[[#This Row],[DotPos]] + 2, tblPassengerNames[[#This Row],[EndOfConvFNPos]] - tblPassengerNames[[#This Row],[DotPos]] - 1)</f>
        <v>Edvard Bengtsson</v>
      </c>
      <c r="K972" t="str">
        <f>MID(tblPassengerNames[[#This Row],[Name]], tblPassengerNames[[#This Row],[OpenParPos]] + 1, tblPassengerNames[[#This Row],[CloseParPos]] - tblPassengerNames[[#This Row],[OpenParPos]] - 1)</f>
        <v>Elin Gerda Persson</v>
      </c>
      <c r="L972" t="str">
        <f>IF(AND(LEFT(tblPassengerNames[[#This Row],[InParentheses]], 1) = "'", RIGHT(tblPassengerNames[[#This Row],[InParentheses]], 1) = "'"),
    #VALUE!,
    tblPassengerNames[[#This Row],[InParentheses]]
)</f>
        <v>Elin Gerda Persson</v>
      </c>
      <c r="M972">
        <f>LEN(tblPassengerNames[[#This Row],[InParenthesesCleaned]]) - LEN(SUBSTITUTE(tblPassengerNames[[#This Row],[InParenthesesCleaned]], " ", ""))</f>
        <v>2</v>
      </c>
      <c r="N972">
        <f>FIND("@", SUBSTITUTE(tblPassengerNames[[#This Row],[InParenthesesCleaned]], " ", "@", tblPassengerNames[[#This Row],[P_NSpaces]]))</f>
        <v>11</v>
      </c>
      <c r="O972" t="str">
        <f>IF(tblPassengerNames[[#This Row],[P_NSpaces]] = 0,
    tblPassengerNames[[#This Row],[InParenthesesCleaned]],
    LEFT(tblPassengerNames[[#This Row],[InParenthesesCleaned]], tblPassengerNames[[#This Row],[P_FinalSpacePos]] - 1)
)</f>
        <v>Elin Gerda</v>
      </c>
      <c r="P972" t="str">
        <f>IFERROR(tblPassengerNames[[#This Row],[P_Forenames]], tblPassengerNames[[#This Row],[ConvForenames]])</f>
        <v>Elin Gerda</v>
      </c>
      <c r="Q972" t="str">
        <f>MID(tblPassengerNames[[#This Row],[Name]], tblPassengerNames[[#This Row],[CommaPos]] + 2, tblPassengerNames[[#This Row],[DotPos]] - tblPassengerNames[[#This Row],[CommaPos]] - 1)</f>
        <v>Mrs.</v>
      </c>
      <c r="R972" t="str">
        <f>LEFT(tblPassengerNames[[#This Row],[Name]], tblPassengerNames[[#This Row],[CommaPos]] - 1)</f>
        <v>Lindell</v>
      </c>
    </row>
    <row r="973" spans="2:18" x14ac:dyDescent="0.25">
      <c r="B973" s="21">
        <v>971</v>
      </c>
      <c r="C973" s="21" t="s">
        <v>1105</v>
      </c>
      <c r="D973" s="21" t="s">
        <v>138</v>
      </c>
      <c r="E973">
        <f>FIND(",", tblPassengerNames[[#This Row],[Name]])</f>
        <v>10</v>
      </c>
      <c r="F973">
        <f>FIND(".", tblPassengerNames[[#This Row],[Name]])</f>
        <v>14</v>
      </c>
      <c r="G973" t="e">
        <f>FIND("(", tblPassengerNames[[#This Row],[Name]])</f>
        <v>#VALUE!</v>
      </c>
      <c r="H973" t="e">
        <f>FIND(")", tblPassengerNames[[#This Row],[Name]])</f>
        <v>#VALUE!</v>
      </c>
      <c r="I973">
        <f>IFERROR(tblPassengerNames[[#This Row],[OpenParPos]] - 2, LEN(tblPassengerNames[[#This Row],[Name]]))</f>
        <v>27</v>
      </c>
      <c r="J973" t="str">
        <f>MID(tblPassengerNames[[#This Row],[Name]], tblPassengerNames[[#This Row],[DotPos]] + 2, tblPassengerNames[[#This Row],[EndOfConvFNPos]] - tblPassengerNames[[#This Row],[DotPos]] - 1)</f>
        <v>Eino William</v>
      </c>
      <c r="K973" t="e">
        <f>MID(tblPassengerNames[[#This Row],[Name]], tblPassengerNames[[#This Row],[OpenParPos]] + 1, tblPassengerNames[[#This Row],[CloseParPos]] - tblPassengerNames[[#This Row],[OpenParPos]] - 1)</f>
        <v>#VALUE!</v>
      </c>
      <c r="L973" t="e">
        <f>IF(AND(LEFT(tblPassengerNames[[#This Row],[InParentheses]], 1) = "'", RIGHT(tblPassengerNames[[#This Row],[InParentheses]], 1) = "'"),
    #VALUE!,
    tblPassengerNames[[#This Row],[InParentheses]]
)</f>
        <v>#VALUE!</v>
      </c>
      <c r="M973" t="e">
        <f>LEN(tblPassengerNames[[#This Row],[InParenthesesCleaned]]) - LEN(SUBSTITUTE(tblPassengerNames[[#This Row],[InParenthesesCleaned]], " ", ""))</f>
        <v>#VALUE!</v>
      </c>
      <c r="N973" t="e">
        <f>FIND("@", SUBSTITUTE(tblPassengerNames[[#This Row],[InParenthesesCleaned]], " ", "@", tblPassengerNames[[#This Row],[P_NSpaces]]))</f>
        <v>#VALUE!</v>
      </c>
      <c r="O973" t="e">
        <f>IF(tblPassengerNames[[#This Row],[P_NSpaces]] = 0,
    tblPassengerNames[[#This Row],[InParenthesesCleaned]],
    LEFT(tblPassengerNames[[#This Row],[InParenthesesCleaned]], tblPassengerNames[[#This Row],[P_FinalSpacePos]] - 1)
)</f>
        <v>#VALUE!</v>
      </c>
      <c r="P973" t="str">
        <f>IFERROR(tblPassengerNames[[#This Row],[P_Forenames]], tblPassengerNames[[#This Row],[ConvForenames]])</f>
        <v>Eino William</v>
      </c>
      <c r="Q973" t="str">
        <f>MID(tblPassengerNames[[#This Row],[Name]], tblPassengerNames[[#This Row],[CommaPos]] + 2, tblPassengerNames[[#This Row],[DotPos]] - tblPassengerNames[[#This Row],[CommaPos]] - 1)</f>
        <v>Mr.</v>
      </c>
      <c r="R973" t="str">
        <f>LEFT(tblPassengerNames[[#This Row],[Name]], tblPassengerNames[[#This Row],[CommaPos]] - 1)</f>
        <v>Lindqvist</v>
      </c>
    </row>
    <row r="974" spans="2:18" x14ac:dyDescent="0.25">
      <c r="B974" s="21">
        <v>972</v>
      </c>
      <c r="C974" s="21" t="s">
        <v>1106</v>
      </c>
      <c r="D974" s="21" t="s">
        <v>138</v>
      </c>
      <c r="E974">
        <f>FIND(",", tblPassengerNames[[#This Row],[Name]])</f>
        <v>8</v>
      </c>
      <c r="F974">
        <f>FIND(".", tblPassengerNames[[#This Row],[Name]])</f>
        <v>12</v>
      </c>
      <c r="G974" t="e">
        <f>FIND("(", tblPassengerNames[[#This Row],[Name]])</f>
        <v>#VALUE!</v>
      </c>
      <c r="H974" t="e">
        <f>FIND(")", tblPassengerNames[[#This Row],[Name]])</f>
        <v>#VALUE!</v>
      </c>
      <c r="I974">
        <f>IFERROR(tblPassengerNames[[#This Row],[OpenParPos]] - 2, LEN(tblPassengerNames[[#This Row],[Name]]))</f>
        <v>20</v>
      </c>
      <c r="J974" t="str">
        <f>MID(tblPassengerNames[[#This Row],[Name]], tblPassengerNames[[#This Row],[DotPos]] + 2, tblPassengerNames[[#This Row],[EndOfConvFNPos]] - tblPassengerNames[[#This Row],[DotPos]] - 1)</f>
        <v>Michael</v>
      </c>
      <c r="K974" t="e">
        <f>MID(tblPassengerNames[[#This Row],[Name]], tblPassengerNames[[#This Row],[OpenParPos]] + 1, tblPassengerNames[[#This Row],[CloseParPos]] - tblPassengerNames[[#This Row],[OpenParPos]] - 1)</f>
        <v>#VALUE!</v>
      </c>
      <c r="L974" t="e">
        <f>IF(AND(LEFT(tblPassengerNames[[#This Row],[InParentheses]], 1) = "'", RIGHT(tblPassengerNames[[#This Row],[InParentheses]], 1) = "'"),
    #VALUE!,
    tblPassengerNames[[#This Row],[InParentheses]]
)</f>
        <v>#VALUE!</v>
      </c>
      <c r="M974" t="e">
        <f>LEN(tblPassengerNames[[#This Row],[InParenthesesCleaned]]) - LEN(SUBSTITUTE(tblPassengerNames[[#This Row],[InParenthesesCleaned]], " ", ""))</f>
        <v>#VALUE!</v>
      </c>
      <c r="N974" t="e">
        <f>FIND("@", SUBSTITUTE(tblPassengerNames[[#This Row],[InParenthesesCleaned]], " ", "@", tblPassengerNames[[#This Row],[P_NSpaces]]))</f>
        <v>#VALUE!</v>
      </c>
      <c r="O974" t="e">
        <f>IF(tblPassengerNames[[#This Row],[P_NSpaces]] = 0,
    tblPassengerNames[[#This Row],[InParenthesesCleaned]],
    LEFT(tblPassengerNames[[#This Row],[InParenthesesCleaned]], tblPassengerNames[[#This Row],[P_FinalSpacePos]] - 1)
)</f>
        <v>#VALUE!</v>
      </c>
      <c r="P974" t="str">
        <f>IFERROR(tblPassengerNames[[#This Row],[P_Forenames]], tblPassengerNames[[#This Row],[ConvForenames]])</f>
        <v>Michael</v>
      </c>
      <c r="Q974" t="str">
        <f>MID(tblPassengerNames[[#This Row],[Name]], tblPassengerNames[[#This Row],[CommaPos]] + 2, tblPassengerNames[[#This Row],[DotPos]] - tblPassengerNames[[#This Row],[CommaPos]] - 1)</f>
        <v>Mr.</v>
      </c>
      <c r="R974" t="str">
        <f>LEFT(tblPassengerNames[[#This Row],[Name]], tblPassengerNames[[#This Row],[CommaPos]] - 1)</f>
        <v>Linehan</v>
      </c>
    </row>
    <row r="975" spans="2:18" x14ac:dyDescent="0.25">
      <c r="B975" s="21">
        <v>973</v>
      </c>
      <c r="C975" s="21" t="s">
        <v>1107</v>
      </c>
      <c r="D975" s="21" t="s">
        <v>138</v>
      </c>
      <c r="E975">
        <f>FIND(",", tblPassengerNames[[#This Row],[Name]])</f>
        <v>5</v>
      </c>
      <c r="F975">
        <f>FIND(".", tblPassengerNames[[#This Row],[Name]])</f>
        <v>9</v>
      </c>
      <c r="G975" t="e">
        <f>FIND("(", tblPassengerNames[[#This Row],[Name]])</f>
        <v>#VALUE!</v>
      </c>
      <c r="H975" t="e">
        <f>FIND(")", tblPassengerNames[[#This Row],[Name]])</f>
        <v>#VALUE!</v>
      </c>
      <c r="I975">
        <f>IFERROR(tblPassengerNames[[#This Row],[OpenParPos]] - 2, LEN(tblPassengerNames[[#This Row],[Name]]))</f>
        <v>13</v>
      </c>
      <c r="J975" t="str">
        <f>MID(tblPassengerNames[[#This Row],[Name]], tblPassengerNames[[#This Row],[DotPos]] + 2, tblPassengerNames[[#This Row],[EndOfConvFNPos]] - tblPassengerNames[[#This Row],[DotPos]] - 1)</f>
        <v>Lee</v>
      </c>
      <c r="K975" t="e">
        <f>MID(tblPassengerNames[[#This Row],[Name]], tblPassengerNames[[#This Row],[OpenParPos]] + 1, tblPassengerNames[[#This Row],[CloseParPos]] - tblPassengerNames[[#This Row],[OpenParPos]] - 1)</f>
        <v>#VALUE!</v>
      </c>
      <c r="L975" t="e">
        <f>IF(AND(LEFT(tblPassengerNames[[#This Row],[InParentheses]], 1) = "'", RIGHT(tblPassengerNames[[#This Row],[InParentheses]], 1) = "'"),
    #VALUE!,
    tblPassengerNames[[#This Row],[InParentheses]]
)</f>
        <v>#VALUE!</v>
      </c>
      <c r="M975" t="e">
        <f>LEN(tblPassengerNames[[#This Row],[InParenthesesCleaned]]) - LEN(SUBSTITUTE(tblPassengerNames[[#This Row],[InParenthesesCleaned]], " ", ""))</f>
        <v>#VALUE!</v>
      </c>
      <c r="N975" t="e">
        <f>FIND("@", SUBSTITUTE(tblPassengerNames[[#This Row],[InParenthesesCleaned]], " ", "@", tblPassengerNames[[#This Row],[P_NSpaces]]))</f>
        <v>#VALUE!</v>
      </c>
      <c r="O975" t="e">
        <f>IF(tblPassengerNames[[#This Row],[P_NSpaces]] = 0,
    tblPassengerNames[[#This Row],[InParenthesesCleaned]],
    LEFT(tblPassengerNames[[#This Row],[InParenthesesCleaned]], tblPassengerNames[[#This Row],[P_FinalSpacePos]] - 1)
)</f>
        <v>#VALUE!</v>
      </c>
      <c r="P975" t="str">
        <f>IFERROR(tblPassengerNames[[#This Row],[P_Forenames]], tblPassengerNames[[#This Row],[ConvForenames]])</f>
        <v>Lee</v>
      </c>
      <c r="Q975" t="str">
        <f>MID(tblPassengerNames[[#This Row],[Name]], tblPassengerNames[[#This Row],[CommaPos]] + 2, tblPassengerNames[[#This Row],[DotPos]] - tblPassengerNames[[#This Row],[CommaPos]] - 1)</f>
        <v>Mr.</v>
      </c>
      <c r="R975" t="str">
        <f>LEFT(tblPassengerNames[[#This Row],[Name]], tblPassengerNames[[#This Row],[CommaPos]] - 1)</f>
        <v>Ling</v>
      </c>
    </row>
    <row r="976" spans="2:18" x14ac:dyDescent="0.25">
      <c r="B976" s="21">
        <v>974</v>
      </c>
      <c r="C976" s="21" t="s">
        <v>1108</v>
      </c>
      <c r="D976" s="21" t="s">
        <v>138</v>
      </c>
      <c r="E976">
        <f>FIND(",", tblPassengerNames[[#This Row],[Name]])</f>
        <v>8</v>
      </c>
      <c r="F976">
        <f>FIND(".", tblPassengerNames[[#This Row],[Name]])</f>
        <v>12</v>
      </c>
      <c r="G976" t="e">
        <f>FIND("(", tblPassengerNames[[#This Row],[Name]])</f>
        <v>#VALUE!</v>
      </c>
      <c r="H976" t="e">
        <f>FIND(")", tblPassengerNames[[#This Row],[Name]])</f>
        <v>#VALUE!</v>
      </c>
      <c r="I976">
        <f>IFERROR(tblPassengerNames[[#This Row],[OpenParPos]] - 2, LEN(tblPassengerNames[[#This Row],[Name]]))</f>
        <v>18</v>
      </c>
      <c r="J976" t="str">
        <f>MID(tblPassengerNames[[#This Row],[Name]], tblPassengerNames[[#This Row],[DotPos]] + 2, tblPassengerNames[[#This Row],[EndOfConvFNPos]] - tblPassengerNames[[#This Row],[DotPos]] - 1)</f>
        <v>Simon</v>
      </c>
      <c r="K976" t="e">
        <f>MID(tblPassengerNames[[#This Row],[Name]], tblPassengerNames[[#This Row],[OpenParPos]] + 1, tblPassengerNames[[#This Row],[CloseParPos]] - tblPassengerNames[[#This Row],[OpenParPos]] - 1)</f>
        <v>#VALUE!</v>
      </c>
      <c r="L976" t="e">
        <f>IF(AND(LEFT(tblPassengerNames[[#This Row],[InParentheses]], 1) = "'", RIGHT(tblPassengerNames[[#This Row],[InParentheses]], 1) = "'"),
    #VALUE!,
    tblPassengerNames[[#This Row],[InParentheses]]
)</f>
        <v>#VALUE!</v>
      </c>
      <c r="M976" t="e">
        <f>LEN(tblPassengerNames[[#This Row],[InParenthesesCleaned]]) - LEN(SUBSTITUTE(tblPassengerNames[[#This Row],[InParenthesesCleaned]], " ", ""))</f>
        <v>#VALUE!</v>
      </c>
      <c r="N976" t="e">
        <f>FIND("@", SUBSTITUTE(tblPassengerNames[[#This Row],[InParenthesesCleaned]], " ", "@", tblPassengerNames[[#This Row],[P_NSpaces]]))</f>
        <v>#VALUE!</v>
      </c>
      <c r="O976" t="e">
        <f>IF(tblPassengerNames[[#This Row],[P_NSpaces]] = 0,
    tblPassengerNames[[#This Row],[InParenthesesCleaned]],
    LEFT(tblPassengerNames[[#This Row],[InParenthesesCleaned]], tblPassengerNames[[#This Row],[P_FinalSpacePos]] - 1)
)</f>
        <v>#VALUE!</v>
      </c>
      <c r="P976" t="str">
        <f>IFERROR(tblPassengerNames[[#This Row],[P_Forenames]], tblPassengerNames[[#This Row],[ConvForenames]])</f>
        <v>Simon</v>
      </c>
      <c r="Q976" t="str">
        <f>MID(tblPassengerNames[[#This Row],[Name]], tblPassengerNames[[#This Row],[CommaPos]] + 2, tblPassengerNames[[#This Row],[DotPos]] - tblPassengerNames[[#This Row],[CommaPos]] - 1)</f>
        <v>Mr.</v>
      </c>
      <c r="R976" t="str">
        <f>LEFT(tblPassengerNames[[#This Row],[Name]], tblPassengerNames[[#This Row],[CommaPos]] - 1)</f>
        <v>Lithman</v>
      </c>
    </row>
    <row r="977" spans="2:18" x14ac:dyDescent="0.25">
      <c r="B977" s="21">
        <v>975</v>
      </c>
      <c r="C977" s="21" t="s">
        <v>1109</v>
      </c>
      <c r="D977" s="21" t="s">
        <v>138</v>
      </c>
      <c r="E977">
        <f>FIND(",", tblPassengerNames[[#This Row],[Name]])</f>
        <v>5</v>
      </c>
      <c r="F977">
        <f>FIND(".", tblPassengerNames[[#This Row],[Name]])</f>
        <v>9</v>
      </c>
      <c r="G977" t="e">
        <f>FIND("(", tblPassengerNames[[#This Row],[Name]])</f>
        <v>#VALUE!</v>
      </c>
      <c r="H977" t="e">
        <f>FIND(")", tblPassengerNames[[#This Row],[Name]])</f>
        <v>#VALUE!</v>
      </c>
      <c r="I977">
        <f>IFERROR(tblPassengerNames[[#This Row],[OpenParPos]] - 2, LEN(tblPassengerNames[[#This Row],[Name]]))</f>
        <v>24</v>
      </c>
      <c r="J977" t="str">
        <f>MID(tblPassengerNames[[#This Row],[Name]], tblPassengerNames[[#This Row],[DotPos]] + 2, tblPassengerNames[[#This Row],[EndOfConvFNPos]] - tblPassengerNames[[#This Row],[DotPos]] - 1)</f>
        <v>William Arthur</v>
      </c>
      <c r="K977" t="e">
        <f>MID(tblPassengerNames[[#This Row],[Name]], tblPassengerNames[[#This Row],[OpenParPos]] + 1, tblPassengerNames[[#This Row],[CloseParPos]] - tblPassengerNames[[#This Row],[OpenParPos]] - 1)</f>
        <v>#VALUE!</v>
      </c>
      <c r="L977" t="e">
        <f>IF(AND(LEFT(tblPassengerNames[[#This Row],[InParentheses]], 1) = "'", RIGHT(tblPassengerNames[[#This Row],[InParentheses]], 1) = "'"),
    #VALUE!,
    tblPassengerNames[[#This Row],[InParentheses]]
)</f>
        <v>#VALUE!</v>
      </c>
      <c r="M977" t="e">
        <f>LEN(tblPassengerNames[[#This Row],[InParenthesesCleaned]]) - LEN(SUBSTITUTE(tblPassengerNames[[#This Row],[InParenthesesCleaned]], " ", ""))</f>
        <v>#VALUE!</v>
      </c>
      <c r="N977" t="e">
        <f>FIND("@", SUBSTITUTE(tblPassengerNames[[#This Row],[InParenthesesCleaned]], " ", "@", tblPassengerNames[[#This Row],[P_NSpaces]]))</f>
        <v>#VALUE!</v>
      </c>
      <c r="O977" t="e">
        <f>IF(tblPassengerNames[[#This Row],[P_NSpaces]] = 0,
    tblPassengerNames[[#This Row],[InParenthesesCleaned]],
    LEFT(tblPassengerNames[[#This Row],[InParenthesesCleaned]], tblPassengerNames[[#This Row],[P_FinalSpacePos]] - 1)
)</f>
        <v>#VALUE!</v>
      </c>
      <c r="P977" t="str">
        <f>IFERROR(tblPassengerNames[[#This Row],[P_Forenames]], tblPassengerNames[[#This Row],[ConvForenames]])</f>
        <v>William Arthur</v>
      </c>
      <c r="Q977" t="str">
        <f>MID(tblPassengerNames[[#This Row],[Name]], tblPassengerNames[[#This Row],[CommaPos]] + 2, tblPassengerNames[[#This Row],[DotPos]] - tblPassengerNames[[#This Row],[CommaPos]] - 1)</f>
        <v>Mr.</v>
      </c>
      <c r="R977" t="str">
        <f>LEFT(tblPassengerNames[[#This Row],[Name]], tblPassengerNames[[#This Row],[CommaPos]] - 1)</f>
        <v>Lobb</v>
      </c>
    </row>
    <row r="978" spans="2:18" x14ac:dyDescent="0.25">
      <c r="B978" s="21">
        <v>976</v>
      </c>
      <c r="C978" s="21" t="s">
        <v>1110</v>
      </c>
      <c r="D978" s="21" t="s">
        <v>136</v>
      </c>
      <c r="E978">
        <f>FIND(",", tblPassengerNames[[#This Row],[Name]])</f>
        <v>5</v>
      </c>
      <c r="F978">
        <f>FIND(".", tblPassengerNames[[#This Row],[Name]])</f>
        <v>10</v>
      </c>
      <c r="G978">
        <f>FIND("(", tblPassengerNames[[#This Row],[Name]])</f>
        <v>27</v>
      </c>
      <c r="H978">
        <f>FIND(")", tblPassengerNames[[#This Row],[Name]])</f>
        <v>47</v>
      </c>
      <c r="I978">
        <f>IFERROR(tblPassengerNames[[#This Row],[OpenParPos]] - 2, LEN(tblPassengerNames[[#This Row],[Name]]))</f>
        <v>25</v>
      </c>
      <c r="J978" t="str">
        <f>MID(tblPassengerNames[[#This Row],[Name]], tblPassengerNames[[#This Row],[DotPos]] + 2, tblPassengerNames[[#This Row],[EndOfConvFNPos]] - tblPassengerNames[[#This Row],[DotPos]] - 1)</f>
        <v>William Arthur</v>
      </c>
      <c r="K978" t="str">
        <f>MID(tblPassengerNames[[#This Row],[Name]], tblPassengerNames[[#This Row],[OpenParPos]] + 1, tblPassengerNames[[#This Row],[CloseParPos]] - tblPassengerNames[[#This Row],[OpenParPos]] - 1)</f>
        <v>Cordelia K Stanlick</v>
      </c>
      <c r="L978" t="str">
        <f>IF(AND(LEFT(tblPassengerNames[[#This Row],[InParentheses]], 1) = "'", RIGHT(tblPassengerNames[[#This Row],[InParentheses]], 1) = "'"),
    #VALUE!,
    tblPassengerNames[[#This Row],[InParentheses]]
)</f>
        <v>Cordelia K Stanlick</v>
      </c>
      <c r="M978">
        <f>LEN(tblPassengerNames[[#This Row],[InParenthesesCleaned]]) - LEN(SUBSTITUTE(tblPassengerNames[[#This Row],[InParenthesesCleaned]], " ", ""))</f>
        <v>2</v>
      </c>
      <c r="N978">
        <f>FIND("@", SUBSTITUTE(tblPassengerNames[[#This Row],[InParenthesesCleaned]], " ", "@", tblPassengerNames[[#This Row],[P_NSpaces]]))</f>
        <v>11</v>
      </c>
      <c r="O978" t="str">
        <f>IF(tblPassengerNames[[#This Row],[P_NSpaces]] = 0,
    tblPassengerNames[[#This Row],[InParenthesesCleaned]],
    LEFT(tblPassengerNames[[#This Row],[InParenthesesCleaned]], tblPassengerNames[[#This Row],[P_FinalSpacePos]] - 1)
)</f>
        <v>Cordelia K</v>
      </c>
      <c r="P978" t="str">
        <f>IFERROR(tblPassengerNames[[#This Row],[P_Forenames]], tblPassengerNames[[#This Row],[ConvForenames]])</f>
        <v>Cordelia K</v>
      </c>
      <c r="Q978" t="str">
        <f>MID(tblPassengerNames[[#This Row],[Name]], tblPassengerNames[[#This Row],[CommaPos]] + 2, tblPassengerNames[[#This Row],[DotPos]] - tblPassengerNames[[#This Row],[CommaPos]] - 1)</f>
        <v>Mrs.</v>
      </c>
      <c r="R978" t="str">
        <f>LEFT(tblPassengerNames[[#This Row],[Name]], tblPassengerNames[[#This Row],[CommaPos]] - 1)</f>
        <v>Lobb</v>
      </c>
    </row>
    <row r="979" spans="2:18" x14ac:dyDescent="0.25">
      <c r="B979" s="21">
        <v>977</v>
      </c>
      <c r="C979" s="21" t="s">
        <v>1111</v>
      </c>
      <c r="D979" s="21" t="s">
        <v>138</v>
      </c>
      <c r="E979">
        <f>FIND(",", tblPassengerNames[[#This Row],[Name]])</f>
        <v>8</v>
      </c>
      <c r="F979">
        <f>FIND(".", tblPassengerNames[[#This Row],[Name]])</f>
        <v>12</v>
      </c>
      <c r="G979" t="e">
        <f>FIND("(", tblPassengerNames[[#This Row],[Name]])</f>
        <v>#VALUE!</v>
      </c>
      <c r="H979" t="e">
        <f>FIND(")", tblPassengerNames[[#This Row],[Name]])</f>
        <v>#VALUE!</v>
      </c>
      <c r="I979">
        <f>IFERROR(tblPassengerNames[[#This Row],[OpenParPos]] - 2, LEN(tblPassengerNames[[#This Row],[Name]]))</f>
        <v>19</v>
      </c>
      <c r="J979" t="str">
        <f>MID(tblPassengerNames[[#This Row],[Name]], tblPassengerNames[[#This Row],[DotPos]] + 2, tblPassengerNames[[#This Row],[EndOfConvFNPos]] - tblPassengerNames[[#This Row],[DotPos]] - 1)</f>
        <v>Edward</v>
      </c>
      <c r="K979" t="e">
        <f>MID(tblPassengerNames[[#This Row],[Name]], tblPassengerNames[[#This Row],[OpenParPos]] + 1, tblPassengerNames[[#This Row],[CloseParPos]] - tblPassengerNames[[#This Row],[OpenParPos]] - 1)</f>
        <v>#VALUE!</v>
      </c>
      <c r="L979" t="e">
        <f>IF(AND(LEFT(tblPassengerNames[[#This Row],[InParentheses]], 1) = "'", RIGHT(tblPassengerNames[[#This Row],[InParentheses]], 1) = "'"),
    #VALUE!,
    tblPassengerNames[[#This Row],[InParentheses]]
)</f>
        <v>#VALUE!</v>
      </c>
      <c r="M979" t="e">
        <f>LEN(tblPassengerNames[[#This Row],[InParenthesesCleaned]]) - LEN(SUBSTITUTE(tblPassengerNames[[#This Row],[InParenthesesCleaned]], " ", ""))</f>
        <v>#VALUE!</v>
      </c>
      <c r="N979" t="e">
        <f>FIND("@", SUBSTITUTE(tblPassengerNames[[#This Row],[InParenthesesCleaned]], " ", "@", tblPassengerNames[[#This Row],[P_NSpaces]]))</f>
        <v>#VALUE!</v>
      </c>
      <c r="O979" t="e">
        <f>IF(tblPassengerNames[[#This Row],[P_NSpaces]] = 0,
    tblPassengerNames[[#This Row],[InParenthesesCleaned]],
    LEFT(tblPassengerNames[[#This Row],[InParenthesesCleaned]], tblPassengerNames[[#This Row],[P_FinalSpacePos]] - 1)
)</f>
        <v>#VALUE!</v>
      </c>
      <c r="P979" t="str">
        <f>IFERROR(tblPassengerNames[[#This Row],[P_Forenames]], tblPassengerNames[[#This Row],[ConvForenames]])</f>
        <v>Edward</v>
      </c>
      <c r="Q979" t="str">
        <f>MID(tblPassengerNames[[#This Row],[Name]], tblPassengerNames[[#This Row],[CommaPos]] + 2, tblPassengerNames[[#This Row],[DotPos]] - tblPassengerNames[[#This Row],[CommaPos]] - 1)</f>
        <v>Mr.</v>
      </c>
      <c r="R979" t="str">
        <f>LEFT(tblPassengerNames[[#This Row],[Name]], tblPassengerNames[[#This Row],[CommaPos]] - 1)</f>
        <v>Lockyer</v>
      </c>
    </row>
    <row r="980" spans="2:18" x14ac:dyDescent="0.25">
      <c r="B980" s="21">
        <v>978</v>
      </c>
      <c r="C980" s="21" t="s">
        <v>1112</v>
      </c>
      <c r="D980" s="21" t="s">
        <v>138</v>
      </c>
      <c r="E980">
        <f>FIND(",", tblPassengerNames[[#This Row],[Name]])</f>
        <v>7</v>
      </c>
      <c r="F980">
        <f>FIND(".", tblPassengerNames[[#This Row],[Name]])</f>
        <v>11</v>
      </c>
      <c r="G980">
        <f>FIND("(", tblPassengerNames[[#This Row],[Name]])</f>
        <v>23</v>
      </c>
      <c r="H980">
        <f>FIND(")", tblPassengerNames[[#This Row],[Name]])</f>
        <v>31</v>
      </c>
      <c r="I980">
        <f>IFERROR(tblPassengerNames[[#This Row],[OpenParPos]] - 2, LEN(tblPassengerNames[[#This Row],[Name]]))</f>
        <v>21</v>
      </c>
      <c r="J980" t="str">
        <f>MID(tblPassengerNames[[#This Row],[Name]], tblPassengerNames[[#This Row],[DotPos]] + 2, tblPassengerNames[[#This Row],[EndOfConvFNPos]] - tblPassengerNames[[#This Row],[DotPos]] - 1)</f>
        <v>John Hall</v>
      </c>
      <c r="K980" t="str">
        <f>MID(tblPassengerNames[[#This Row],[Name]], tblPassengerNames[[#This Row],[OpenParPos]] + 1, tblPassengerNames[[#This Row],[CloseParPos]] - tblPassengerNames[[#This Row],[OpenParPos]] - 1)</f>
        <v>'Henry'</v>
      </c>
      <c r="L980" t="e">
        <f>IF(AND(LEFT(tblPassengerNames[[#This Row],[InParentheses]], 1) = "'", RIGHT(tblPassengerNames[[#This Row],[InParentheses]], 1) = "'"),
    #VALUE!,
    tblPassengerNames[[#This Row],[InParentheses]]
)</f>
        <v>#VALUE!</v>
      </c>
      <c r="M980" t="e">
        <f>LEN(tblPassengerNames[[#This Row],[InParenthesesCleaned]]) - LEN(SUBSTITUTE(tblPassengerNames[[#This Row],[InParenthesesCleaned]], " ", ""))</f>
        <v>#VALUE!</v>
      </c>
      <c r="N980" t="e">
        <f>FIND("@", SUBSTITUTE(tblPassengerNames[[#This Row],[InParenthesesCleaned]], " ", "@", tblPassengerNames[[#This Row],[P_NSpaces]]))</f>
        <v>#VALUE!</v>
      </c>
      <c r="O980" t="e">
        <f>IF(tblPassengerNames[[#This Row],[P_NSpaces]] = 0,
    tblPassengerNames[[#This Row],[InParenthesesCleaned]],
    LEFT(tblPassengerNames[[#This Row],[InParenthesesCleaned]], tblPassengerNames[[#This Row],[P_FinalSpacePos]] - 1)
)</f>
        <v>#VALUE!</v>
      </c>
      <c r="P980" t="str">
        <f>IFERROR(tblPassengerNames[[#This Row],[P_Forenames]], tblPassengerNames[[#This Row],[ConvForenames]])</f>
        <v>John Hall</v>
      </c>
      <c r="Q980" t="str">
        <f>MID(tblPassengerNames[[#This Row],[Name]], tblPassengerNames[[#This Row],[CommaPos]] + 2, tblPassengerNames[[#This Row],[DotPos]] - tblPassengerNames[[#This Row],[CommaPos]] - 1)</f>
        <v>Mr.</v>
      </c>
      <c r="R980" t="str">
        <f>LEFT(tblPassengerNames[[#This Row],[Name]], tblPassengerNames[[#This Row],[CommaPos]] - 1)</f>
        <v>Lovell</v>
      </c>
    </row>
    <row r="981" spans="2:18" x14ac:dyDescent="0.25">
      <c r="B981" s="21">
        <v>979</v>
      </c>
      <c r="C981" s="21" t="s">
        <v>1113</v>
      </c>
      <c r="D981" s="21" t="s">
        <v>138</v>
      </c>
      <c r="E981">
        <f>FIND(",", tblPassengerNames[[#This Row],[Name]])</f>
        <v>6</v>
      </c>
      <c r="F981">
        <f>FIND(".", tblPassengerNames[[#This Row],[Name]])</f>
        <v>10</v>
      </c>
      <c r="G981" t="e">
        <f>FIND("(", tblPassengerNames[[#This Row],[Name]])</f>
        <v>#VALUE!</v>
      </c>
      <c r="H981" t="e">
        <f>FIND(")", tblPassengerNames[[#This Row],[Name]])</f>
        <v>#VALUE!</v>
      </c>
      <c r="I981">
        <f>IFERROR(tblPassengerNames[[#This Row],[OpenParPos]] - 2, LEN(tblPassengerNames[[#This Row],[Name]]))</f>
        <v>17</v>
      </c>
      <c r="J981" t="str">
        <f>MID(tblPassengerNames[[#This Row],[Name]], tblPassengerNames[[#This Row],[DotPos]] + 2, tblPassengerNames[[#This Row],[EndOfConvFNPos]] - tblPassengerNames[[#This Row],[DotPos]] - 1)</f>
        <v>Nikola</v>
      </c>
      <c r="K981" t="e">
        <f>MID(tblPassengerNames[[#This Row],[Name]], tblPassengerNames[[#This Row],[OpenParPos]] + 1, tblPassengerNames[[#This Row],[CloseParPos]] - tblPassengerNames[[#This Row],[OpenParPos]] - 1)</f>
        <v>#VALUE!</v>
      </c>
      <c r="L981" t="e">
        <f>IF(AND(LEFT(tblPassengerNames[[#This Row],[InParentheses]], 1) = "'", RIGHT(tblPassengerNames[[#This Row],[InParentheses]], 1) = "'"),
    #VALUE!,
    tblPassengerNames[[#This Row],[InParentheses]]
)</f>
        <v>#VALUE!</v>
      </c>
      <c r="M981" t="e">
        <f>LEN(tblPassengerNames[[#This Row],[InParenthesesCleaned]]) - LEN(SUBSTITUTE(tblPassengerNames[[#This Row],[InParenthesesCleaned]], " ", ""))</f>
        <v>#VALUE!</v>
      </c>
      <c r="N981" t="e">
        <f>FIND("@", SUBSTITUTE(tblPassengerNames[[#This Row],[InParenthesesCleaned]], " ", "@", tblPassengerNames[[#This Row],[P_NSpaces]]))</f>
        <v>#VALUE!</v>
      </c>
      <c r="O981" t="e">
        <f>IF(tblPassengerNames[[#This Row],[P_NSpaces]] = 0,
    tblPassengerNames[[#This Row],[InParenthesesCleaned]],
    LEFT(tblPassengerNames[[#This Row],[InParenthesesCleaned]], tblPassengerNames[[#This Row],[P_FinalSpacePos]] - 1)
)</f>
        <v>#VALUE!</v>
      </c>
      <c r="P981" t="str">
        <f>IFERROR(tblPassengerNames[[#This Row],[P_Forenames]], tblPassengerNames[[#This Row],[ConvForenames]])</f>
        <v>Nikola</v>
      </c>
      <c r="Q981" t="str">
        <f>MID(tblPassengerNames[[#This Row],[Name]], tblPassengerNames[[#This Row],[CommaPos]] + 2, tblPassengerNames[[#This Row],[DotPos]] - tblPassengerNames[[#This Row],[CommaPos]] - 1)</f>
        <v>Mr.</v>
      </c>
      <c r="R981" t="str">
        <f>LEFT(tblPassengerNames[[#This Row],[Name]], tblPassengerNames[[#This Row],[CommaPos]] - 1)</f>
        <v>Lulic</v>
      </c>
    </row>
    <row r="982" spans="2:18" x14ac:dyDescent="0.25">
      <c r="B982" s="21">
        <v>980</v>
      </c>
      <c r="C982" s="21" t="s">
        <v>1114</v>
      </c>
      <c r="D982" s="21" t="s">
        <v>138</v>
      </c>
      <c r="E982">
        <f>FIND(",", tblPassengerNames[[#This Row],[Name]])</f>
        <v>8</v>
      </c>
      <c r="F982">
        <f>FIND(".", tblPassengerNames[[#This Row],[Name]])</f>
        <v>12</v>
      </c>
      <c r="G982" t="e">
        <f>FIND("(", tblPassengerNames[[#This Row],[Name]])</f>
        <v>#VALUE!</v>
      </c>
      <c r="H982" t="e">
        <f>FIND(")", tblPassengerNames[[#This Row],[Name]])</f>
        <v>#VALUE!</v>
      </c>
      <c r="I982">
        <f>IFERROR(tblPassengerNames[[#This Row],[OpenParPos]] - 2, LEN(tblPassengerNames[[#This Row],[Name]]))</f>
        <v>27</v>
      </c>
      <c r="J982" t="str">
        <f>MID(tblPassengerNames[[#This Row],[Name]], tblPassengerNames[[#This Row],[DotPos]] + 2, tblPassengerNames[[#This Row],[EndOfConvFNPos]] - tblPassengerNames[[#This Row],[DotPos]] - 1)</f>
        <v>Johan Svensson</v>
      </c>
      <c r="K982" t="e">
        <f>MID(tblPassengerNames[[#This Row],[Name]], tblPassengerNames[[#This Row],[OpenParPos]] + 1, tblPassengerNames[[#This Row],[CloseParPos]] - tblPassengerNames[[#This Row],[OpenParPos]] - 1)</f>
        <v>#VALUE!</v>
      </c>
      <c r="L982" t="e">
        <f>IF(AND(LEFT(tblPassengerNames[[#This Row],[InParentheses]], 1) = "'", RIGHT(tblPassengerNames[[#This Row],[InParentheses]], 1) = "'"),
    #VALUE!,
    tblPassengerNames[[#This Row],[InParentheses]]
)</f>
        <v>#VALUE!</v>
      </c>
      <c r="M982" t="e">
        <f>LEN(tblPassengerNames[[#This Row],[InParenthesesCleaned]]) - LEN(SUBSTITUTE(tblPassengerNames[[#This Row],[InParenthesesCleaned]], " ", ""))</f>
        <v>#VALUE!</v>
      </c>
      <c r="N982" t="e">
        <f>FIND("@", SUBSTITUTE(tblPassengerNames[[#This Row],[InParenthesesCleaned]], " ", "@", tblPassengerNames[[#This Row],[P_NSpaces]]))</f>
        <v>#VALUE!</v>
      </c>
      <c r="O982" t="e">
        <f>IF(tblPassengerNames[[#This Row],[P_NSpaces]] = 0,
    tblPassengerNames[[#This Row],[InParenthesesCleaned]],
    LEFT(tblPassengerNames[[#This Row],[InParenthesesCleaned]], tblPassengerNames[[#This Row],[P_FinalSpacePos]] - 1)
)</f>
        <v>#VALUE!</v>
      </c>
      <c r="P982" t="str">
        <f>IFERROR(tblPassengerNames[[#This Row],[P_Forenames]], tblPassengerNames[[#This Row],[ConvForenames]])</f>
        <v>Johan Svensson</v>
      </c>
      <c r="Q982" t="str">
        <f>MID(tblPassengerNames[[#This Row],[Name]], tblPassengerNames[[#This Row],[CommaPos]] + 2, tblPassengerNames[[#This Row],[DotPos]] - tblPassengerNames[[#This Row],[CommaPos]] - 1)</f>
        <v>Mr.</v>
      </c>
      <c r="R982" t="str">
        <f>LEFT(tblPassengerNames[[#This Row],[Name]], tblPassengerNames[[#This Row],[CommaPos]] - 1)</f>
        <v>Lundahl</v>
      </c>
    </row>
    <row r="983" spans="2:18" x14ac:dyDescent="0.25">
      <c r="B983" s="21">
        <v>981</v>
      </c>
      <c r="C983" s="21" t="s">
        <v>1115</v>
      </c>
      <c r="D983" s="21" t="s">
        <v>136</v>
      </c>
      <c r="E983">
        <f>FIND(",", tblPassengerNames[[#This Row],[Name]])</f>
        <v>7</v>
      </c>
      <c r="F983">
        <f>FIND(".", tblPassengerNames[[#This Row],[Name]])</f>
        <v>13</v>
      </c>
      <c r="G983" t="e">
        <f>FIND("(", tblPassengerNames[[#This Row],[Name]])</f>
        <v>#VALUE!</v>
      </c>
      <c r="H983" t="e">
        <f>FIND(")", tblPassengerNames[[#This Row],[Name]])</f>
        <v>#VALUE!</v>
      </c>
      <c r="I983">
        <f>IFERROR(tblPassengerNames[[#This Row],[OpenParPos]] - 2, LEN(tblPassengerNames[[#This Row],[Name]]))</f>
        <v>24</v>
      </c>
      <c r="J983" t="str">
        <f>MID(tblPassengerNames[[#This Row],[Name]], tblPassengerNames[[#This Row],[DotPos]] + 2, tblPassengerNames[[#This Row],[EndOfConvFNPos]] - tblPassengerNames[[#This Row],[DotPos]] - 1)</f>
        <v>Olga Elida</v>
      </c>
      <c r="K983" t="e">
        <f>MID(tblPassengerNames[[#This Row],[Name]], tblPassengerNames[[#This Row],[OpenParPos]] + 1, tblPassengerNames[[#This Row],[CloseParPos]] - tblPassengerNames[[#This Row],[OpenParPos]] - 1)</f>
        <v>#VALUE!</v>
      </c>
      <c r="L983" t="e">
        <f>IF(AND(LEFT(tblPassengerNames[[#This Row],[InParentheses]], 1) = "'", RIGHT(tblPassengerNames[[#This Row],[InParentheses]], 1) = "'"),
    #VALUE!,
    tblPassengerNames[[#This Row],[InParentheses]]
)</f>
        <v>#VALUE!</v>
      </c>
      <c r="M983" t="e">
        <f>LEN(tblPassengerNames[[#This Row],[InParenthesesCleaned]]) - LEN(SUBSTITUTE(tblPassengerNames[[#This Row],[InParenthesesCleaned]], " ", ""))</f>
        <v>#VALUE!</v>
      </c>
      <c r="N983" t="e">
        <f>FIND("@", SUBSTITUTE(tblPassengerNames[[#This Row],[InParenthesesCleaned]], " ", "@", tblPassengerNames[[#This Row],[P_NSpaces]]))</f>
        <v>#VALUE!</v>
      </c>
      <c r="O983" t="e">
        <f>IF(tblPassengerNames[[#This Row],[P_NSpaces]] = 0,
    tblPassengerNames[[#This Row],[InParenthesesCleaned]],
    LEFT(tblPassengerNames[[#This Row],[InParenthesesCleaned]], tblPassengerNames[[#This Row],[P_FinalSpacePos]] - 1)
)</f>
        <v>#VALUE!</v>
      </c>
      <c r="P983" t="str">
        <f>IFERROR(tblPassengerNames[[#This Row],[P_Forenames]], tblPassengerNames[[#This Row],[ConvForenames]])</f>
        <v>Olga Elida</v>
      </c>
      <c r="Q983" t="str">
        <f>MID(tblPassengerNames[[#This Row],[Name]], tblPassengerNames[[#This Row],[CommaPos]] + 2, tblPassengerNames[[#This Row],[DotPos]] - tblPassengerNames[[#This Row],[CommaPos]] - 1)</f>
        <v>Miss.</v>
      </c>
      <c r="R983" t="str">
        <f>LEFT(tblPassengerNames[[#This Row],[Name]], tblPassengerNames[[#This Row],[CommaPos]] - 1)</f>
        <v>Lundin</v>
      </c>
    </row>
    <row r="984" spans="2:18" x14ac:dyDescent="0.25">
      <c r="B984" s="21">
        <v>982</v>
      </c>
      <c r="C984" s="21" t="s">
        <v>1116</v>
      </c>
      <c r="D984" s="21" t="s">
        <v>138</v>
      </c>
      <c r="E984">
        <f>FIND(",", tblPassengerNames[[#This Row],[Name]])</f>
        <v>10</v>
      </c>
      <c r="F984">
        <f>FIND(".", tblPassengerNames[[#This Row],[Name]])</f>
        <v>14</v>
      </c>
      <c r="G984" t="e">
        <f>FIND("(", tblPassengerNames[[#This Row],[Name]])</f>
        <v>#VALUE!</v>
      </c>
      <c r="H984" t="e">
        <f>FIND(")", tblPassengerNames[[#This Row],[Name]])</f>
        <v>#VALUE!</v>
      </c>
      <c r="I984">
        <f>IFERROR(tblPassengerNames[[#This Row],[OpenParPos]] - 2, LEN(tblPassengerNames[[#This Row],[Name]]))</f>
        <v>26</v>
      </c>
      <c r="J984" t="str">
        <f>MID(tblPassengerNames[[#This Row],[Name]], tblPassengerNames[[#This Row],[DotPos]] + 2, tblPassengerNames[[#This Row],[EndOfConvFNPos]] - tblPassengerNames[[#This Row],[DotPos]] - 1)</f>
        <v>Thure Edvin</v>
      </c>
      <c r="K984" t="e">
        <f>MID(tblPassengerNames[[#This Row],[Name]], tblPassengerNames[[#This Row],[OpenParPos]] + 1, tblPassengerNames[[#This Row],[CloseParPos]] - tblPassengerNames[[#This Row],[OpenParPos]] - 1)</f>
        <v>#VALUE!</v>
      </c>
      <c r="L984" t="e">
        <f>IF(AND(LEFT(tblPassengerNames[[#This Row],[InParentheses]], 1) = "'", RIGHT(tblPassengerNames[[#This Row],[InParentheses]], 1) = "'"),
    #VALUE!,
    tblPassengerNames[[#This Row],[InParentheses]]
)</f>
        <v>#VALUE!</v>
      </c>
      <c r="M984" t="e">
        <f>LEN(tblPassengerNames[[#This Row],[InParenthesesCleaned]]) - LEN(SUBSTITUTE(tblPassengerNames[[#This Row],[InParenthesesCleaned]], " ", ""))</f>
        <v>#VALUE!</v>
      </c>
      <c r="N984" t="e">
        <f>FIND("@", SUBSTITUTE(tblPassengerNames[[#This Row],[InParenthesesCleaned]], " ", "@", tblPassengerNames[[#This Row],[P_NSpaces]]))</f>
        <v>#VALUE!</v>
      </c>
      <c r="O984" t="e">
        <f>IF(tblPassengerNames[[#This Row],[P_NSpaces]] = 0,
    tblPassengerNames[[#This Row],[InParenthesesCleaned]],
    LEFT(tblPassengerNames[[#This Row],[InParenthesesCleaned]], tblPassengerNames[[#This Row],[P_FinalSpacePos]] - 1)
)</f>
        <v>#VALUE!</v>
      </c>
      <c r="P984" t="str">
        <f>IFERROR(tblPassengerNames[[#This Row],[P_Forenames]], tblPassengerNames[[#This Row],[ConvForenames]])</f>
        <v>Thure Edvin</v>
      </c>
      <c r="Q984" t="str">
        <f>MID(tblPassengerNames[[#This Row],[Name]], tblPassengerNames[[#This Row],[CommaPos]] + 2, tblPassengerNames[[#This Row],[DotPos]] - tblPassengerNames[[#This Row],[CommaPos]] - 1)</f>
        <v>Mr.</v>
      </c>
      <c r="R984" t="str">
        <f>LEFT(tblPassengerNames[[#This Row],[Name]], tblPassengerNames[[#This Row],[CommaPos]] - 1)</f>
        <v>Lundstrom</v>
      </c>
    </row>
    <row r="985" spans="2:18" x14ac:dyDescent="0.25">
      <c r="B985" s="21">
        <v>983</v>
      </c>
      <c r="C985" s="21" t="s">
        <v>1117</v>
      </c>
      <c r="D985" s="21" t="s">
        <v>138</v>
      </c>
      <c r="E985">
        <f>FIND(",", tblPassengerNames[[#This Row],[Name]])</f>
        <v>10</v>
      </c>
      <c r="F985">
        <f>FIND(".", tblPassengerNames[[#This Row],[Name]])</f>
        <v>14</v>
      </c>
      <c r="G985" t="e">
        <f>FIND("(", tblPassengerNames[[#This Row],[Name]])</f>
        <v>#VALUE!</v>
      </c>
      <c r="H985" t="e">
        <f>FIND(")", tblPassengerNames[[#This Row],[Name]])</f>
        <v>#VALUE!</v>
      </c>
      <c r="I985">
        <f>IFERROR(tblPassengerNames[[#This Row],[OpenParPos]] - 2, LEN(tblPassengerNames[[#This Row],[Name]]))</f>
        <v>21</v>
      </c>
      <c r="J985" t="str">
        <f>MID(tblPassengerNames[[#This Row],[Name]], tblPassengerNames[[#This Row],[DotPos]] + 2, tblPassengerNames[[#This Row],[EndOfConvFNPos]] - tblPassengerNames[[#This Row],[DotPos]] - 1)</f>
        <v>Stanko</v>
      </c>
      <c r="K985" t="e">
        <f>MID(tblPassengerNames[[#This Row],[Name]], tblPassengerNames[[#This Row],[OpenParPos]] + 1, tblPassengerNames[[#This Row],[CloseParPos]] - tblPassengerNames[[#This Row],[OpenParPos]] - 1)</f>
        <v>#VALUE!</v>
      </c>
      <c r="L985" t="e">
        <f>IF(AND(LEFT(tblPassengerNames[[#This Row],[InParentheses]], 1) = "'", RIGHT(tblPassengerNames[[#This Row],[InParentheses]], 1) = "'"),
    #VALUE!,
    tblPassengerNames[[#This Row],[InParentheses]]
)</f>
        <v>#VALUE!</v>
      </c>
      <c r="M985" t="e">
        <f>LEN(tblPassengerNames[[#This Row],[InParenthesesCleaned]]) - LEN(SUBSTITUTE(tblPassengerNames[[#This Row],[InParenthesesCleaned]], " ", ""))</f>
        <v>#VALUE!</v>
      </c>
      <c r="N985" t="e">
        <f>FIND("@", SUBSTITUTE(tblPassengerNames[[#This Row],[InParenthesesCleaned]], " ", "@", tblPassengerNames[[#This Row],[P_NSpaces]]))</f>
        <v>#VALUE!</v>
      </c>
      <c r="O985" t="e">
        <f>IF(tblPassengerNames[[#This Row],[P_NSpaces]] = 0,
    tblPassengerNames[[#This Row],[InParenthesesCleaned]],
    LEFT(tblPassengerNames[[#This Row],[InParenthesesCleaned]], tblPassengerNames[[#This Row],[P_FinalSpacePos]] - 1)
)</f>
        <v>#VALUE!</v>
      </c>
      <c r="P985" t="str">
        <f>IFERROR(tblPassengerNames[[#This Row],[P_Forenames]], tblPassengerNames[[#This Row],[ConvForenames]])</f>
        <v>Stanko</v>
      </c>
      <c r="Q985" t="str">
        <f>MID(tblPassengerNames[[#This Row],[Name]], tblPassengerNames[[#This Row],[CommaPos]] + 2, tblPassengerNames[[#This Row],[DotPos]] - tblPassengerNames[[#This Row],[CommaPos]] - 1)</f>
        <v>Mr.</v>
      </c>
      <c r="R985" t="str">
        <f>LEFT(tblPassengerNames[[#This Row],[Name]], tblPassengerNames[[#This Row],[CommaPos]] - 1)</f>
        <v>Lyntakoff</v>
      </c>
    </row>
    <row r="986" spans="2:18" x14ac:dyDescent="0.25">
      <c r="B986" s="21">
        <v>984</v>
      </c>
      <c r="C986" s="21" t="s">
        <v>1118</v>
      </c>
      <c r="D986" s="21" t="s">
        <v>138</v>
      </c>
      <c r="E986">
        <f>FIND(",", tblPassengerNames[[#This Row],[Name]])</f>
        <v>7</v>
      </c>
      <c r="F986">
        <f>FIND(".", tblPassengerNames[[#This Row],[Name]])</f>
        <v>11</v>
      </c>
      <c r="G986" t="e">
        <f>FIND("(", tblPassengerNames[[#This Row],[Name]])</f>
        <v>#VALUE!</v>
      </c>
      <c r="H986" t="e">
        <f>FIND(")", tblPassengerNames[[#This Row],[Name]])</f>
        <v>#VALUE!</v>
      </c>
      <c r="I986">
        <f>IFERROR(tblPassengerNames[[#This Row],[OpenParPos]] - 2, LEN(tblPassengerNames[[#This Row],[Name]]))</f>
        <v>26</v>
      </c>
      <c r="J986" t="str">
        <f>MID(tblPassengerNames[[#This Row],[Name]], tblPassengerNames[[#This Row],[DotPos]] + 2, tblPassengerNames[[#This Row],[EndOfConvFNPos]] - tblPassengerNames[[#This Row],[DotPos]] - 1)</f>
        <v>George William</v>
      </c>
      <c r="K986" t="e">
        <f>MID(tblPassengerNames[[#This Row],[Name]], tblPassengerNames[[#This Row],[OpenParPos]] + 1, tblPassengerNames[[#This Row],[CloseParPos]] - tblPassengerNames[[#This Row],[OpenParPos]] - 1)</f>
        <v>#VALUE!</v>
      </c>
      <c r="L986" t="e">
        <f>IF(AND(LEFT(tblPassengerNames[[#This Row],[InParentheses]], 1) = "'", RIGHT(tblPassengerNames[[#This Row],[InParentheses]], 1) = "'"),
    #VALUE!,
    tblPassengerNames[[#This Row],[InParentheses]]
)</f>
        <v>#VALUE!</v>
      </c>
      <c r="M986" t="e">
        <f>LEN(tblPassengerNames[[#This Row],[InParenthesesCleaned]]) - LEN(SUBSTITUTE(tblPassengerNames[[#This Row],[InParenthesesCleaned]], " ", ""))</f>
        <v>#VALUE!</v>
      </c>
      <c r="N986" t="e">
        <f>FIND("@", SUBSTITUTE(tblPassengerNames[[#This Row],[InParenthesesCleaned]], " ", "@", tblPassengerNames[[#This Row],[P_NSpaces]]))</f>
        <v>#VALUE!</v>
      </c>
      <c r="O986" t="e">
        <f>IF(tblPassengerNames[[#This Row],[P_NSpaces]] = 0,
    tblPassengerNames[[#This Row],[InParenthesesCleaned]],
    LEFT(tblPassengerNames[[#This Row],[InParenthesesCleaned]], tblPassengerNames[[#This Row],[P_FinalSpacePos]] - 1)
)</f>
        <v>#VALUE!</v>
      </c>
      <c r="P986" t="str">
        <f>IFERROR(tblPassengerNames[[#This Row],[P_Forenames]], tblPassengerNames[[#This Row],[ConvForenames]])</f>
        <v>George William</v>
      </c>
      <c r="Q986" t="str">
        <f>MID(tblPassengerNames[[#This Row],[Name]], tblPassengerNames[[#This Row],[CommaPos]] + 2, tblPassengerNames[[#This Row],[DotPos]] - tblPassengerNames[[#This Row],[CommaPos]] - 1)</f>
        <v>Mr.</v>
      </c>
      <c r="R986" t="str">
        <f>LEFT(tblPassengerNames[[#This Row],[Name]], tblPassengerNames[[#This Row],[CommaPos]] - 1)</f>
        <v>MacKay</v>
      </c>
    </row>
    <row r="987" spans="2:18" x14ac:dyDescent="0.25">
      <c r="B987" s="21">
        <v>985</v>
      </c>
      <c r="C987" s="21" t="s">
        <v>1119</v>
      </c>
      <c r="D987" s="21" t="s">
        <v>136</v>
      </c>
      <c r="E987">
        <f>FIND(",", tblPassengerNames[[#This Row],[Name]])</f>
        <v>8</v>
      </c>
      <c r="F987">
        <f>FIND(".", tblPassengerNames[[#This Row],[Name]])</f>
        <v>14</v>
      </c>
      <c r="G987" t="e">
        <f>FIND("(", tblPassengerNames[[#This Row],[Name]])</f>
        <v>#VALUE!</v>
      </c>
      <c r="H987" t="e">
        <f>FIND(")", tblPassengerNames[[#This Row],[Name]])</f>
        <v>#VALUE!</v>
      </c>
      <c r="I987">
        <f>IFERROR(tblPassengerNames[[#This Row],[OpenParPos]] - 2, LEN(tblPassengerNames[[#This Row],[Name]]))</f>
        <v>32</v>
      </c>
      <c r="J987" t="str">
        <f>MID(tblPassengerNames[[#This Row],[Name]], tblPassengerNames[[#This Row],[DotPos]] + 2, tblPassengerNames[[#This Row],[EndOfConvFNPos]] - tblPassengerNames[[#This Row],[DotPos]] - 1)</f>
        <v>Margaret 'Maggie'</v>
      </c>
      <c r="K987" t="e">
        <f>MID(tblPassengerNames[[#This Row],[Name]], tblPassengerNames[[#This Row],[OpenParPos]] + 1, tblPassengerNames[[#This Row],[CloseParPos]] - tblPassengerNames[[#This Row],[OpenParPos]] - 1)</f>
        <v>#VALUE!</v>
      </c>
      <c r="L987" t="e">
        <f>IF(AND(LEFT(tblPassengerNames[[#This Row],[InParentheses]], 1) = "'", RIGHT(tblPassengerNames[[#This Row],[InParentheses]], 1) = "'"),
    #VALUE!,
    tblPassengerNames[[#This Row],[InParentheses]]
)</f>
        <v>#VALUE!</v>
      </c>
      <c r="M987" t="e">
        <f>LEN(tblPassengerNames[[#This Row],[InParenthesesCleaned]]) - LEN(SUBSTITUTE(tblPassengerNames[[#This Row],[InParenthesesCleaned]], " ", ""))</f>
        <v>#VALUE!</v>
      </c>
      <c r="N987" t="e">
        <f>FIND("@", SUBSTITUTE(tblPassengerNames[[#This Row],[InParenthesesCleaned]], " ", "@", tblPassengerNames[[#This Row],[P_NSpaces]]))</f>
        <v>#VALUE!</v>
      </c>
      <c r="O987" t="e">
        <f>IF(tblPassengerNames[[#This Row],[P_NSpaces]] = 0,
    tblPassengerNames[[#This Row],[InParenthesesCleaned]],
    LEFT(tblPassengerNames[[#This Row],[InParenthesesCleaned]], tblPassengerNames[[#This Row],[P_FinalSpacePos]] - 1)
)</f>
        <v>#VALUE!</v>
      </c>
      <c r="P987" t="str">
        <f>IFERROR(tblPassengerNames[[#This Row],[P_Forenames]], tblPassengerNames[[#This Row],[ConvForenames]])</f>
        <v>Margaret 'Maggie'</v>
      </c>
      <c r="Q987" t="str">
        <f>MID(tblPassengerNames[[#This Row],[Name]], tblPassengerNames[[#This Row],[CommaPos]] + 2, tblPassengerNames[[#This Row],[DotPos]] - tblPassengerNames[[#This Row],[CommaPos]] - 1)</f>
        <v>Miss.</v>
      </c>
      <c r="R987" t="str">
        <f>LEFT(tblPassengerNames[[#This Row],[Name]], tblPassengerNames[[#This Row],[CommaPos]] - 1)</f>
        <v>Madigan</v>
      </c>
    </row>
    <row r="988" spans="2:18" x14ac:dyDescent="0.25">
      <c r="B988" s="21">
        <v>986</v>
      </c>
      <c r="C988" s="21" t="s">
        <v>1120</v>
      </c>
      <c r="D988" s="21" t="s">
        <v>138</v>
      </c>
      <c r="E988">
        <f>FIND(",", tblPassengerNames[[#This Row],[Name]])</f>
        <v>7</v>
      </c>
      <c r="F988">
        <f>FIND(".", tblPassengerNames[[#This Row],[Name]])</f>
        <v>11</v>
      </c>
      <c r="G988" t="e">
        <f>FIND("(", tblPassengerNames[[#This Row],[Name]])</f>
        <v>#VALUE!</v>
      </c>
      <c r="H988" t="e">
        <f>FIND(")", tblPassengerNames[[#This Row],[Name]])</f>
        <v>#VALUE!</v>
      </c>
      <c r="I988">
        <f>IFERROR(tblPassengerNames[[#This Row],[OpenParPos]] - 2, LEN(tblPassengerNames[[#This Row],[Name]]))</f>
        <v>25</v>
      </c>
      <c r="J988" t="str">
        <f>MID(tblPassengerNames[[#This Row],[Name]], tblPassengerNames[[#This Row],[DotPos]] + 2, tblPassengerNames[[#This Row],[EndOfConvFNPos]] - tblPassengerNames[[#This Row],[DotPos]] - 1)</f>
        <v>Fridtjof Arne</v>
      </c>
      <c r="K988" t="e">
        <f>MID(tblPassengerNames[[#This Row],[Name]], tblPassengerNames[[#This Row],[OpenParPos]] + 1, tblPassengerNames[[#This Row],[CloseParPos]] - tblPassengerNames[[#This Row],[OpenParPos]] - 1)</f>
        <v>#VALUE!</v>
      </c>
      <c r="L988" t="e">
        <f>IF(AND(LEFT(tblPassengerNames[[#This Row],[InParentheses]], 1) = "'", RIGHT(tblPassengerNames[[#This Row],[InParentheses]], 1) = "'"),
    #VALUE!,
    tblPassengerNames[[#This Row],[InParentheses]]
)</f>
        <v>#VALUE!</v>
      </c>
      <c r="M988" t="e">
        <f>LEN(tblPassengerNames[[#This Row],[InParenthesesCleaned]]) - LEN(SUBSTITUTE(tblPassengerNames[[#This Row],[InParenthesesCleaned]], " ", ""))</f>
        <v>#VALUE!</v>
      </c>
      <c r="N988" t="e">
        <f>FIND("@", SUBSTITUTE(tblPassengerNames[[#This Row],[InParenthesesCleaned]], " ", "@", tblPassengerNames[[#This Row],[P_NSpaces]]))</f>
        <v>#VALUE!</v>
      </c>
      <c r="O988" t="e">
        <f>IF(tblPassengerNames[[#This Row],[P_NSpaces]] = 0,
    tblPassengerNames[[#This Row],[InParenthesesCleaned]],
    LEFT(tblPassengerNames[[#This Row],[InParenthesesCleaned]], tblPassengerNames[[#This Row],[P_FinalSpacePos]] - 1)
)</f>
        <v>#VALUE!</v>
      </c>
      <c r="P988" t="str">
        <f>IFERROR(tblPassengerNames[[#This Row],[P_Forenames]], tblPassengerNames[[#This Row],[ConvForenames]])</f>
        <v>Fridtjof Arne</v>
      </c>
      <c r="Q988" t="str">
        <f>MID(tblPassengerNames[[#This Row],[Name]], tblPassengerNames[[#This Row],[CommaPos]] + 2, tblPassengerNames[[#This Row],[DotPos]] - tblPassengerNames[[#This Row],[CommaPos]] - 1)</f>
        <v>Mr.</v>
      </c>
      <c r="R988" t="str">
        <f>LEFT(tblPassengerNames[[#This Row],[Name]], tblPassengerNames[[#This Row],[CommaPos]] - 1)</f>
        <v>Madsen</v>
      </c>
    </row>
    <row r="989" spans="2:18" x14ac:dyDescent="0.25">
      <c r="B989" s="21">
        <v>987</v>
      </c>
      <c r="C989" s="21" t="s">
        <v>1121</v>
      </c>
      <c r="D989" s="21" t="s">
        <v>138</v>
      </c>
      <c r="E989">
        <f>FIND(",", tblPassengerNames[[#This Row],[Name]])</f>
        <v>8</v>
      </c>
      <c r="F989">
        <f>FIND(".", tblPassengerNames[[#This Row],[Name]])</f>
        <v>12</v>
      </c>
      <c r="G989" t="e">
        <f>FIND("(", tblPassengerNames[[#This Row],[Name]])</f>
        <v>#VALUE!</v>
      </c>
      <c r="H989" t="e">
        <f>FIND(")", tblPassengerNames[[#This Row],[Name]])</f>
        <v>#VALUE!</v>
      </c>
      <c r="I989">
        <f>IFERROR(tblPassengerNames[[#This Row],[OpenParPos]] - 2, LEN(tblPassengerNames[[#This Row],[Name]]))</f>
        <v>29</v>
      </c>
      <c r="J989" t="str">
        <f>MID(tblPassengerNames[[#This Row],[Name]], tblPassengerNames[[#This Row],[DotPos]] + 2, tblPassengerNames[[#This Row],[EndOfConvFNPos]] - tblPassengerNames[[#This Row],[DotPos]] - 1)</f>
        <v>Matti Alexanteri</v>
      </c>
      <c r="K989" t="e">
        <f>MID(tblPassengerNames[[#This Row],[Name]], tblPassengerNames[[#This Row],[OpenParPos]] + 1, tblPassengerNames[[#This Row],[CloseParPos]] - tblPassengerNames[[#This Row],[OpenParPos]] - 1)</f>
        <v>#VALUE!</v>
      </c>
      <c r="L989" t="e">
        <f>IF(AND(LEFT(tblPassengerNames[[#This Row],[InParentheses]], 1) = "'", RIGHT(tblPassengerNames[[#This Row],[InParentheses]], 1) = "'"),
    #VALUE!,
    tblPassengerNames[[#This Row],[InParentheses]]
)</f>
        <v>#VALUE!</v>
      </c>
      <c r="M989" t="e">
        <f>LEN(tblPassengerNames[[#This Row],[InParenthesesCleaned]]) - LEN(SUBSTITUTE(tblPassengerNames[[#This Row],[InParenthesesCleaned]], " ", ""))</f>
        <v>#VALUE!</v>
      </c>
      <c r="N989" t="e">
        <f>FIND("@", SUBSTITUTE(tblPassengerNames[[#This Row],[InParenthesesCleaned]], " ", "@", tblPassengerNames[[#This Row],[P_NSpaces]]))</f>
        <v>#VALUE!</v>
      </c>
      <c r="O989" t="e">
        <f>IF(tblPassengerNames[[#This Row],[P_NSpaces]] = 0,
    tblPassengerNames[[#This Row],[InParenthesesCleaned]],
    LEFT(tblPassengerNames[[#This Row],[InParenthesesCleaned]], tblPassengerNames[[#This Row],[P_FinalSpacePos]] - 1)
)</f>
        <v>#VALUE!</v>
      </c>
      <c r="P989" t="str">
        <f>IFERROR(tblPassengerNames[[#This Row],[P_Forenames]], tblPassengerNames[[#This Row],[ConvForenames]])</f>
        <v>Matti Alexanteri</v>
      </c>
      <c r="Q989" t="str">
        <f>MID(tblPassengerNames[[#This Row],[Name]], tblPassengerNames[[#This Row],[CommaPos]] + 2, tblPassengerNames[[#This Row],[DotPos]] - tblPassengerNames[[#This Row],[CommaPos]] - 1)</f>
        <v>Mr.</v>
      </c>
      <c r="R989" t="str">
        <f>LEFT(tblPassengerNames[[#This Row],[Name]], tblPassengerNames[[#This Row],[CommaPos]] - 1)</f>
        <v>Maenpaa</v>
      </c>
    </row>
    <row r="990" spans="2:18" x14ac:dyDescent="0.25">
      <c r="B990" s="21">
        <v>988</v>
      </c>
      <c r="C990" s="21" t="s">
        <v>1122</v>
      </c>
      <c r="D990" s="21" t="s">
        <v>136</v>
      </c>
      <c r="E990">
        <f>FIND(",", tblPassengerNames[[#This Row],[Name]])</f>
        <v>6</v>
      </c>
      <c r="F990">
        <f>FIND(".", tblPassengerNames[[#This Row],[Name]])</f>
        <v>12</v>
      </c>
      <c r="G990" t="e">
        <f>FIND("(", tblPassengerNames[[#This Row],[Name]])</f>
        <v>#VALUE!</v>
      </c>
      <c r="H990" t="e">
        <f>FIND(")", tblPassengerNames[[#This Row],[Name]])</f>
        <v>#VALUE!</v>
      </c>
      <c r="I990">
        <f>IFERROR(tblPassengerNames[[#This Row],[OpenParPos]] - 2, LEN(tblPassengerNames[[#This Row],[Name]]))</f>
        <v>26</v>
      </c>
      <c r="J990" t="str">
        <f>MID(tblPassengerNames[[#This Row],[Name]], tblPassengerNames[[#This Row],[DotPos]] + 2, tblPassengerNames[[#This Row],[EndOfConvFNPos]] - tblPassengerNames[[#This Row],[DotPos]] - 1)</f>
        <v>Bridget Delia</v>
      </c>
      <c r="K990" t="e">
        <f>MID(tblPassengerNames[[#This Row],[Name]], tblPassengerNames[[#This Row],[OpenParPos]] + 1, tblPassengerNames[[#This Row],[CloseParPos]] - tblPassengerNames[[#This Row],[OpenParPos]] - 1)</f>
        <v>#VALUE!</v>
      </c>
      <c r="L990" t="e">
        <f>IF(AND(LEFT(tblPassengerNames[[#This Row],[InParentheses]], 1) = "'", RIGHT(tblPassengerNames[[#This Row],[InParentheses]], 1) = "'"),
    #VALUE!,
    tblPassengerNames[[#This Row],[InParentheses]]
)</f>
        <v>#VALUE!</v>
      </c>
      <c r="M990" t="e">
        <f>LEN(tblPassengerNames[[#This Row],[InParenthesesCleaned]]) - LEN(SUBSTITUTE(tblPassengerNames[[#This Row],[InParenthesesCleaned]], " ", ""))</f>
        <v>#VALUE!</v>
      </c>
      <c r="N990" t="e">
        <f>FIND("@", SUBSTITUTE(tblPassengerNames[[#This Row],[InParenthesesCleaned]], " ", "@", tblPassengerNames[[#This Row],[P_NSpaces]]))</f>
        <v>#VALUE!</v>
      </c>
      <c r="O990" t="e">
        <f>IF(tblPassengerNames[[#This Row],[P_NSpaces]] = 0,
    tblPassengerNames[[#This Row],[InParenthesesCleaned]],
    LEFT(tblPassengerNames[[#This Row],[InParenthesesCleaned]], tblPassengerNames[[#This Row],[P_FinalSpacePos]] - 1)
)</f>
        <v>#VALUE!</v>
      </c>
      <c r="P990" t="str">
        <f>IFERROR(tblPassengerNames[[#This Row],[P_Forenames]], tblPassengerNames[[#This Row],[ConvForenames]])</f>
        <v>Bridget Delia</v>
      </c>
      <c r="Q990" t="str">
        <f>MID(tblPassengerNames[[#This Row],[Name]], tblPassengerNames[[#This Row],[CommaPos]] + 2, tblPassengerNames[[#This Row],[DotPos]] - tblPassengerNames[[#This Row],[CommaPos]] - 1)</f>
        <v>Miss.</v>
      </c>
      <c r="R990" t="str">
        <f>LEFT(tblPassengerNames[[#This Row],[Name]], tblPassengerNames[[#This Row],[CommaPos]] - 1)</f>
        <v>Mahon</v>
      </c>
    </row>
    <row r="991" spans="2:18" x14ac:dyDescent="0.25">
      <c r="B991" s="21">
        <v>989</v>
      </c>
      <c r="C991" s="21" t="s">
        <v>1123</v>
      </c>
      <c r="D991" s="21" t="s">
        <v>138</v>
      </c>
      <c r="E991">
        <f>FIND(",", tblPassengerNames[[#This Row],[Name]])</f>
        <v>6</v>
      </c>
      <c r="F991">
        <f>FIND(".", tblPassengerNames[[#This Row],[Name]])</f>
        <v>10</v>
      </c>
      <c r="G991" t="e">
        <f>FIND("(", tblPassengerNames[[#This Row],[Name]])</f>
        <v>#VALUE!</v>
      </c>
      <c r="H991" t="e">
        <f>FIND(")", tblPassengerNames[[#This Row],[Name]])</f>
        <v>#VALUE!</v>
      </c>
      <c r="I991">
        <f>IFERROR(tblPassengerNames[[#This Row],[OpenParPos]] - 2, LEN(tblPassengerNames[[#This Row],[Name]]))</f>
        <v>15</v>
      </c>
      <c r="J991" t="str">
        <f>MID(tblPassengerNames[[#This Row],[Name]], tblPassengerNames[[#This Row],[DotPos]] + 2, tblPassengerNames[[#This Row],[EndOfConvFNPos]] - tblPassengerNames[[#This Row],[DotPos]] - 1)</f>
        <v>John</v>
      </c>
      <c r="K991" t="e">
        <f>MID(tblPassengerNames[[#This Row],[Name]], tblPassengerNames[[#This Row],[OpenParPos]] + 1, tblPassengerNames[[#This Row],[CloseParPos]] - tblPassengerNames[[#This Row],[OpenParPos]] - 1)</f>
        <v>#VALUE!</v>
      </c>
      <c r="L991" t="e">
        <f>IF(AND(LEFT(tblPassengerNames[[#This Row],[InParentheses]], 1) = "'", RIGHT(tblPassengerNames[[#This Row],[InParentheses]], 1) = "'"),
    #VALUE!,
    tblPassengerNames[[#This Row],[InParentheses]]
)</f>
        <v>#VALUE!</v>
      </c>
      <c r="M991" t="e">
        <f>LEN(tblPassengerNames[[#This Row],[InParenthesesCleaned]]) - LEN(SUBSTITUTE(tblPassengerNames[[#This Row],[InParenthesesCleaned]], " ", ""))</f>
        <v>#VALUE!</v>
      </c>
      <c r="N991" t="e">
        <f>FIND("@", SUBSTITUTE(tblPassengerNames[[#This Row],[InParenthesesCleaned]], " ", "@", tblPassengerNames[[#This Row],[P_NSpaces]]))</f>
        <v>#VALUE!</v>
      </c>
      <c r="O991" t="e">
        <f>IF(tblPassengerNames[[#This Row],[P_NSpaces]] = 0,
    tblPassengerNames[[#This Row],[InParenthesesCleaned]],
    LEFT(tblPassengerNames[[#This Row],[InParenthesesCleaned]], tblPassengerNames[[#This Row],[P_FinalSpacePos]] - 1)
)</f>
        <v>#VALUE!</v>
      </c>
      <c r="P991" t="str">
        <f>IFERROR(tblPassengerNames[[#This Row],[P_Forenames]], tblPassengerNames[[#This Row],[ConvForenames]])</f>
        <v>John</v>
      </c>
      <c r="Q991" t="str">
        <f>MID(tblPassengerNames[[#This Row],[Name]], tblPassengerNames[[#This Row],[CommaPos]] + 2, tblPassengerNames[[#This Row],[DotPos]] - tblPassengerNames[[#This Row],[CommaPos]] - 1)</f>
        <v>Mr.</v>
      </c>
      <c r="R991" t="str">
        <f>LEFT(tblPassengerNames[[#This Row],[Name]], tblPassengerNames[[#This Row],[CommaPos]] - 1)</f>
        <v>Mahon</v>
      </c>
    </row>
    <row r="992" spans="2:18" x14ac:dyDescent="0.25">
      <c r="B992" s="21">
        <v>990</v>
      </c>
      <c r="C992" s="21" t="s">
        <v>1124</v>
      </c>
      <c r="D992" s="21" t="s">
        <v>138</v>
      </c>
      <c r="E992">
        <f>FIND(",", tblPassengerNames[[#This Row],[Name]])</f>
        <v>8</v>
      </c>
      <c r="F992">
        <f>FIND(".", tblPassengerNames[[#This Row],[Name]])</f>
        <v>12</v>
      </c>
      <c r="G992" t="e">
        <f>FIND("(", tblPassengerNames[[#This Row],[Name]])</f>
        <v>#VALUE!</v>
      </c>
      <c r="H992" t="e">
        <f>FIND(")", tblPassengerNames[[#This Row],[Name]])</f>
        <v>#VALUE!</v>
      </c>
      <c r="I992">
        <f>IFERROR(tblPassengerNames[[#This Row],[OpenParPos]] - 2, LEN(tblPassengerNames[[#This Row],[Name]]))</f>
        <v>18</v>
      </c>
      <c r="J992" t="str">
        <f>MID(tblPassengerNames[[#This Row],[Name]], tblPassengerNames[[#This Row],[DotPos]] + 2, tblPassengerNames[[#This Row],[EndOfConvFNPos]] - tblPassengerNames[[#This Row],[DotPos]] - 1)</f>
        <v>Simon</v>
      </c>
      <c r="K992" t="e">
        <f>MID(tblPassengerNames[[#This Row],[Name]], tblPassengerNames[[#This Row],[OpenParPos]] + 1, tblPassengerNames[[#This Row],[CloseParPos]] - tblPassengerNames[[#This Row],[OpenParPos]] - 1)</f>
        <v>#VALUE!</v>
      </c>
      <c r="L992" t="e">
        <f>IF(AND(LEFT(tblPassengerNames[[#This Row],[InParentheses]], 1) = "'", RIGHT(tblPassengerNames[[#This Row],[InParentheses]], 1) = "'"),
    #VALUE!,
    tblPassengerNames[[#This Row],[InParentheses]]
)</f>
        <v>#VALUE!</v>
      </c>
      <c r="M992" t="e">
        <f>LEN(tblPassengerNames[[#This Row],[InParenthesesCleaned]]) - LEN(SUBSTITUTE(tblPassengerNames[[#This Row],[InParenthesesCleaned]], " ", ""))</f>
        <v>#VALUE!</v>
      </c>
      <c r="N992" t="e">
        <f>FIND("@", SUBSTITUTE(tblPassengerNames[[#This Row],[InParenthesesCleaned]], " ", "@", tblPassengerNames[[#This Row],[P_NSpaces]]))</f>
        <v>#VALUE!</v>
      </c>
      <c r="O992" t="e">
        <f>IF(tblPassengerNames[[#This Row],[P_NSpaces]] = 0,
    tblPassengerNames[[#This Row],[InParenthesesCleaned]],
    LEFT(tblPassengerNames[[#This Row],[InParenthesesCleaned]], tblPassengerNames[[#This Row],[P_FinalSpacePos]] - 1)
)</f>
        <v>#VALUE!</v>
      </c>
      <c r="P992" t="str">
        <f>IFERROR(tblPassengerNames[[#This Row],[P_Forenames]], tblPassengerNames[[#This Row],[ConvForenames]])</f>
        <v>Simon</v>
      </c>
      <c r="Q992" t="str">
        <f>MID(tblPassengerNames[[#This Row],[Name]], tblPassengerNames[[#This Row],[CommaPos]] + 2, tblPassengerNames[[#This Row],[DotPos]] - tblPassengerNames[[#This Row],[CommaPos]] - 1)</f>
        <v>Mr.</v>
      </c>
      <c r="R992" t="str">
        <f>LEFT(tblPassengerNames[[#This Row],[Name]], tblPassengerNames[[#This Row],[CommaPos]] - 1)</f>
        <v>Maisner</v>
      </c>
    </row>
    <row r="993" spans="2:18" x14ac:dyDescent="0.25">
      <c r="B993" s="21">
        <v>991</v>
      </c>
      <c r="C993" s="21" t="s">
        <v>1125</v>
      </c>
      <c r="D993" s="21" t="s">
        <v>138</v>
      </c>
      <c r="E993">
        <f>FIND(",", tblPassengerNames[[#This Row],[Name]])</f>
        <v>8</v>
      </c>
      <c r="F993">
        <f>FIND(".", tblPassengerNames[[#This Row],[Name]])</f>
        <v>12</v>
      </c>
      <c r="G993" t="e">
        <f>FIND("(", tblPassengerNames[[#This Row],[Name]])</f>
        <v>#VALUE!</v>
      </c>
      <c r="H993" t="e">
        <f>FIND(")", tblPassengerNames[[#This Row],[Name]])</f>
        <v>#VALUE!</v>
      </c>
      <c r="I993">
        <f>IFERROR(tblPassengerNames[[#This Row],[OpenParPos]] - 2, LEN(tblPassengerNames[[#This Row],[Name]]))</f>
        <v>25</v>
      </c>
      <c r="J993" t="str">
        <f>MID(tblPassengerNames[[#This Row],[Name]], tblPassengerNames[[#This Row],[DotPos]] + 2, tblPassengerNames[[#This Row],[EndOfConvFNPos]] - tblPassengerNames[[#This Row],[DotPos]] - 1)</f>
        <v>Kalle Edvard</v>
      </c>
      <c r="K993" t="e">
        <f>MID(tblPassengerNames[[#This Row],[Name]], tblPassengerNames[[#This Row],[OpenParPos]] + 1, tblPassengerNames[[#This Row],[CloseParPos]] - tblPassengerNames[[#This Row],[OpenParPos]] - 1)</f>
        <v>#VALUE!</v>
      </c>
      <c r="L993" t="e">
        <f>IF(AND(LEFT(tblPassengerNames[[#This Row],[InParentheses]], 1) = "'", RIGHT(tblPassengerNames[[#This Row],[InParentheses]], 1) = "'"),
    #VALUE!,
    tblPassengerNames[[#This Row],[InParentheses]]
)</f>
        <v>#VALUE!</v>
      </c>
      <c r="M993" t="e">
        <f>LEN(tblPassengerNames[[#This Row],[InParenthesesCleaned]]) - LEN(SUBSTITUTE(tblPassengerNames[[#This Row],[InParenthesesCleaned]], " ", ""))</f>
        <v>#VALUE!</v>
      </c>
      <c r="N993" t="e">
        <f>FIND("@", SUBSTITUTE(tblPassengerNames[[#This Row],[InParenthesesCleaned]], " ", "@", tblPassengerNames[[#This Row],[P_NSpaces]]))</f>
        <v>#VALUE!</v>
      </c>
      <c r="O993" t="e">
        <f>IF(tblPassengerNames[[#This Row],[P_NSpaces]] = 0,
    tblPassengerNames[[#This Row],[InParenthesesCleaned]],
    LEFT(tblPassengerNames[[#This Row],[InParenthesesCleaned]], tblPassengerNames[[#This Row],[P_FinalSpacePos]] - 1)
)</f>
        <v>#VALUE!</v>
      </c>
      <c r="P993" t="str">
        <f>IFERROR(tblPassengerNames[[#This Row],[P_Forenames]], tblPassengerNames[[#This Row],[ConvForenames]])</f>
        <v>Kalle Edvard</v>
      </c>
      <c r="Q993" t="str">
        <f>MID(tblPassengerNames[[#This Row],[Name]], tblPassengerNames[[#This Row],[CommaPos]] + 2, tblPassengerNames[[#This Row],[DotPos]] - tblPassengerNames[[#This Row],[CommaPos]] - 1)</f>
        <v>Mr.</v>
      </c>
      <c r="R993" t="str">
        <f>LEFT(tblPassengerNames[[#This Row],[Name]], tblPassengerNames[[#This Row],[CommaPos]] - 1)</f>
        <v>Makinen</v>
      </c>
    </row>
    <row r="994" spans="2:18" x14ac:dyDescent="0.25">
      <c r="B994" s="21">
        <v>992</v>
      </c>
      <c r="C994" s="21" t="s">
        <v>1126</v>
      </c>
      <c r="D994" s="21" t="s">
        <v>138</v>
      </c>
      <c r="E994">
        <f>FIND(",", tblPassengerNames[[#This Row],[Name]])</f>
        <v>6</v>
      </c>
      <c r="F994">
        <f>FIND(".", tblPassengerNames[[#This Row],[Name]])</f>
        <v>10</v>
      </c>
      <c r="G994" t="e">
        <f>FIND("(", tblPassengerNames[[#This Row],[Name]])</f>
        <v>#VALUE!</v>
      </c>
      <c r="H994" t="e">
        <f>FIND(")", tblPassengerNames[[#This Row],[Name]])</f>
        <v>#VALUE!</v>
      </c>
      <c r="I994">
        <f>IFERROR(tblPassengerNames[[#This Row],[OpenParPos]] - 2, LEN(tblPassengerNames[[#This Row],[Name]]))</f>
        <v>16</v>
      </c>
      <c r="J994" t="str">
        <f>MID(tblPassengerNames[[#This Row],[Name]], tblPassengerNames[[#This Row],[DotPos]] + 2, tblPassengerNames[[#This Row],[EndOfConvFNPos]] - tblPassengerNames[[#This Row],[DotPos]] - 1)</f>
        <v>Hanna</v>
      </c>
      <c r="K994" t="e">
        <f>MID(tblPassengerNames[[#This Row],[Name]], tblPassengerNames[[#This Row],[OpenParPos]] + 1, tblPassengerNames[[#This Row],[CloseParPos]] - tblPassengerNames[[#This Row],[OpenParPos]] - 1)</f>
        <v>#VALUE!</v>
      </c>
      <c r="L994" t="e">
        <f>IF(AND(LEFT(tblPassengerNames[[#This Row],[InParentheses]], 1) = "'", RIGHT(tblPassengerNames[[#This Row],[InParentheses]], 1) = "'"),
    #VALUE!,
    tblPassengerNames[[#This Row],[InParentheses]]
)</f>
        <v>#VALUE!</v>
      </c>
      <c r="M994" t="e">
        <f>LEN(tblPassengerNames[[#This Row],[InParenthesesCleaned]]) - LEN(SUBSTITUTE(tblPassengerNames[[#This Row],[InParenthesesCleaned]], " ", ""))</f>
        <v>#VALUE!</v>
      </c>
      <c r="N994" t="e">
        <f>FIND("@", SUBSTITUTE(tblPassengerNames[[#This Row],[InParenthesesCleaned]], " ", "@", tblPassengerNames[[#This Row],[P_NSpaces]]))</f>
        <v>#VALUE!</v>
      </c>
      <c r="O994" t="e">
        <f>IF(tblPassengerNames[[#This Row],[P_NSpaces]] = 0,
    tblPassengerNames[[#This Row],[InParenthesesCleaned]],
    LEFT(tblPassengerNames[[#This Row],[InParenthesesCleaned]], tblPassengerNames[[#This Row],[P_FinalSpacePos]] - 1)
)</f>
        <v>#VALUE!</v>
      </c>
      <c r="P994" t="str">
        <f>IFERROR(tblPassengerNames[[#This Row],[P_Forenames]], tblPassengerNames[[#This Row],[ConvForenames]])</f>
        <v>Hanna</v>
      </c>
      <c r="Q994" t="str">
        <f>MID(tblPassengerNames[[#This Row],[Name]], tblPassengerNames[[#This Row],[CommaPos]] + 2, tblPassengerNames[[#This Row],[DotPos]] - tblPassengerNames[[#This Row],[CommaPos]] - 1)</f>
        <v>Mr.</v>
      </c>
      <c r="R994" t="str">
        <f>LEFT(tblPassengerNames[[#This Row],[Name]], tblPassengerNames[[#This Row],[CommaPos]] - 1)</f>
        <v>Mamee</v>
      </c>
    </row>
    <row r="995" spans="2:18" x14ac:dyDescent="0.25">
      <c r="B995" s="21">
        <v>993</v>
      </c>
      <c r="C995" s="21" t="s">
        <v>1127</v>
      </c>
      <c r="D995" s="21" t="s">
        <v>136</v>
      </c>
      <c r="E995">
        <f>FIND(",", tblPassengerNames[[#This Row],[Name]])</f>
        <v>7</v>
      </c>
      <c r="F995">
        <f>FIND(".", tblPassengerNames[[#This Row],[Name]])</f>
        <v>13</v>
      </c>
      <c r="G995" t="e">
        <f>FIND("(", tblPassengerNames[[#This Row],[Name]])</f>
        <v>#VALUE!</v>
      </c>
      <c r="H995" t="e">
        <f>FIND(")", tblPassengerNames[[#This Row],[Name]])</f>
        <v>#VALUE!</v>
      </c>
      <c r="I995">
        <f>IFERROR(tblPassengerNames[[#This Row],[OpenParPos]] - 2, LEN(tblPassengerNames[[#This Row],[Name]]))</f>
        <v>18</v>
      </c>
      <c r="J995" t="str">
        <f>MID(tblPassengerNames[[#This Row],[Name]], tblPassengerNames[[#This Row],[DotPos]] + 2, tblPassengerNames[[#This Row],[EndOfConvFNPos]] - tblPassengerNames[[#This Row],[DotPos]] - 1)</f>
        <v>Mary</v>
      </c>
      <c r="K995" t="e">
        <f>MID(tblPassengerNames[[#This Row],[Name]], tblPassengerNames[[#This Row],[OpenParPos]] + 1, tblPassengerNames[[#This Row],[CloseParPos]] - tblPassengerNames[[#This Row],[OpenParPos]] - 1)</f>
        <v>#VALUE!</v>
      </c>
      <c r="L995" t="e">
        <f>IF(AND(LEFT(tblPassengerNames[[#This Row],[InParentheses]], 1) = "'", RIGHT(tblPassengerNames[[#This Row],[InParentheses]], 1) = "'"),
    #VALUE!,
    tblPassengerNames[[#This Row],[InParentheses]]
)</f>
        <v>#VALUE!</v>
      </c>
      <c r="M995" t="e">
        <f>LEN(tblPassengerNames[[#This Row],[InParenthesesCleaned]]) - LEN(SUBSTITUTE(tblPassengerNames[[#This Row],[InParenthesesCleaned]], " ", ""))</f>
        <v>#VALUE!</v>
      </c>
      <c r="N995" t="e">
        <f>FIND("@", SUBSTITUTE(tblPassengerNames[[#This Row],[InParenthesesCleaned]], " ", "@", tblPassengerNames[[#This Row],[P_NSpaces]]))</f>
        <v>#VALUE!</v>
      </c>
      <c r="O995" t="e">
        <f>IF(tblPassengerNames[[#This Row],[P_NSpaces]] = 0,
    tblPassengerNames[[#This Row],[InParenthesesCleaned]],
    LEFT(tblPassengerNames[[#This Row],[InParenthesesCleaned]], tblPassengerNames[[#This Row],[P_FinalSpacePos]] - 1)
)</f>
        <v>#VALUE!</v>
      </c>
      <c r="P995" t="str">
        <f>IFERROR(tblPassengerNames[[#This Row],[P_Forenames]], tblPassengerNames[[#This Row],[ConvForenames]])</f>
        <v>Mary</v>
      </c>
      <c r="Q995" t="str">
        <f>MID(tblPassengerNames[[#This Row],[Name]], tblPassengerNames[[#This Row],[CommaPos]] + 2, tblPassengerNames[[#This Row],[DotPos]] - tblPassengerNames[[#This Row],[CommaPos]] - 1)</f>
        <v>Miss.</v>
      </c>
      <c r="R995" t="str">
        <f>LEFT(tblPassengerNames[[#This Row],[Name]], tblPassengerNames[[#This Row],[CommaPos]] - 1)</f>
        <v>Mangan</v>
      </c>
    </row>
    <row r="996" spans="2:18" x14ac:dyDescent="0.25">
      <c r="B996" s="21">
        <v>994</v>
      </c>
      <c r="C996" s="21" t="s">
        <v>1128</v>
      </c>
      <c r="D996" s="21" t="s">
        <v>136</v>
      </c>
      <c r="E996">
        <f>FIND(",", tblPassengerNames[[#This Row],[Name]])</f>
        <v>8</v>
      </c>
      <c r="F996">
        <f>FIND(".", tblPassengerNames[[#This Row],[Name]])</f>
        <v>14</v>
      </c>
      <c r="G996" t="e">
        <f>FIND("(", tblPassengerNames[[#This Row],[Name]])</f>
        <v>#VALUE!</v>
      </c>
      <c r="H996" t="e">
        <f>FIND(")", tblPassengerNames[[#This Row],[Name]])</f>
        <v>#VALUE!</v>
      </c>
      <c r="I996">
        <f>IFERROR(tblPassengerNames[[#This Row],[OpenParPos]] - 2, LEN(tblPassengerNames[[#This Row],[Name]]))</f>
        <v>24</v>
      </c>
      <c r="J996" t="str">
        <f>MID(tblPassengerNames[[#This Row],[Name]], tblPassengerNames[[#This Row],[DotPos]] + 2, tblPassengerNames[[#This Row],[EndOfConvFNPos]] - tblPassengerNames[[#This Row],[DotPos]] - 1)</f>
        <v>Margareth</v>
      </c>
      <c r="K996" t="e">
        <f>MID(tblPassengerNames[[#This Row],[Name]], tblPassengerNames[[#This Row],[OpenParPos]] + 1, tblPassengerNames[[#This Row],[CloseParPos]] - tblPassengerNames[[#This Row],[OpenParPos]] - 1)</f>
        <v>#VALUE!</v>
      </c>
      <c r="L996" t="e">
        <f>IF(AND(LEFT(tblPassengerNames[[#This Row],[InParentheses]], 1) = "'", RIGHT(tblPassengerNames[[#This Row],[InParentheses]], 1) = "'"),
    #VALUE!,
    tblPassengerNames[[#This Row],[InParentheses]]
)</f>
        <v>#VALUE!</v>
      </c>
      <c r="M996" t="e">
        <f>LEN(tblPassengerNames[[#This Row],[InParenthesesCleaned]]) - LEN(SUBSTITUTE(tblPassengerNames[[#This Row],[InParenthesesCleaned]], " ", ""))</f>
        <v>#VALUE!</v>
      </c>
      <c r="N996" t="e">
        <f>FIND("@", SUBSTITUTE(tblPassengerNames[[#This Row],[InParenthesesCleaned]], " ", "@", tblPassengerNames[[#This Row],[P_NSpaces]]))</f>
        <v>#VALUE!</v>
      </c>
      <c r="O996" t="e">
        <f>IF(tblPassengerNames[[#This Row],[P_NSpaces]] = 0,
    tblPassengerNames[[#This Row],[InParenthesesCleaned]],
    LEFT(tblPassengerNames[[#This Row],[InParenthesesCleaned]], tblPassengerNames[[#This Row],[P_FinalSpacePos]] - 1)
)</f>
        <v>#VALUE!</v>
      </c>
      <c r="P996" t="str">
        <f>IFERROR(tblPassengerNames[[#This Row],[P_Forenames]], tblPassengerNames[[#This Row],[ConvForenames]])</f>
        <v>Margareth</v>
      </c>
      <c r="Q996" t="str">
        <f>MID(tblPassengerNames[[#This Row],[Name]], tblPassengerNames[[#This Row],[CommaPos]] + 2, tblPassengerNames[[#This Row],[DotPos]] - tblPassengerNames[[#This Row],[CommaPos]] - 1)</f>
        <v>Miss.</v>
      </c>
      <c r="R996" t="str">
        <f>LEFT(tblPassengerNames[[#This Row],[Name]], tblPassengerNames[[#This Row],[CommaPos]] - 1)</f>
        <v>Mannion</v>
      </c>
    </row>
    <row r="997" spans="2:18" x14ac:dyDescent="0.25">
      <c r="B997" s="21">
        <v>995</v>
      </c>
      <c r="C997" s="21" t="s">
        <v>1129</v>
      </c>
      <c r="D997" s="21" t="s">
        <v>138</v>
      </c>
      <c r="E997">
        <f>FIND(",", tblPassengerNames[[#This Row],[Name]])</f>
        <v>12</v>
      </c>
      <c r="F997">
        <f>FIND(".", tblPassengerNames[[#This Row],[Name]])</f>
        <v>16</v>
      </c>
      <c r="G997" t="e">
        <f>FIND("(", tblPassengerNames[[#This Row],[Name]])</f>
        <v>#VALUE!</v>
      </c>
      <c r="H997" t="e">
        <f>FIND(")", tblPassengerNames[[#This Row],[Name]])</f>
        <v>#VALUE!</v>
      </c>
      <c r="I997">
        <f>IFERROR(tblPassengerNames[[#This Row],[OpenParPos]] - 2, LEN(tblPassengerNames[[#This Row],[Name]]))</f>
        <v>23</v>
      </c>
      <c r="J997" t="str">
        <f>MID(tblPassengerNames[[#This Row],[Name]], tblPassengerNames[[#This Row],[DotPos]] + 2, tblPassengerNames[[#This Row],[EndOfConvFNPos]] - tblPassengerNames[[#This Row],[DotPos]] - 1)</f>
        <v>Sarkis</v>
      </c>
      <c r="K997" t="e">
        <f>MID(tblPassengerNames[[#This Row],[Name]], tblPassengerNames[[#This Row],[OpenParPos]] + 1, tblPassengerNames[[#This Row],[CloseParPos]] - tblPassengerNames[[#This Row],[OpenParPos]] - 1)</f>
        <v>#VALUE!</v>
      </c>
      <c r="L997" t="e">
        <f>IF(AND(LEFT(tblPassengerNames[[#This Row],[InParentheses]], 1) = "'", RIGHT(tblPassengerNames[[#This Row],[InParentheses]], 1) = "'"),
    #VALUE!,
    tblPassengerNames[[#This Row],[InParentheses]]
)</f>
        <v>#VALUE!</v>
      </c>
      <c r="M997" t="e">
        <f>LEN(tblPassengerNames[[#This Row],[InParenthesesCleaned]]) - LEN(SUBSTITUTE(tblPassengerNames[[#This Row],[InParenthesesCleaned]], " ", ""))</f>
        <v>#VALUE!</v>
      </c>
      <c r="N997" t="e">
        <f>FIND("@", SUBSTITUTE(tblPassengerNames[[#This Row],[InParenthesesCleaned]], " ", "@", tblPassengerNames[[#This Row],[P_NSpaces]]))</f>
        <v>#VALUE!</v>
      </c>
      <c r="O997" t="e">
        <f>IF(tblPassengerNames[[#This Row],[P_NSpaces]] = 0,
    tblPassengerNames[[#This Row],[InParenthesesCleaned]],
    LEFT(tblPassengerNames[[#This Row],[InParenthesesCleaned]], tblPassengerNames[[#This Row],[P_FinalSpacePos]] - 1)
)</f>
        <v>#VALUE!</v>
      </c>
      <c r="P997" t="str">
        <f>IFERROR(tblPassengerNames[[#This Row],[P_Forenames]], tblPassengerNames[[#This Row],[ConvForenames]])</f>
        <v>Sarkis</v>
      </c>
      <c r="Q997" t="str">
        <f>MID(tblPassengerNames[[#This Row],[Name]], tblPassengerNames[[#This Row],[CommaPos]] + 2, tblPassengerNames[[#This Row],[DotPos]] - tblPassengerNames[[#This Row],[CommaPos]] - 1)</f>
        <v>Mr.</v>
      </c>
      <c r="R997" t="str">
        <f>LEFT(tblPassengerNames[[#This Row],[Name]], tblPassengerNames[[#This Row],[CommaPos]] - 1)</f>
        <v>Mardirosian</v>
      </c>
    </row>
    <row r="998" spans="2:18" x14ac:dyDescent="0.25">
      <c r="B998" s="21">
        <v>996</v>
      </c>
      <c r="C998" s="21" t="s">
        <v>1130</v>
      </c>
      <c r="D998" s="21" t="s">
        <v>138</v>
      </c>
      <c r="E998">
        <f>FIND(",", tblPassengerNames[[#This Row],[Name]])</f>
        <v>8</v>
      </c>
      <c r="F998">
        <f>FIND(".", tblPassengerNames[[#This Row],[Name]])</f>
        <v>12</v>
      </c>
      <c r="G998" t="e">
        <f>FIND("(", tblPassengerNames[[#This Row],[Name]])</f>
        <v>#VALUE!</v>
      </c>
      <c r="H998" t="e">
        <f>FIND(")", tblPassengerNames[[#This Row],[Name]])</f>
        <v>#VALUE!</v>
      </c>
      <c r="I998">
        <f>IFERROR(tblPassengerNames[[#This Row],[OpenParPos]] - 2, LEN(tblPassengerNames[[#This Row],[Name]]))</f>
        <v>18</v>
      </c>
      <c r="J998" t="str">
        <f>MID(tblPassengerNames[[#This Row],[Name]], tblPassengerNames[[#This Row],[DotPos]] + 2, tblPassengerNames[[#This Row],[EndOfConvFNPos]] - tblPassengerNames[[#This Row],[DotPos]] - 1)</f>
        <v>Marin</v>
      </c>
      <c r="K998" t="e">
        <f>MID(tblPassengerNames[[#This Row],[Name]], tblPassengerNames[[#This Row],[OpenParPos]] + 1, tblPassengerNames[[#This Row],[CloseParPos]] - tblPassengerNames[[#This Row],[OpenParPos]] - 1)</f>
        <v>#VALUE!</v>
      </c>
      <c r="L998" t="e">
        <f>IF(AND(LEFT(tblPassengerNames[[#This Row],[InParentheses]], 1) = "'", RIGHT(tblPassengerNames[[#This Row],[InParentheses]], 1) = "'"),
    #VALUE!,
    tblPassengerNames[[#This Row],[InParentheses]]
)</f>
        <v>#VALUE!</v>
      </c>
      <c r="M998" t="e">
        <f>LEN(tblPassengerNames[[#This Row],[InParenthesesCleaned]]) - LEN(SUBSTITUTE(tblPassengerNames[[#This Row],[InParenthesesCleaned]], " ", ""))</f>
        <v>#VALUE!</v>
      </c>
      <c r="N998" t="e">
        <f>FIND("@", SUBSTITUTE(tblPassengerNames[[#This Row],[InParenthesesCleaned]], " ", "@", tblPassengerNames[[#This Row],[P_NSpaces]]))</f>
        <v>#VALUE!</v>
      </c>
      <c r="O998" t="e">
        <f>IF(tblPassengerNames[[#This Row],[P_NSpaces]] = 0,
    tblPassengerNames[[#This Row],[InParenthesesCleaned]],
    LEFT(tblPassengerNames[[#This Row],[InParenthesesCleaned]], tblPassengerNames[[#This Row],[P_FinalSpacePos]] - 1)
)</f>
        <v>#VALUE!</v>
      </c>
      <c r="P998" t="str">
        <f>IFERROR(tblPassengerNames[[#This Row],[P_Forenames]], tblPassengerNames[[#This Row],[ConvForenames]])</f>
        <v>Marin</v>
      </c>
      <c r="Q998" t="str">
        <f>MID(tblPassengerNames[[#This Row],[Name]], tblPassengerNames[[#This Row],[CommaPos]] + 2, tblPassengerNames[[#This Row],[DotPos]] - tblPassengerNames[[#This Row],[CommaPos]] - 1)</f>
        <v>Mr.</v>
      </c>
      <c r="R998" t="str">
        <f>LEFT(tblPassengerNames[[#This Row],[Name]], tblPassengerNames[[#This Row],[CommaPos]] - 1)</f>
        <v>Markoff</v>
      </c>
    </row>
    <row r="999" spans="2:18" x14ac:dyDescent="0.25">
      <c r="B999" s="21">
        <v>997</v>
      </c>
      <c r="C999" s="21" t="s">
        <v>1131</v>
      </c>
      <c r="D999" s="21" t="s">
        <v>138</v>
      </c>
      <c r="E999">
        <f>FIND(",", tblPassengerNames[[#This Row],[Name]])</f>
        <v>7</v>
      </c>
      <c r="F999">
        <f>FIND(".", tblPassengerNames[[#This Row],[Name]])</f>
        <v>11</v>
      </c>
      <c r="G999" t="e">
        <f>FIND("(", tblPassengerNames[[#This Row],[Name]])</f>
        <v>#VALUE!</v>
      </c>
      <c r="H999" t="e">
        <f>FIND(")", tblPassengerNames[[#This Row],[Name]])</f>
        <v>#VALUE!</v>
      </c>
      <c r="I999">
        <f>IFERROR(tblPassengerNames[[#This Row],[OpenParPos]] - 2, LEN(tblPassengerNames[[#This Row],[Name]]))</f>
        <v>18</v>
      </c>
      <c r="J999" t="str">
        <f>MID(tblPassengerNames[[#This Row],[Name]], tblPassengerNames[[#This Row],[DotPos]] + 2, tblPassengerNames[[#This Row],[EndOfConvFNPos]] - tblPassengerNames[[#This Row],[DotPos]] - 1)</f>
        <v>Johann</v>
      </c>
      <c r="K999" t="e">
        <f>MID(tblPassengerNames[[#This Row],[Name]], tblPassengerNames[[#This Row],[OpenParPos]] + 1, tblPassengerNames[[#This Row],[CloseParPos]] - tblPassengerNames[[#This Row],[OpenParPos]] - 1)</f>
        <v>#VALUE!</v>
      </c>
      <c r="L999" t="e">
        <f>IF(AND(LEFT(tblPassengerNames[[#This Row],[InParentheses]], 1) = "'", RIGHT(tblPassengerNames[[#This Row],[InParentheses]], 1) = "'"),
    #VALUE!,
    tblPassengerNames[[#This Row],[InParentheses]]
)</f>
        <v>#VALUE!</v>
      </c>
      <c r="M999" t="e">
        <f>LEN(tblPassengerNames[[#This Row],[InParenthesesCleaned]]) - LEN(SUBSTITUTE(tblPassengerNames[[#This Row],[InParenthesesCleaned]], " ", ""))</f>
        <v>#VALUE!</v>
      </c>
      <c r="N999" t="e">
        <f>FIND("@", SUBSTITUTE(tblPassengerNames[[#This Row],[InParenthesesCleaned]], " ", "@", tblPassengerNames[[#This Row],[P_NSpaces]]))</f>
        <v>#VALUE!</v>
      </c>
      <c r="O999" t="e">
        <f>IF(tblPassengerNames[[#This Row],[P_NSpaces]] = 0,
    tblPassengerNames[[#This Row],[InParenthesesCleaned]],
    LEFT(tblPassengerNames[[#This Row],[InParenthesesCleaned]], tblPassengerNames[[#This Row],[P_FinalSpacePos]] - 1)
)</f>
        <v>#VALUE!</v>
      </c>
      <c r="P999" t="str">
        <f>IFERROR(tblPassengerNames[[#This Row],[P_Forenames]], tblPassengerNames[[#This Row],[ConvForenames]])</f>
        <v>Johann</v>
      </c>
      <c r="Q999" t="str">
        <f>MID(tblPassengerNames[[#This Row],[Name]], tblPassengerNames[[#This Row],[CommaPos]] + 2, tblPassengerNames[[#This Row],[DotPos]] - tblPassengerNames[[#This Row],[CommaPos]] - 1)</f>
        <v>Mr.</v>
      </c>
      <c r="R999" t="str">
        <f>LEFT(tblPassengerNames[[#This Row],[Name]], tblPassengerNames[[#This Row],[CommaPos]] - 1)</f>
        <v>Markun</v>
      </c>
    </row>
    <row r="1000" spans="2:18" x14ac:dyDescent="0.25">
      <c r="B1000" s="21">
        <v>998</v>
      </c>
      <c r="C1000" s="21" t="s">
        <v>1132</v>
      </c>
      <c r="D1000" s="21" t="s">
        <v>136</v>
      </c>
      <c r="E1000">
        <f>FIND(",", tblPassengerNames[[#This Row],[Name]])</f>
        <v>11</v>
      </c>
      <c r="F1000">
        <f>FIND(".", tblPassengerNames[[#This Row],[Name]])</f>
        <v>16</v>
      </c>
      <c r="G1000" t="e">
        <f>FIND("(", tblPassengerNames[[#This Row],[Name]])</f>
        <v>#VALUE!</v>
      </c>
      <c r="H1000" t="e">
        <f>FIND(")", tblPassengerNames[[#This Row],[Name]])</f>
        <v>#VALUE!</v>
      </c>
      <c r="I1000">
        <f>IFERROR(tblPassengerNames[[#This Row],[OpenParPos]] - 2, LEN(tblPassengerNames[[#This Row],[Name]]))</f>
        <v>23</v>
      </c>
      <c r="J1000" t="str">
        <f>MID(tblPassengerNames[[#This Row],[Name]], tblPassengerNames[[#This Row],[DotPos]] + 2, tblPassengerNames[[#This Row],[EndOfConvFNPos]] - tblPassengerNames[[#This Row],[DotPos]] - 1)</f>
        <v>Fatima</v>
      </c>
      <c r="K1000" t="e">
        <f>MID(tblPassengerNames[[#This Row],[Name]], tblPassengerNames[[#This Row],[OpenParPos]] + 1, tblPassengerNames[[#This Row],[CloseParPos]] - tblPassengerNames[[#This Row],[OpenParPos]] - 1)</f>
        <v>#VALUE!</v>
      </c>
      <c r="L1000" t="e">
        <f>IF(AND(LEFT(tblPassengerNames[[#This Row],[InParentheses]], 1) = "'", RIGHT(tblPassengerNames[[#This Row],[InParentheses]], 1) = "'"),
    #VALUE!,
    tblPassengerNames[[#This Row],[InParentheses]]
)</f>
        <v>#VALUE!</v>
      </c>
      <c r="M1000" t="e">
        <f>LEN(tblPassengerNames[[#This Row],[InParenthesesCleaned]]) - LEN(SUBSTITUTE(tblPassengerNames[[#This Row],[InParenthesesCleaned]], " ", ""))</f>
        <v>#VALUE!</v>
      </c>
      <c r="N1000" t="e">
        <f>FIND("@", SUBSTITUTE(tblPassengerNames[[#This Row],[InParenthesesCleaned]], " ", "@", tblPassengerNames[[#This Row],[P_NSpaces]]))</f>
        <v>#VALUE!</v>
      </c>
      <c r="O1000" t="e">
        <f>IF(tblPassengerNames[[#This Row],[P_NSpaces]] = 0,
    tblPassengerNames[[#This Row],[InParenthesesCleaned]],
    LEFT(tblPassengerNames[[#This Row],[InParenthesesCleaned]], tblPassengerNames[[#This Row],[P_FinalSpacePos]] - 1)
)</f>
        <v>#VALUE!</v>
      </c>
      <c r="P1000" t="str">
        <f>IFERROR(tblPassengerNames[[#This Row],[P_Forenames]], tblPassengerNames[[#This Row],[ConvForenames]])</f>
        <v>Fatima</v>
      </c>
      <c r="Q1000" t="str">
        <f>MID(tblPassengerNames[[#This Row],[Name]], tblPassengerNames[[#This Row],[CommaPos]] + 2, tblPassengerNames[[#This Row],[DotPos]] - tblPassengerNames[[#This Row],[CommaPos]] - 1)</f>
        <v>Mrs.</v>
      </c>
      <c r="R1000" t="str">
        <f>LEFT(tblPassengerNames[[#This Row],[Name]], tblPassengerNames[[#This Row],[CommaPos]] - 1)</f>
        <v>Masselmani</v>
      </c>
    </row>
    <row r="1001" spans="2:18" x14ac:dyDescent="0.25">
      <c r="B1001" s="21">
        <v>999</v>
      </c>
      <c r="C1001" s="21" t="s">
        <v>1133</v>
      </c>
      <c r="D1001" s="21" t="s">
        <v>138</v>
      </c>
      <c r="E1001">
        <f>FIND(",", tblPassengerNames[[#This Row],[Name]])</f>
        <v>9</v>
      </c>
      <c r="F1001">
        <f>FIND(".", tblPassengerNames[[#This Row],[Name]])</f>
        <v>13</v>
      </c>
      <c r="G1001" t="e">
        <f>FIND("(", tblPassengerNames[[#This Row],[Name]])</f>
        <v>#VALUE!</v>
      </c>
      <c r="H1001" t="e">
        <f>FIND(")", tblPassengerNames[[#This Row],[Name]])</f>
        <v>#VALUE!</v>
      </c>
      <c r="I1001">
        <f>IFERROR(tblPassengerNames[[#This Row],[OpenParPos]] - 2, LEN(tblPassengerNames[[#This Row],[Name]]))</f>
        <v>20</v>
      </c>
      <c r="J1001" t="str">
        <f>MID(tblPassengerNames[[#This Row],[Name]], tblPassengerNames[[#This Row],[DotPos]] + 2, tblPassengerNames[[#This Row],[EndOfConvFNPos]] - tblPassengerNames[[#This Row],[DotPos]] - 1)</f>
        <v>Nicola</v>
      </c>
      <c r="K1001" t="e">
        <f>MID(tblPassengerNames[[#This Row],[Name]], tblPassengerNames[[#This Row],[OpenParPos]] + 1, tblPassengerNames[[#This Row],[CloseParPos]] - tblPassengerNames[[#This Row],[OpenParPos]] - 1)</f>
        <v>#VALUE!</v>
      </c>
      <c r="L1001" t="e">
        <f>IF(AND(LEFT(tblPassengerNames[[#This Row],[InParentheses]], 1) = "'", RIGHT(tblPassengerNames[[#This Row],[InParentheses]], 1) = "'"),
    #VALUE!,
    tblPassengerNames[[#This Row],[InParentheses]]
)</f>
        <v>#VALUE!</v>
      </c>
      <c r="M1001" t="e">
        <f>LEN(tblPassengerNames[[#This Row],[InParenthesesCleaned]]) - LEN(SUBSTITUTE(tblPassengerNames[[#This Row],[InParenthesesCleaned]], " ", ""))</f>
        <v>#VALUE!</v>
      </c>
      <c r="N1001" t="e">
        <f>FIND("@", SUBSTITUTE(tblPassengerNames[[#This Row],[InParenthesesCleaned]], " ", "@", tblPassengerNames[[#This Row],[P_NSpaces]]))</f>
        <v>#VALUE!</v>
      </c>
      <c r="O1001" t="e">
        <f>IF(tblPassengerNames[[#This Row],[P_NSpaces]] = 0,
    tblPassengerNames[[#This Row],[InParenthesesCleaned]],
    LEFT(tblPassengerNames[[#This Row],[InParenthesesCleaned]], tblPassengerNames[[#This Row],[P_FinalSpacePos]] - 1)
)</f>
        <v>#VALUE!</v>
      </c>
      <c r="P1001" t="str">
        <f>IFERROR(tblPassengerNames[[#This Row],[P_Forenames]], tblPassengerNames[[#This Row],[ConvForenames]])</f>
        <v>Nicola</v>
      </c>
      <c r="Q1001" t="str">
        <f>MID(tblPassengerNames[[#This Row],[Name]], tblPassengerNames[[#This Row],[CommaPos]] + 2, tblPassengerNames[[#This Row],[DotPos]] - tblPassengerNames[[#This Row],[CommaPos]] - 1)</f>
        <v>Mr.</v>
      </c>
      <c r="R1001" t="str">
        <f>LEFT(tblPassengerNames[[#This Row],[Name]], tblPassengerNames[[#This Row],[CommaPos]] - 1)</f>
        <v>Matinoff</v>
      </c>
    </row>
    <row r="1002" spans="2:18" x14ac:dyDescent="0.25">
      <c r="B1002" s="21">
        <v>1000</v>
      </c>
      <c r="C1002" s="21" t="s">
        <v>1134</v>
      </c>
      <c r="D1002" s="21" t="s">
        <v>136</v>
      </c>
      <c r="E1002">
        <f>FIND(",", tblPassengerNames[[#This Row],[Name]])</f>
        <v>9</v>
      </c>
      <c r="F1002">
        <f>FIND(".", tblPassengerNames[[#This Row],[Name]])</f>
        <v>15</v>
      </c>
      <c r="G1002" t="e">
        <f>FIND("(", tblPassengerNames[[#This Row],[Name]])</f>
        <v>#VALUE!</v>
      </c>
      <c r="H1002" t="e">
        <f>FIND(")", tblPassengerNames[[#This Row],[Name]])</f>
        <v>#VALUE!</v>
      </c>
      <c r="I1002">
        <f>IFERROR(tblPassengerNames[[#This Row],[OpenParPos]] - 2, LEN(tblPassengerNames[[#This Row],[Name]]))</f>
        <v>33</v>
      </c>
      <c r="J1002" t="str">
        <f>MID(tblPassengerNames[[#This Row],[Name]], tblPassengerNames[[#This Row],[DotPos]] + 2, tblPassengerNames[[#This Row],[EndOfConvFNPos]] - tblPassengerNames[[#This Row],[DotPos]] - 1)</f>
        <v>Catherine 'Katie'</v>
      </c>
      <c r="K1002" t="e">
        <f>MID(tblPassengerNames[[#This Row],[Name]], tblPassengerNames[[#This Row],[OpenParPos]] + 1, tblPassengerNames[[#This Row],[CloseParPos]] - tblPassengerNames[[#This Row],[OpenParPos]] - 1)</f>
        <v>#VALUE!</v>
      </c>
      <c r="L1002" t="e">
        <f>IF(AND(LEFT(tblPassengerNames[[#This Row],[InParentheses]], 1) = "'", RIGHT(tblPassengerNames[[#This Row],[InParentheses]], 1) = "'"),
    #VALUE!,
    tblPassengerNames[[#This Row],[InParentheses]]
)</f>
        <v>#VALUE!</v>
      </c>
      <c r="M1002" t="e">
        <f>LEN(tblPassengerNames[[#This Row],[InParenthesesCleaned]]) - LEN(SUBSTITUTE(tblPassengerNames[[#This Row],[InParenthesesCleaned]], " ", ""))</f>
        <v>#VALUE!</v>
      </c>
      <c r="N1002" t="e">
        <f>FIND("@", SUBSTITUTE(tblPassengerNames[[#This Row],[InParenthesesCleaned]], " ", "@", tblPassengerNames[[#This Row],[P_NSpaces]]))</f>
        <v>#VALUE!</v>
      </c>
      <c r="O1002" t="e">
        <f>IF(tblPassengerNames[[#This Row],[P_NSpaces]] = 0,
    tblPassengerNames[[#This Row],[InParenthesesCleaned]],
    LEFT(tblPassengerNames[[#This Row],[InParenthesesCleaned]], tblPassengerNames[[#This Row],[P_FinalSpacePos]] - 1)
)</f>
        <v>#VALUE!</v>
      </c>
      <c r="P1002" t="str">
        <f>IFERROR(tblPassengerNames[[#This Row],[P_Forenames]], tblPassengerNames[[#This Row],[ConvForenames]])</f>
        <v>Catherine 'Katie'</v>
      </c>
      <c r="Q1002" t="str">
        <f>MID(tblPassengerNames[[#This Row],[Name]], tblPassengerNames[[#This Row],[CommaPos]] + 2, tblPassengerNames[[#This Row],[DotPos]] - tblPassengerNames[[#This Row],[CommaPos]] - 1)</f>
        <v>Miss.</v>
      </c>
      <c r="R1002" t="str">
        <f>LEFT(tblPassengerNames[[#This Row],[Name]], tblPassengerNames[[#This Row],[CommaPos]] - 1)</f>
        <v>McCarthy</v>
      </c>
    </row>
    <row r="1003" spans="2:18" x14ac:dyDescent="0.25">
      <c r="B1003" s="21">
        <v>1001</v>
      </c>
      <c r="C1003" s="21" t="s">
        <v>1135</v>
      </c>
      <c r="D1003" s="21" t="s">
        <v>138</v>
      </c>
      <c r="E1003">
        <f>FIND(",", tblPassengerNames[[#This Row],[Name]])</f>
        <v>10</v>
      </c>
      <c r="F1003">
        <f>FIND(".", tblPassengerNames[[#This Row],[Name]])</f>
        <v>14</v>
      </c>
      <c r="G1003" t="e">
        <f>FIND("(", tblPassengerNames[[#This Row],[Name]])</f>
        <v>#VALUE!</v>
      </c>
      <c r="H1003" t="e">
        <f>FIND(")", tblPassengerNames[[#This Row],[Name]])</f>
        <v>#VALUE!</v>
      </c>
      <c r="I1003">
        <f>IFERROR(tblPassengerNames[[#This Row],[OpenParPos]] - 2, LEN(tblPassengerNames[[#This Row],[Name]]))</f>
        <v>28</v>
      </c>
      <c r="J1003" t="str">
        <f>MID(tblPassengerNames[[#This Row],[Name]], tblPassengerNames[[#This Row],[DotPos]] + 2, tblPassengerNames[[#This Row],[EndOfConvFNPos]] - tblPassengerNames[[#This Row],[DotPos]] - 1)</f>
        <v>Thomas Joseph</v>
      </c>
      <c r="K1003" t="e">
        <f>MID(tblPassengerNames[[#This Row],[Name]], tblPassengerNames[[#This Row],[OpenParPos]] + 1, tblPassengerNames[[#This Row],[CloseParPos]] - tblPassengerNames[[#This Row],[OpenParPos]] - 1)</f>
        <v>#VALUE!</v>
      </c>
      <c r="L1003" t="e">
        <f>IF(AND(LEFT(tblPassengerNames[[#This Row],[InParentheses]], 1) = "'", RIGHT(tblPassengerNames[[#This Row],[InParentheses]], 1) = "'"),
    #VALUE!,
    tblPassengerNames[[#This Row],[InParentheses]]
)</f>
        <v>#VALUE!</v>
      </c>
      <c r="M1003" t="e">
        <f>LEN(tblPassengerNames[[#This Row],[InParenthesesCleaned]]) - LEN(SUBSTITUTE(tblPassengerNames[[#This Row],[InParenthesesCleaned]], " ", ""))</f>
        <v>#VALUE!</v>
      </c>
      <c r="N1003" t="e">
        <f>FIND("@", SUBSTITUTE(tblPassengerNames[[#This Row],[InParenthesesCleaned]], " ", "@", tblPassengerNames[[#This Row],[P_NSpaces]]))</f>
        <v>#VALUE!</v>
      </c>
      <c r="O1003" t="e">
        <f>IF(tblPassengerNames[[#This Row],[P_NSpaces]] = 0,
    tblPassengerNames[[#This Row],[InParenthesesCleaned]],
    LEFT(tblPassengerNames[[#This Row],[InParenthesesCleaned]], tblPassengerNames[[#This Row],[P_FinalSpacePos]] - 1)
)</f>
        <v>#VALUE!</v>
      </c>
      <c r="P1003" t="str">
        <f>IFERROR(tblPassengerNames[[#This Row],[P_Forenames]], tblPassengerNames[[#This Row],[ConvForenames]])</f>
        <v>Thomas Joseph</v>
      </c>
      <c r="Q1003" t="str">
        <f>MID(tblPassengerNames[[#This Row],[Name]], tblPassengerNames[[#This Row],[CommaPos]] + 2, tblPassengerNames[[#This Row],[DotPos]] - tblPassengerNames[[#This Row],[CommaPos]] - 1)</f>
        <v>Mr.</v>
      </c>
      <c r="R1003" t="str">
        <f>LEFT(tblPassengerNames[[#This Row],[Name]], tblPassengerNames[[#This Row],[CommaPos]] - 1)</f>
        <v>McCormack</v>
      </c>
    </row>
    <row r="1004" spans="2:18" x14ac:dyDescent="0.25">
      <c r="B1004" s="21">
        <v>1002</v>
      </c>
      <c r="C1004" s="21" t="s">
        <v>1136</v>
      </c>
      <c r="D1004" s="21" t="s">
        <v>136</v>
      </c>
      <c r="E1004">
        <f>FIND(",", tblPassengerNames[[#This Row],[Name]])</f>
        <v>6</v>
      </c>
      <c r="F1004">
        <f>FIND(".", tblPassengerNames[[#This Row],[Name]])</f>
        <v>12</v>
      </c>
      <c r="G1004" t="e">
        <f>FIND("(", tblPassengerNames[[#This Row],[Name]])</f>
        <v>#VALUE!</v>
      </c>
      <c r="H1004" t="e">
        <f>FIND(")", tblPassengerNames[[#This Row],[Name]])</f>
        <v>#VALUE!</v>
      </c>
      <c r="I1004">
        <f>IFERROR(tblPassengerNames[[#This Row],[OpenParPos]] - 2, LEN(tblPassengerNames[[#This Row],[Name]]))</f>
        <v>18</v>
      </c>
      <c r="J1004" t="str">
        <f>MID(tblPassengerNames[[#This Row],[Name]], tblPassengerNames[[#This Row],[DotPos]] + 2, tblPassengerNames[[#This Row],[EndOfConvFNPos]] - tblPassengerNames[[#This Row],[DotPos]] - 1)</f>
        <v>Agnes</v>
      </c>
      <c r="K1004" t="e">
        <f>MID(tblPassengerNames[[#This Row],[Name]], tblPassengerNames[[#This Row],[OpenParPos]] + 1, tblPassengerNames[[#This Row],[CloseParPos]] - tblPassengerNames[[#This Row],[OpenParPos]] - 1)</f>
        <v>#VALUE!</v>
      </c>
      <c r="L1004" t="e">
        <f>IF(AND(LEFT(tblPassengerNames[[#This Row],[InParentheses]], 1) = "'", RIGHT(tblPassengerNames[[#This Row],[InParentheses]], 1) = "'"),
    #VALUE!,
    tblPassengerNames[[#This Row],[InParentheses]]
)</f>
        <v>#VALUE!</v>
      </c>
      <c r="M1004" t="e">
        <f>LEN(tblPassengerNames[[#This Row],[InParenthesesCleaned]]) - LEN(SUBSTITUTE(tblPassengerNames[[#This Row],[InParenthesesCleaned]], " ", ""))</f>
        <v>#VALUE!</v>
      </c>
      <c r="N1004" t="e">
        <f>FIND("@", SUBSTITUTE(tblPassengerNames[[#This Row],[InParenthesesCleaned]], " ", "@", tblPassengerNames[[#This Row],[P_NSpaces]]))</f>
        <v>#VALUE!</v>
      </c>
      <c r="O1004" t="e">
        <f>IF(tblPassengerNames[[#This Row],[P_NSpaces]] = 0,
    tblPassengerNames[[#This Row],[InParenthesesCleaned]],
    LEFT(tblPassengerNames[[#This Row],[InParenthesesCleaned]], tblPassengerNames[[#This Row],[P_FinalSpacePos]] - 1)
)</f>
        <v>#VALUE!</v>
      </c>
      <c r="P1004" t="str">
        <f>IFERROR(tblPassengerNames[[#This Row],[P_Forenames]], tblPassengerNames[[#This Row],[ConvForenames]])</f>
        <v>Agnes</v>
      </c>
      <c r="Q1004" t="str">
        <f>MID(tblPassengerNames[[#This Row],[Name]], tblPassengerNames[[#This Row],[CommaPos]] + 2, tblPassengerNames[[#This Row],[DotPos]] - tblPassengerNames[[#This Row],[CommaPos]] - 1)</f>
        <v>Miss.</v>
      </c>
      <c r="R1004" t="str">
        <f>LEFT(tblPassengerNames[[#This Row],[Name]], tblPassengerNames[[#This Row],[CommaPos]] - 1)</f>
        <v>McCoy</v>
      </c>
    </row>
    <row r="1005" spans="2:18" x14ac:dyDescent="0.25">
      <c r="B1005" s="21">
        <v>1003</v>
      </c>
      <c r="C1005" s="21" t="s">
        <v>1137</v>
      </c>
      <c r="D1005" s="21" t="s">
        <v>136</v>
      </c>
      <c r="E1005">
        <f>FIND(",", tblPassengerNames[[#This Row],[Name]])</f>
        <v>6</v>
      </c>
      <c r="F1005">
        <f>FIND(".", tblPassengerNames[[#This Row],[Name]])</f>
        <v>12</v>
      </c>
      <c r="G1005" t="e">
        <f>FIND("(", tblPassengerNames[[#This Row],[Name]])</f>
        <v>#VALUE!</v>
      </c>
      <c r="H1005" t="e">
        <f>FIND(")", tblPassengerNames[[#This Row],[Name]])</f>
        <v>#VALUE!</v>
      </c>
      <c r="I1005">
        <f>IFERROR(tblPassengerNames[[#This Row],[OpenParPos]] - 2, LEN(tblPassengerNames[[#This Row],[Name]]))</f>
        <v>19</v>
      </c>
      <c r="J1005" t="str">
        <f>MID(tblPassengerNames[[#This Row],[Name]], tblPassengerNames[[#This Row],[DotPos]] + 2, tblPassengerNames[[#This Row],[EndOfConvFNPos]] - tblPassengerNames[[#This Row],[DotPos]] - 1)</f>
        <v>Alicia</v>
      </c>
      <c r="K1005" t="e">
        <f>MID(tblPassengerNames[[#This Row],[Name]], tblPassengerNames[[#This Row],[OpenParPos]] + 1, tblPassengerNames[[#This Row],[CloseParPos]] - tblPassengerNames[[#This Row],[OpenParPos]] - 1)</f>
        <v>#VALUE!</v>
      </c>
      <c r="L1005" t="e">
        <f>IF(AND(LEFT(tblPassengerNames[[#This Row],[InParentheses]], 1) = "'", RIGHT(tblPassengerNames[[#This Row],[InParentheses]], 1) = "'"),
    #VALUE!,
    tblPassengerNames[[#This Row],[InParentheses]]
)</f>
        <v>#VALUE!</v>
      </c>
      <c r="M1005" t="e">
        <f>LEN(tblPassengerNames[[#This Row],[InParenthesesCleaned]]) - LEN(SUBSTITUTE(tblPassengerNames[[#This Row],[InParenthesesCleaned]], " ", ""))</f>
        <v>#VALUE!</v>
      </c>
      <c r="N1005" t="e">
        <f>FIND("@", SUBSTITUTE(tblPassengerNames[[#This Row],[InParenthesesCleaned]], " ", "@", tblPassengerNames[[#This Row],[P_NSpaces]]))</f>
        <v>#VALUE!</v>
      </c>
      <c r="O1005" t="e">
        <f>IF(tblPassengerNames[[#This Row],[P_NSpaces]] = 0,
    tblPassengerNames[[#This Row],[InParenthesesCleaned]],
    LEFT(tblPassengerNames[[#This Row],[InParenthesesCleaned]], tblPassengerNames[[#This Row],[P_FinalSpacePos]] - 1)
)</f>
        <v>#VALUE!</v>
      </c>
      <c r="P1005" t="str">
        <f>IFERROR(tblPassengerNames[[#This Row],[P_Forenames]], tblPassengerNames[[#This Row],[ConvForenames]])</f>
        <v>Alicia</v>
      </c>
      <c r="Q1005" t="str">
        <f>MID(tblPassengerNames[[#This Row],[Name]], tblPassengerNames[[#This Row],[CommaPos]] + 2, tblPassengerNames[[#This Row],[DotPos]] - tblPassengerNames[[#This Row],[CommaPos]] - 1)</f>
        <v>Miss.</v>
      </c>
      <c r="R1005" t="str">
        <f>LEFT(tblPassengerNames[[#This Row],[Name]], tblPassengerNames[[#This Row],[CommaPos]] - 1)</f>
        <v>McCoy</v>
      </c>
    </row>
    <row r="1006" spans="2:18" x14ac:dyDescent="0.25">
      <c r="B1006" s="21">
        <v>1004</v>
      </c>
      <c r="C1006" s="21" t="s">
        <v>1138</v>
      </c>
      <c r="D1006" s="21" t="s">
        <v>138</v>
      </c>
      <c r="E1006">
        <f>FIND(",", tblPassengerNames[[#This Row],[Name]])</f>
        <v>6</v>
      </c>
      <c r="F1006">
        <f>FIND(".", tblPassengerNames[[#This Row],[Name]])</f>
        <v>10</v>
      </c>
      <c r="G1006" t="e">
        <f>FIND("(", tblPassengerNames[[#This Row],[Name]])</f>
        <v>#VALUE!</v>
      </c>
      <c r="H1006" t="e">
        <f>FIND(")", tblPassengerNames[[#This Row],[Name]])</f>
        <v>#VALUE!</v>
      </c>
      <c r="I1006">
        <f>IFERROR(tblPassengerNames[[#This Row],[OpenParPos]] - 2, LEN(tblPassengerNames[[#This Row],[Name]]))</f>
        <v>18</v>
      </c>
      <c r="J1006" t="str">
        <f>MID(tblPassengerNames[[#This Row],[Name]], tblPassengerNames[[#This Row],[DotPos]] + 2, tblPassengerNames[[#This Row],[EndOfConvFNPos]] - tblPassengerNames[[#This Row],[DotPos]] - 1)</f>
        <v>Bernard</v>
      </c>
      <c r="K1006" t="e">
        <f>MID(tblPassengerNames[[#This Row],[Name]], tblPassengerNames[[#This Row],[OpenParPos]] + 1, tblPassengerNames[[#This Row],[CloseParPos]] - tblPassengerNames[[#This Row],[OpenParPos]] - 1)</f>
        <v>#VALUE!</v>
      </c>
      <c r="L1006" t="e">
        <f>IF(AND(LEFT(tblPassengerNames[[#This Row],[InParentheses]], 1) = "'", RIGHT(tblPassengerNames[[#This Row],[InParentheses]], 1) = "'"),
    #VALUE!,
    tblPassengerNames[[#This Row],[InParentheses]]
)</f>
        <v>#VALUE!</v>
      </c>
      <c r="M1006" t="e">
        <f>LEN(tblPassengerNames[[#This Row],[InParenthesesCleaned]]) - LEN(SUBSTITUTE(tblPassengerNames[[#This Row],[InParenthesesCleaned]], " ", ""))</f>
        <v>#VALUE!</v>
      </c>
      <c r="N1006" t="e">
        <f>FIND("@", SUBSTITUTE(tblPassengerNames[[#This Row],[InParenthesesCleaned]], " ", "@", tblPassengerNames[[#This Row],[P_NSpaces]]))</f>
        <v>#VALUE!</v>
      </c>
      <c r="O1006" t="e">
        <f>IF(tblPassengerNames[[#This Row],[P_NSpaces]] = 0,
    tblPassengerNames[[#This Row],[InParenthesesCleaned]],
    LEFT(tblPassengerNames[[#This Row],[InParenthesesCleaned]], tblPassengerNames[[#This Row],[P_FinalSpacePos]] - 1)
)</f>
        <v>#VALUE!</v>
      </c>
      <c r="P1006" t="str">
        <f>IFERROR(tblPassengerNames[[#This Row],[P_Forenames]], tblPassengerNames[[#This Row],[ConvForenames]])</f>
        <v>Bernard</v>
      </c>
      <c r="Q1006" t="str">
        <f>MID(tblPassengerNames[[#This Row],[Name]], tblPassengerNames[[#This Row],[CommaPos]] + 2, tblPassengerNames[[#This Row],[DotPos]] - tblPassengerNames[[#This Row],[CommaPos]] - 1)</f>
        <v>Mr.</v>
      </c>
      <c r="R1006" t="str">
        <f>LEFT(tblPassengerNames[[#This Row],[Name]], tblPassengerNames[[#This Row],[CommaPos]] - 1)</f>
        <v>McCoy</v>
      </c>
    </row>
    <row r="1007" spans="2:18" x14ac:dyDescent="0.25">
      <c r="B1007" s="21">
        <v>1005</v>
      </c>
      <c r="C1007" s="21" t="s">
        <v>1139</v>
      </c>
      <c r="D1007" s="21" t="s">
        <v>136</v>
      </c>
      <c r="E1007">
        <f>FIND(",", tblPassengerNames[[#This Row],[Name]])</f>
        <v>10</v>
      </c>
      <c r="F1007">
        <f>FIND(".", tblPassengerNames[[#This Row],[Name]])</f>
        <v>16</v>
      </c>
      <c r="G1007" t="e">
        <f>FIND("(", tblPassengerNames[[#This Row],[Name]])</f>
        <v>#VALUE!</v>
      </c>
      <c r="H1007" t="e">
        <f>FIND(")", tblPassengerNames[[#This Row],[Name]])</f>
        <v>#VALUE!</v>
      </c>
      <c r="I1007">
        <f>IFERROR(tblPassengerNames[[#This Row],[OpenParPos]] - 2, LEN(tblPassengerNames[[#This Row],[Name]]))</f>
        <v>30</v>
      </c>
      <c r="J1007" t="str">
        <f>MID(tblPassengerNames[[#This Row],[Name]], tblPassengerNames[[#This Row],[DotPos]] + 2, tblPassengerNames[[#This Row],[EndOfConvFNPos]] - tblPassengerNames[[#This Row],[DotPos]] - 1)</f>
        <v>Brigdet Delia</v>
      </c>
      <c r="K1007" t="e">
        <f>MID(tblPassengerNames[[#This Row],[Name]], tblPassengerNames[[#This Row],[OpenParPos]] + 1, tblPassengerNames[[#This Row],[CloseParPos]] - tblPassengerNames[[#This Row],[OpenParPos]] - 1)</f>
        <v>#VALUE!</v>
      </c>
      <c r="L1007" t="e">
        <f>IF(AND(LEFT(tblPassengerNames[[#This Row],[InParentheses]], 1) = "'", RIGHT(tblPassengerNames[[#This Row],[InParentheses]], 1) = "'"),
    #VALUE!,
    tblPassengerNames[[#This Row],[InParentheses]]
)</f>
        <v>#VALUE!</v>
      </c>
      <c r="M1007" t="e">
        <f>LEN(tblPassengerNames[[#This Row],[InParenthesesCleaned]]) - LEN(SUBSTITUTE(tblPassengerNames[[#This Row],[InParenthesesCleaned]], " ", ""))</f>
        <v>#VALUE!</v>
      </c>
      <c r="N1007" t="e">
        <f>FIND("@", SUBSTITUTE(tblPassengerNames[[#This Row],[InParenthesesCleaned]], " ", "@", tblPassengerNames[[#This Row],[P_NSpaces]]))</f>
        <v>#VALUE!</v>
      </c>
      <c r="O1007" t="e">
        <f>IF(tblPassengerNames[[#This Row],[P_NSpaces]] = 0,
    tblPassengerNames[[#This Row],[InParenthesesCleaned]],
    LEFT(tblPassengerNames[[#This Row],[InParenthesesCleaned]], tblPassengerNames[[#This Row],[P_FinalSpacePos]] - 1)
)</f>
        <v>#VALUE!</v>
      </c>
      <c r="P1007" t="str">
        <f>IFERROR(tblPassengerNames[[#This Row],[P_Forenames]], tblPassengerNames[[#This Row],[ConvForenames]])</f>
        <v>Brigdet Delia</v>
      </c>
      <c r="Q1007" t="str">
        <f>MID(tblPassengerNames[[#This Row],[Name]], tblPassengerNames[[#This Row],[CommaPos]] + 2, tblPassengerNames[[#This Row],[DotPos]] - tblPassengerNames[[#This Row],[CommaPos]] - 1)</f>
        <v>Miss.</v>
      </c>
      <c r="R1007" t="str">
        <f>LEFT(tblPassengerNames[[#This Row],[Name]], tblPassengerNames[[#This Row],[CommaPos]] - 1)</f>
        <v>McDermott</v>
      </c>
    </row>
    <row r="1008" spans="2:18" x14ac:dyDescent="0.25">
      <c r="B1008" s="21">
        <v>1006</v>
      </c>
      <c r="C1008" s="21" t="s">
        <v>1140</v>
      </c>
      <c r="D1008" s="21" t="s">
        <v>138</v>
      </c>
      <c r="E1008">
        <f>FIND(",", tblPassengerNames[[#This Row],[Name]])</f>
        <v>7</v>
      </c>
      <c r="F1008">
        <f>FIND(".", tblPassengerNames[[#This Row],[Name]])</f>
        <v>11</v>
      </c>
      <c r="G1008" t="e">
        <f>FIND("(", tblPassengerNames[[#This Row],[Name]])</f>
        <v>#VALUE!</v>
      </c>
      <c r="H1008" t="e">
        <f>FIND(")", tblPassengerNames[[#This Row],[Name]])</f>
        <v>#VALUE!</v>
      </c>
      <c r="I1008">
        <f>IFERROR(tblPassengerNames[[#This Row],[OpenParPos]] - 2, LEN(tblPassengerNames[[#This Row],[Name]]))</f>
        <v>19</v>
      </c>
      <c r="J1008" t="str">
        <f>MID(tblPassengerNames[[#This Row],[Name]], tblPassengerNames[[#This Row],[DotPos]] + 2, tblPassengerNames[[#This Row],[EndOfConvFNPos]] - tblPassengerNames[[#This Row],[DotPos]] - 1)</f>
        <v>Michael</v>
      </c>
      <c r="K1008" t="e">
        <f>MID(tblPassengerNames[[#This Row],[Name]], tblPassengerNames[[#This Row],[OpenParPos]] + 1, tblPassengerNames[[#This Row],[CloseParPos]] - tblPassengerNames[[#This Row],[OpenParPos]] - 1)</f>
        <v>#VALUE!</v>
      </c>
      <c r="L1008" t="e">
        <f>IF(AND(LEFT(tblPassengerNames[[#This Row],[InParentheses]], 1) = "'", RIGHT(tblPassengerNames[[#This Row],[InParentheses]], 1) = "'"),
    #VALUE!,
    tblPassengerNames[[#This Row],[InParentheses]]
)</f>
        <v>#VALUE!</v>
      </c>
      <c r="M1008" t="e">
        <f>LEN(tblPassengerNames[[#This Row],[InParenthesesCleaned]]) - LEN(SUBSTITUTE(tblPassengerNames[[#This Row],[InParenthesesCleaned]], " ", ""))</f>
        <v>#VALUE!</v>
      </c>
      <c r="N1008" t="e">
        <f>FIND("@", SUBSTITUTE(tblPassengerNames[[#This Row],[InParenthesesCleaned]], " ", "@", tblPassengerNames[[#This Row],[P_NSpaces]]))</f>
        <v>#VALUE!</v>
      </c>
      <c r="O1008" t="e">
        <f>IF(tblPassengerNames[[#This Row],[P_NSpaces]] = 0,
    tblPassengerNames[[#This Row],[InParenthesesCleaned]],
    LEFT(tblPassengerNames[[#This Row],[InParenthesesCleaned]], tblPassengerNames[[#This Row],[P_FinalSpacePos]] - 1)
)</f>
        <v>#VALUE!</v>
      </c>
      <c r="P1008" t="str">
        <f>IFERROR(tblPassengerNames[[#This Row],[P_Forenames]], tblPassengerNames[[#This Row],[ConvForenames]])</f>
        <v>Michael</v>
      </c>
      <c r="Q1008" t="str">
        <f>MID(tblPassengerNames[[#This Row],[Name]], tblPassengerNames[[#This Row],[CommaPos]] + 2, tblPassengerNames[[#This Row],[DotPos]] - tblPassengerNames[[#This Row],[CommaPos]] - 1)</f>
        <v>Mr.</v>
      </c>
      <c r="R1008" t="str">
        <f>LEFT(tblPassengerNames[[#This Row],[Name]], tblPassengerNames[[#This Row],[CommaPos]] - 1)</f>
        <v>McEvoy</v>
      </c>
    </row>
    <row r="1009" spans="2:18" x14ac:dyDescent="0.25">
      <c r="B1009" s="21">
        <v>1007</v>
      </c>
      <c r="C1009" s="21" t="s">
        <v>1141</v>
      </c>
      <c r="D1009" s="21" t="s">
        <v>136</v>
      </c>
      <c r="E1009">
        <f>FIND(",", tblPassengerNames[[#This Row],[Name]])</f>
        <v>9</v>
      </c>
      <c r="F1009">
        <f>FIND(".", tblPassengerNames[[#This Row],[Name]])</f>
        <v>15</v>
      </c>
      <c r="G1009" t="e">
        <f>FIND("(", tblPassengerNames[[#This Row],[Name]])</f>
        <v>#VALUE!</v>
      </c>
      <c r="H1009" t="e">
        <f>FIND(")", tblPassengerNames[[#This Row],[Name]])</f>
        <v>#VALUE!</v>
      </c>
      <c r="I1009">
        <f>IFERROR(tblPassengerNames[[#This Row],[OpenParPos]] - 2, LEN(tblPassengerNames[[#This Row],[Name]]))</f>
        <v>20</v>
      </c>
      <c r="J1009" t="str">
        <f>MID(tblPassengerNames[[#This Row],[Name]], tblPassengerNames[[#This Row],[DotPos]] + 2, tblPassengerNames[[#This Row],[EndOfConvFNPos]] - tblPassengerNames[[#This Row],[DotPos]] - 1)</f>
        <v>Mary</v>
      </c>
      <c r="K1009" t="e">
        <f>MID(tblPassengerNames[[#This Row],[Name]], tblPassengerNames[[#This Row],[OpenParPos]] + 1, tblPassengerNames[[#This Row],[CloseParPos]] - tblPassengerNames[[#This Row],[OpenParPos]] - 1)</f>
        <v>#VALUE!</v>
      </c>
      <c r="L1009" t="e">
        <f>IF(AND(LEFT(tblPassengerNames[[#This Row],[InParentheses]], 1) = "'", RIGHT(tblPassengerNames[[#This Row],[InParentheses]], 1) = "'"),
    #VALUE!,
    tblPassengerNames[[#This Row],[InParentheses]]
)</f>
        <v>#VALUE!</v>
      </c>
      <c r="M1009" t="e">
        <f>LEN(tblPassengerNames[[#This Row],[InParenthesesCleaned]]) - LEN(SUBSTITUTE(tblPassengerNames[[#This Row],[InParenthesesCleaned]], " ", ""))</f>
        <v>#VALUE!</v>
      </c>
      <c r="N1009" t="e">
        <f>FIND("@", SUBSTITUTE(tblPassengerNames[[#This Row],[InParenthesesCleaned]], " ", "@", tblPassengerNames[[#This Row],[P_NSpaces]]))</f>
        <v>#VALUE!</v>
      </c>
      <c r="O1009" t="e">
        <f>IF(tblPassengerNames[[#This Row],[P_NSpaces]] = 0,
    tblPassengerNames[[#This Row],[InParenthesesCleaned]],
    LEFT(tblPassengerNames[[#This Row],[InParenthesesCleaned]], tblPassengerNames[[#This Row],[P_FinalSpacePos]] - 1)
)</f>
        <v>#VALUE!</v>
      </c>
      <c r="P1009" t="str">
        <f>IFERROR(tblPassengerNames[[#This Row],[P_Forenames]], tblPassengerNames[[#This Row],[ConvForenames]])</f>
        <v>Mary</v>
      </c>
      <c r="Q1009" t="str">
        <f>MID(tblPassengerNames[[#This Row],[Name]], tblPassengerNames[[#This Row],[CommaPos]] + 2, tblPassengerNames[[#This Row],[DotPos]] - tblPassengerNames[[#This Row],[CommaPos]] - 1)</f>
        <v>Miss.</v>
      </c>
      <c r="R1009" t="str">
        <f>LEFT(tblPassengerNames[[#This Row],[Name]], tblPassengerNames[[#This Row],[CommaPos]] - 1)</f>
        <v>McGovern</v>
      </c>
    </row>
    <row r="1010" spans="2:18" x14ac:dyDescent="0.25">
      <c r="B1010" s="21">
        <v>1008</v>
      </c>
      <c r="C1010" s="21" t="s">
        <v>1142</v>
      </c>
      <c r="D1010" s="21" t="s">
        <v>136</v>
      </c>
      <c r="E1010">
        <f>FIND(",", tblPassengerNames[[#This Row],[Name]])</f>
        <v>8</v>
      </c>
      <c r="F1010">
        <f>FIND(".", tblPassengerNames[[#This Row],[Name]])</f>
        <v>14</v>
      </c>
      <c r="G1010" t="e">
        <f>FIND("(", tblPassengerNames[[#This Row],[Name]])</f>
        <v>#VALUE!</v>
      </c>
      <c r="H1010" t="e">
        <f>FIND(")", tblPassengerNames[[#This Row],[Name]])</f>
        <v>#VALUE!</v>
      </c>
      <c r="I1010">
        <f>IFERROR(tblPassengerNames[[#This Row],[OpenParPos]] - 2, LEN(tblPassengerNames[[#This Row],[Name]]))</f>
        <v>27</v>
      </c>
      <c r="J1010" t="str">
        <f>MID(tblPassengerNames[[#This Row],[Name]], tblPassengerNames[[#This Row],[DotPos]] + 2, tblPassengerNames[[#This Row],[EndOfConvFNPos]] - tblPassengerNames[[#This Row],[DotPos]] - 1)</f>
        <v>Anna 'Annie'</v>
      </c>
      <c r="K1010" t="e">
        <f>MID(tblPassengerNames[[#This Row],[Name]], tblPassengerNames[[#This Row],[OpenParPos]] + 1, tblPassengerNames[[#This Row],[CloseParPos]] - tblPassengerNames[[#This Row],[OpenParPos]] - 1)</f>
        <v>#VALUE!</v>
      </c>
      <c r="L1010" t="e">
        <f>IF(AND(LEFT(tblPassengerNames[[#This Row],[InParentheses]], 1) = "'", RIGHT(tblPassengerNames[[#This Row],[InParentheses]], 1) = "'"),
    #VALUE!,
    tblPassengerNames[[#This Row],[InParentheses]]
)</f>
        <v>#VALUE!</v>
      </c>
      <c r="M1010" t="e">
        <f>LEN(tblPassengerNames[[#This Row],[InParenthesesCleaned]]) - LEN(SUBSTITUTE(tblPassengerNames[[#This Row],[InParenthesesCleaned]], " ", ""))</f>
        <v>#VALUE!</v>
      </c>
      <c r="N1010" t="e">
        <f>FIND("@", SUBSTITUTE(tblPassengerNames[[#This Row],[InParenthesesCleaned]], " ", "@", tblPassengerNames[[#This Row],[P_NSpaces]]))</f>
        <v>#VALUE!</v>
      </c>
      <c r="O1010" t="e">
        <f>IF(tblPassengerNames[[#This Row],[P_NSpaces]] = 0,
    tblPassengerNames[[#This Row],[InParenthesesCleaned]],
    LEFT(tblPassengerNames[[#This Row],[InParenthesesCleaned]], tblPassengerNames[[#This Row],[P_FinalSpacePos]] - 1)
)</f>
        <v>#VALUE!</v>
      </c>
      <c r="P1010" t="str">
        <f>IFERROR(tblPassengerNames[[#This Row],[P_Forenames]], tblPassengerNames[[#This Row],[ConvForenames]])</f>
        <v>Anna 'Annie'</v>
      </c>
      <c r="Q1010" t="str">
        <f>MID(tblPassengerNames[[#This Row],[Name]], tblPassengerNames[[#This Row],[CommaPos]] + 2, tblPassengerNames[[#This Row],[DotPos]] - tblPassengerNames[[#This Row],[CommaPos]] - 1)</f>
        <v>Miss.</v>
      </c>
      <c r="R1010" t="str">
        <f>LEFT(tblPassengerNames[[#This Row],[Name]], tblPassengerNames[[#This Row],[CommaPos]] - 1)</f>
        <v>McGowan</v>
      </c>
    </row>
    <row r="1011" spans="2:18" x14ac:dyDescent="0.25">
      <c r="B1011" s="21">
        <v>1009</v>
      </c>
      <c r="C1011" s="21" t="s">
        <v>1143</v>
      </c>
      <c r="D1011" s="21" t="s">
        <v>136</v>
      </c>
      <c r="E1011">
        <f>FIND(",", tblPassengerNames[[#This Row],[Name]])</f>
        <v>8</v>
      </c>
      <c r="F1011">
        <f>FIND(".", tblPassengerNames[[#This Row],[Name]])</f>
        <v>14</v>
      </c>
      <c r="G1011" t="e">
        <f>FIND("(", tblPassengerNames[[#This Row],[Name]])</f>
        <v>#VALUE!</v>
      </c>
      <c r="H1011" t="e">
        <f>FIND(")", tblPassengerNames[[#This Row],[Name]])</f>
        <v>#VALUE!</v>
      </c>
      <c r="I1011">
        <f>IFERROR(tblPassengerNames[[#This Row],[OpenParPos]] - 2, LEN(tblPassengerNames[[#This Row],[Name]]))</f>
        <v>24</v>
      </c>
      <c r="J1011" t="str">
        <f>MID(tblPassengerNames[[#This Row],[Name]], tblPassengerNames[[#This Row],[DotPos]] + 2, tblPassengerNames[[#This Row],[EndOfConvFNPos]] - tblPassengerNames[[#This Row],[DotPos]] - 1)</f>
        <v>Katherine</v>
      </c>
      <c r="K1011" t="e">
        <f>MID(tblPassengerNames[[#This Row],[Name]], tblPassengerNames[[#This Row],[OpenParPos]] + 1, tblPassengerNames[[#This Row],[CloseParPos]] - tblPassengerNames[[#This Row],[OpenParPos]] - 1)</f>
        <v>#VALUE!</v>
      </c>
      <c r="L1011" t="e">
        <f>IF(AND(LEFT(tblPassengerNames[[#This Row],[InParentheses]], 1) = "'", RIGHT(tblPassengerNames[[#This Row],[InParentheses]], 1) = "'"),
    #VALUE!,
    tblPassengerNames[[#This Row],[InParentheses]]
)</f>
        <v>#VALUE!</v>
      </c>
      <c r="M1011" t="e">
        <f>LEN(tblPassengerNames[[#This Row],[InParenthesesCleaned]]) - LEN(SUBSTITUTE(tblPassengerNames[[#This Row],[InParenthesesCleaned]], " ", ""))</f>
        <v>#VALUE!</v>
      </c>
      <c r="N1011" t="e">
        <f>FIND("@", SUBSTITUTE(tblPassengerNames[[#This Row],[InParenthesesCleaned]], " ", "@", tblPassengerNames[[#This Row],[P_NSpaces]]))</f>
        <v>#VALUE!</v>
      </c>
      <c r="O1011" t="e">
        <f>IF(tblPassengerNames[[#This Row],[P_NSpaces]] = 0,
    tblPassengerNames[[#This Row],[InParenthesesCleaned]],
    LEFT(tblPassengerNames[[#This Row],[InParenthesesCleaned]], tblPassengerNames[[#This Row],[P_FinalSpacePos]] - 1)
)</f>
        <v>#VALUE!</v>
      </c>
      <c r="P1011" t="str">
        <f>IFERROR(tblPassengerNames[[#This Row],[P_Forenames]], tblPassengerNames[[#This Row],[ConvForenames]])</f>
        <v>Katherine</v>
      </c>
      <c r="Q1011" t="str">
        <f>MID(tblPassengerNames[[#This Row],[Name]], tblPassengerNames[[#This Row],[CommaPos]] + 2, tblPassengerNames[[#This Row],[DotPos]] - tblPassengerNames[[#This Row],[CommaPos]] - 1)</f>
        <v>Miss.</v>
      </c>
      <c r="R1011" t="str">
        <f>LEFT(tblPassengerNames[[#This Row],[Name]], tblPassengerNames[[#This Row],[CommaPos]] - 1)</f>
        <v>McGowan</v>
      </c>
    </row>
    <row r="1012" spans="2:18" x14ac:dyDescent="0.25">
      <c r="B1012" s="21">
        <v>1010</v>
      </c>
      <c r="C1012" s="21" t="s">
        <v>1144</v>
      </c>
      <c r="D1012" s="21" t="s">
        <v>138</v>
      </c>
      <c r="E1012">
        <f>FIND(",", tblPassengerNames[[#This Row],[Name]])</f>
        <v>8</v>
      </c>
      <c r="F1012">
        <f>FIND(".", tblPassengerNames[[#This Row],[Name]])</f>
        <v>12</v>
      </c>
      <c r="G1012" t="e">
        <f>FIND("(", tblPassengerNames[[#This Row],[Name]])</f>
        <v>#VALUE!</v>
      </c>
      <c r="H1012" t="e">
        <f>FIND(")", tblPassengerNames[[#This Row],[Name]])</f>
        <v>#VALUE!</v>
      </c>
      <c r="I1012">
        <f>IFERROR(tblPassengerNames[[#This Row],[OpenParPos]] - 2, LEN(tblPassengerNames[[#This Row],[Name]]))</f>
        <v>19</v>
      </c>
      <c r="J1012" t="str">
        <f>MID(tblPassengerNames[[#This Row],[Name]], tblPassengerNames[[#This Row],[DotPos]] + 2, tblPassengerNames[[#This Row],[EndOfConvFNPos]] - tblPassengerNames[[#This Row],[DotPos]] - 1)</f>
        <v>Martin</v>
      </c>
      <c r="K1012" t="e">
        <f>MID(tblPassengerNames[[#This Row],[Name]], tblPassengerNames[[#This Row],[OpenParPos]] + 1, tblPassengerNames[[#This Row],[CloseParPos]] - tblPassengerNames[[#This Row],[OpenParPos]] - 1)</f>
        <v>#VALUE!</v>
      </c>
      <c r="L1012" t="e">
        <f>IF(AND(LEFT(tblPassengerNames[[#This Row],[InParentheses]], 1) = "'", RIGHT(tblPassengerNames[[#This Row],[InParentheses]], 1) = "'"),
    #VALUE!,
    tblPassengerNames[[#This Row],[InParentheses]]
)</f>
        <v>#VALUE!</v>
      </c>
      <c r="M1012" t="e">
        <f>LEN(tblPassengerNames[[#This Row],[InParenthesesCleaned]]) - LEN(SUBSTITUTE(tblPassengerNames[[#This Row],[InParenthesesCleaned]], " ", ""))</f>
        <v>#VALUE!</v>
      </c>
      <c r="N1012" t="e">
        <f>FIND("@", SUBSTITUTE(tblPassengerNames[[#This Row],[InParenthesesCleaned]], " ", "@", tblPassengerNames[[#This Row],[P_NSpaces]]))</f>
        <v>#VALUE!</v>
      </c>
      <c r="O1012" t="e">
        <f>IF(tblPassengerNames[[#This Row],[P_NSpaces]] = 0,
    tblPassengerNames[[#This Row],[InParenthesesCleaned]],
    LEFT(tblPassengerNames[[#This Row],[InParenthesesCleaned]], tblPassengerNames[[#This Row],[P_FinalSpacePos]] - 1)
)</f>
        <v>#VALUE!</v>
      </c>
      <c r="P1012" t="str">
        <f>IFERROR(tblPassengerNames[[#This Row],[P_Forenames]], tblPassengerNames[[#This Row],[ConvForenames]])</f>
        <v>Martin</v>
      </c>
      <c r="Q1012" t="str">
        <f>MID(tblPassengerNames[[#This Row],[Name]], tblPassengerNames[[#This Row],[CommaPos]] + 2, tblPassengerNames[[#This Row],[DotPos]] - tblPassengerNames[[#This Row],[CommaPos]] - 1)</f>
        <v>Mr.</v>
      </c>
      <c r="R1012" t="str">
        <f>LEFT(tblPassengerNames[[#This Row],[Name]], tblPassengerNames[[#This Row],[CommaPos]] - 1)</f>
        <v>McMahon</v>
      </c>
    </row>
    <row r="1013" spans="2:18" x14ac:dyDescent="0.25">
      <c r="B1013" s="21">
        <v>1011</v>
      </c>
      <c r="C1013" s="21" t="s">
        <v>1145</v>
      </c>
      <c r="D1013" s="21" t="s">
        <v>138</v>
      </c>
      <c r="E1013">
        <f>FIND(",", tblPassengerNames[[#This Row],[Name]])</f>
        <v>8</v>
      </c>
      <c r="F1013">
        <f>FIND(".", tblPassengerNames[[#This Row],[Name]])</f>
        <v>12</v>
      </c>
      <c r="G1013" t="e">
        <f>FIND("(", tblPassengerNames[[#This Row],[Name]])</f>
        <v>#VALUE!</v>
      </c>
      <c r="H1013" t="e">
        <f>FIND(")", tblPassengerNames[[#This Row],[Name]])</f>
        <v>#VALUE!</v>
      </c>
      <c r="I1013">
        <f>IFERROR(tblPassengerNames[[#This Row],[OpenParPos]] - 2, LEN(tblPassengerNames[[#This Row],[Name]]))</f>
        <v>17</v>
      </c>
      <c r="J1013" t="str">
        <f>MID(tblPassengerNames[[#This Row],[Name]], tblPassengerNames[[#This Row],[DotPos]] + 2, tblPassengerNames[[#This Row],[EndOfConvFNPos]] - tblPassengerNames[[#This Row],[DotPos]] - 1)</f>
        <v>Neal</v>
      </c>
      <c r="K1013" t="e">
        <f>MID(tblPassengerNames[[#This Row],[Name]], tblPassengerNames[[#This Row],[OpenParPos]] + 1, tblPassengerNames[[#This Row],[CloseParPos]] - tblPassengerNames[[#This Row],[OpenParPos]] - 1)</f>
        <v>#VALUE!</v>
      </c>
      <c r="L1013" t="e">
        <f>IF(AND(LEFT(tblPassengerNames[[#This Row],[InParentheses]], 1) = "'", RIGHT(tblPassengerNames[[#This Row],[InParentheses]], 1) = "'"),
    #VALUE!,
    tblPassengerNames[[#This Row],[InParentheses]]
)</f>
        <v>#VALUE!</v>
      </c>
      <c r="M1013" t="e">
        <f>LEN(tblPassengerNames[[#This Row],[InParenthesesCleaned]]) - LEN(SUBSTITUTE(tblPassengerNames[[#This Row],[InParenthesesCleaned]], " ", ""))</f>
        <v>#VALUE!</v>
      </c>
      <c r="N1013" t="e">
        <f>FIND("@", SUBSTITUTE(tblPassengerNames[[#This Row],[InParenthesesCleaned]], " ", "@", tblPassengerNames[[#This Row],[P_NSpaces]]))</f>
        <v>#VALUE!</v>
      </c>
      <c r="O1013" t="e">
        <f>IF(tblPassengerNames[[#This Row],[P_NSpaces]] = 0,
    tblPassengerNames[[#This Row],[InParenthesesCleaned]],
    LEFT(tblPassengerNames[[#This Row],[InParenthesesCleaned]], tblPassengerNames[[#This Row],[P_FinalSpacePos]] - 1)
)</f>
        <v>#VALUE!</v>
      </c>
      <c r="P1013" t="str">
        <f>IFERROR(tblPassengerNames[[#This Row],[P_Forenames]], tblPassengerNames[[#This Row],[ConvForenames]])</f>
        <v>Neal</v>
      </c>
      <c r="Q1013" t="str">
        <f>MID(tblPassengerNames[[#This Row],[Name]], tblPassengerNames[[#This Row],[CommaPos]] + 2, tblPassengerNames[[#This Row],[DotPos]] - tblPassengerNames[[#This Row],[CommaPos]] - 1)</f>
        <v>Mr.</v>
      </c>
      <c r="R1013" t="str">
        <f>LEFT(tblPassengerNames[[#This Row],[Name]], tblPassengerNames[[#This Row],[CommaPos]] - 1)</f>
        <v>McNamee</v>
      </c>
    </row>
    <row r="1014" spans="2:18" x14ac:dyDescent="0.25">
      <c r="B1014" s="21">
        <v>1012</v>
      </c>
      <c r="C1014" s="21" t="s">
        <v>1146</v>
      </c>
      <c r="D1014" s="21" t="s">
        <v>136</v>
      </c>
      <c r="E1014">
        <f>FIND(",", tblPassengerNames[[#This Row],[Name]])</f>
        <v>8</v>
      </c>
      <c r="F1014">
        <f>FIND(".", tblPassengerNames[[#This Row],[Name]])</f>
        <v>13</v>
      </c>
      <c r="G1014">
        <f>FIND("(", tblPassengerNames[[#This Row],[Name]])</f>
        <v>20</v>
      </c>
      <c r="H1014">
        <f>FIND(")", tblPassengerNames[[#This Row],[Name]])</f>
        <v>35</v>
      </c>
      <c r="I1014">
        <f>IFERROR(tblPassengerNames[[#This Row],[OpenParPos]] - 2, LEN(tblPassengerNames[[#This Row],[Name]]))</f>
        <v>18</v>
      </c>
      <c r="J1014" t="str">
        <f>MID(tblPassengerNames[[#This Row],[Name]], tblPassengerNames[[#This Row],[DotPos]] + 2, tblPassengerNames[[#This Row],[EndOfConvFNPos]] - tblPassengerNames[[#This Row],[DotPos]] - 1)</f>
        <v>Neal</v>
      </c>
      <c r="K1014" t="str">
        <f>MID(tblPassengerNames[[#This Row],[Name]], tblPassengerNames[[#This Row],[OpenParPos]] + 1, tblPassengerNames[[#This Row],[CloseParPos]] - tblPassengerNames[[#This Row],[OpenParPos]] - 1)</f>
        <v>Eileen O'Leary</v>
      </c>
      <c r="L1014" t="str">
        <f>IF(AND(LEFT(tblPassengerNames[[#This Row],[InParentheses]], 1) = "'", RIGHT(tblPassengerNames[[#This Row],[InParentheses]], 1) = "'"),
    #VALUE!,
    tblPassengerNames[[#This Row],[InParentheses]]
)</f>
        <v>Eileen O'Leary</v>
      </c>
      <c r="M1014">
        <f>LEN(tblPassengerNames[[#This Row],[InParenthesesCleaned]]) - LEN(SUBSTITUTE(tblPassengerNames[[#This Row],[InParenthesesCleaned]], " ", ""))</f>
        <v>1</v>
      </c>
      <c r="N1014">
        <f>FIND("@", SUBSTITUTE(tblPassengerNames[[#This Row],[InParenthesesCleaned]], " ", "@", tblPassengerNames[[#This Row],[P_NSpaces]]))</f>
        <v>7</v>
      </c>
      <c r="O1014" t="str">
        <f>IF(tblPassengerNames[[#This Row],[P_NSpaces]] = 0,
    tblPassengerNames[[#This Row],[InParenthesesCleaned]],
    LEFT(tblPassengerNames[[#This Row],[InParenthesesCleaned]], tblPassengerNames[[#This Row],[P_FinalSpacePos]] - 1)
)</f>
        <v>Eileen</v>
      </c>
      <c r="P1014" t="str">
        <f>IFERROR(tblPassengerNames[[#This Row],[P_Forenames]], tblPassengerNames[[#This Row],[ConvForenames]])</f>
        <v>Eileen</v>
      </c>
      <c r="Q1014" t="str">
        <f>MID(tblPassengerNames[[#This Row],[Name]], tblPassengerNames[[#This Row],[CommaPos]] + 2, tblPassengerNames[[#This Row],[DotPos]] - tblPassengerNames[[#This Row],[CommaPos]] - 1)</f>
        <v>Mrs.</v>
      </c>
      <c r="R1014" t="str">
        <f>LEFT(tblPassengerNames[[#This Row],[Name]], tblPassengerNames[[#This Row],[CommaPos]] - 1)</f>
        <v>McNamee</v>
      </c>
    </row>
    <row r="1015" spans="2:18" x14ac:dyDescent="0.25">
      <c r="B1015" s="21">
        <v>1013</v>
      </c>
      <c r="C1015" s="21" t="s">
        <v>1147</v>
      </c>
      <c r="D1015" s="21" t="s">
        <v>136</v>
      </c>
      <c r="E1015">
        <f>FIND(",", tblPassengerNames[[#This Row],[Name]])</f>
        <v>8</v>
      </c>
      <c r="F1015">
        <f>FIND(".", tblPassengerNames[[#This Row],[Name]])</f>
        <v>14</v>
      </c>
      <c r="G1015" t="e">
        <f>FIND("(", tblPassengerNames[[#This Row],[Name]])</f>
        <v>#VALUE!</v>
      </c>
      <c r="H1015" t="e">
        <f>FIND(")", tblPassengerNames[[#This Row],[Name]])</f>
        <v>#VALUE!</v>
      </c>
      <c r="I1015">
        <f>IFERROR(tblPassengerNames[[#This Row],[OpenParPos]] - 2, LEN(tblPassengerNames[[#This Row],[Name]]))</f>
        <v>22</v>
      </c>
      <c r="J1015" t="str">
        <f>MID(tblPassengerNames[[#This Row],[Name]], tblPassengerNames[[#This Row],[DotPos]] + 2, tblPassengerNames[[#This Row],[EndOfConvFNPos]] - tblPassengerNames[[#This Row],[DotPos]] - 1)</f>
        <v>Bridget</v>
      </c>
      <c r="K1015" t="e">
        <f>MID(tblPassengerNames[[#This Row],[Name]], tblPassengerNames[[#This Row],[OpenParPos]] + 1, tblPassengerNames[[#This Row],[CloseParPos]] - tblPassengerNames[[#This Row],[OpenParPos]] - 1)</f>
        <v>#VALUE!</v>
      </c>
      <c r="L1015" t="e">
        <f>IF(AND(LEFT(tblPassengerNames[[#This Row],[InParentheses]], 1) = "'", RIGHT(tblPassengerNames[[#This Row],[InParentheses]], 1) = "'"),
    #VALUE!,
    tblPassengerNames[[#This Row],[InParentheses]]
)</f>
        <v>#VALUE!</v>
      </c>
      <c r="M1015" t="e">
        <f>LEN(tblPassengerNames[[#This Row],[InParenthesesCleaned]]) - LEN(SUBSTITUTE(tblPassengerNames[[#This Row],[InParenthesesCleaned]], " ", ""))</f>
        <v>#VALUE!</v>
      </c>
      <c r="N1015" t="e">
        <f>FIND("@", SUBSTITUTE(tblPassengerNames[[#This Row],[InParenthesesCleaned]], " ", "@", tblPassengerNames[[#This Row],[P_NSpaces]]))</f>
        <v>#VALUE!</v>
      </c>
      <c r="O1015" t="e">
        <f>IF(tblPassengerNames[[#This Row],[P_NSpaces]] = 0,
    tblPassengerNames[[#This Row],[InParenthesesCleaned]],
    LEFT(tblPassengerNames[[#This Row],[InParenthesesCleaned]], tblPassengerNames[[#This Row],[P_FinalSpacePos]] - 1)
)</f>
        <v>#VALUE!</v>
      </c>
      <c r="P1015" t="str">
        <f>IFERROR(tblPassengerNames[[#This Row],[P_Forenames]], tblPassengerNames[[#This Row],[ConvForenames]])</f>
        <v>Bridget</v>
      </c>
      <c r="Q1015" t="str">
        <f>MID(tblPassengerNames[[#This Row],[Name]], tblPassengerNames[[#This Row],[CommaPos]] + 2, tblPassengerNames[[#This Row],[DotPos]] - tblPassengerNames[[#This Row],[CommaPos]] - 1)</f>
        <v>Miss.</v>
      </c>
      <c r="R1015" t="str">
        <f>LEFT(tblPassengerNames[[#This Row],[Name]], tblPassengerNames[[#This Row],[CommaPos]] - 1)</f>
        <v>McNeill</v>
      </c>
    </row>
    <row r="1016" spans="2:18" x14ac:dyDescent="0.25">
      <c r="B1016" s="21">
        <v>1014</v>
      </c>
      <c r="C1016" s="21" t="s">
        <v>1148</v>
      </c>
      <c r="D1016" s="21" t="s">
        <v>136</v>
      </c>
      <c r="E1016">
        <f>FIND(",", tblPassengerNames[[#This Row],[Name]])</f>
        <v>9</v>
      </c>
      <c r="F1016">
        <f>FIND(".", tblPassengerNames[[#This Row],[Name]])</f>
        <v>15</v>
      </c>
      <c r="G1016">
        <f>FIND("(", tblPassengerNames[[#This Row],[Name]])</f>
        <v>17</v>
      </c>
      <c r="H1016">
        <f>FIND(")", tblPassengerNames[[#This Row],[Name]])</f>
        <v>30</v>
      </c>
      <c r="I1016">
        <f>IFERROR(tblPassengerNames[[#This Row],[OpenParPos]] - 2, LEN(tblPassengerNames[[#This Row],[Name]]))</f>
        <v>15</v>
      </c>
      <c r="J1016" t="e">
        <f>MID(tblPassengerNames[[#This Row],[Name]], tblPassengerNames[[#This Row],[DotPos]] + 2, tblPassengerNames[[#This Row],[EndOfConvFNPos]] - tblPassengerNames[[#This Row],[DotPos]] - 1)</f>
        <v>#VALUE!</v>
      </c>
      <c r="K1016" t="str">
        <f>MID(tblPassengerNames[[#This Row],[Name]], tblPassengerNames[[#This Row],[OpenParPos]] + 1, tblPassengerNames[[#This Row],[CloseParPos]] - tblPassengerNames[[#This Row],[OpenParPos]] - 1)</f>
        <v>Marion Ogden</v>
      </c>
      <c r="L1016" t="str">
        <f>IF(AND(LEFT(tblPassengerNames[[#This Row],[InParentheses]], 1) = "'", RIGHT(tblPassengerNames[[#This Row],[InParentheses]], 1) = "'"),
    #VALUE!,
    tblPassengerNames[[#This Row],[InParentheses]]
)</f>
        <v>Marion Ogden</v>
      </c>
      <c r="M1016">
        <f>LEN(tblPassengerNames[[#This Row],[InParenthesesCleaned]]) - LEN(SUBSTITUTE(tblPassengerNames[[#This Row],[InParenthesesCleaned]], " ", ""))</f>
        <v>1</v>
      </c>
      <c r="N1016">
        <f>FIND("@", SUBSTITUTE(tblPassengerNames[[#This Row],[InParenthesesCleaned]], " ", "@", tblPassengerNames[[#This Row],[P_NSpaces]]))</f>
        <v>7</v>
      </c>
      <c r="O1016" t="str">
        <f>IF(tblPassengerNames[[#This Row],[P_NSpaces]] = 0,
    tblPassengerNames[[#This Row],[InParenthesesCleaned]],
    LEFT(tblPassengerNames[[#This Row],[InParenthesesCleaned]], tblPassengerNames[[#This Row],[P_FinalSpacePos]] - 1)
)</f>
        <v>Marion</v>
      </c>
      <c r="P1016" t="str">
        <f>IFERROR(tblPassengerNames[[#This Row],[P_Forenames]], tblPassengerNames[[#This Row],[ConvForenames]])</f>
        <v>Marion</v>
      </c>
      <c r="Q1016" t="str">
        <f>MID(tblPassengerNames[[#This Row],[Name]], tblPassengerNames[[#This Row],[CommaPos]] + 2, tblPassengerNames[[#This Row],[DotPos]] - tblPassengerNames[[#This Row],[CommaPos]] - 1)</f>
        <v>Miss.</v>
      </c>
      <c r="R1016" t="str">
        <f>LEFT(tblPassengerNames[[#This Row],[Name]], tblPassengerNames[[#This Row],[CommaPos]] - 1)</f>
        <v>Meanwell</v>
      </c>
    </row>
    <row r="1017" spans="2:18" x14ac:dyDescent="0.25">
      <c r="B1017" s="21">
        <v>1015</v>
      </c>
      <c r="C1017" s="21" t="s">
        <v>1149</v>
      </c>
      <c r="D1017" s="21" t="s">
        <v>136</v>
      </c>
      <c r="E1017">
        <f>FIND(",", tblPassengerNames[[#This Row],[Name]])</f>
        <v>5</v>
      </c>
      <c r="F1017">
        <f>FIND(".", tblPassengerNames[[#This Row],[Name]])</f>
        <v>10</v>
      </c>
      <c r="G1017">
        <f>FIND("(", tblPassengerNames[[#This Row],[Name]])</f>
        <v>19</v>
      </c>
      <c r="H1017">
        <f>FIND(")", tblPassengerNames[[#This Row],[Name]])</f>
        <v>39</v>
      </c>
      <c r="I1017">
        <f>IFERROR(tblPassengerNames[[#This Row],[OpenParPos]] - 2, LEN(tblPassengerNames[[#This Row],[Name]]))</f>
        <v>17</v>
      </c>
      <c r="J1017" t="str">
        <f>MID(tblPassengerNames[[#This Row],[Name]], tblPassengerNames[[#This Row],[DotPos]] + 2, tblPassengerNames[[#This Row],[EndOfConvFNPos]] - tblPassengerNames[[#This Row],[DotPos]] - 1)</f>
        <v>Thomas</v>
      </c>
      <c r="K1017" t="str">
        <f>MID(tblPassengerNames[[#This Row],[Name]], tblPassengerNames[[#This Row],[OpenParPos]] + 1, tblPassengerNames[[#This Row],[CloseParPos]] - tblPassengerNames[[#This Row],[OpenParPos]] - 1)</f>
        <v>Annie Louise Rowley</v>
      </c>
      <c r="L1017" t="str">
        <f>IF(AND(LEFT(tblPassengerNames[[#This Row],[InParentheses]], 1) = "'", RIGHT(tblPassengerNames[[#This Row],[InParentheses]], 1) = "'"),
    #VALUE!,
    tblPassengerNames[[#This Row],[InParentheses]]
)</f>
        <v>Annie Louise Rowley</v>
      </c>
      <c r="M1017">
        <f>LEN(tblPassengerNames[[#This Row],[InParenthesesCleaned]]) - LEN(SUBSTITUTE(tblPassengerNames[[#This Row],[InParenthesesCleaned]], " ", ""))</f>
        <v>2</v>
      </c>
      <c r="N1017">
        <f>FIND("@", SUBSTITUTE(tblPassengerNames[[#This Row],[InParenthesesCleaned]], " ", "@", tblPassengerNames[[#This Row],[P_NSpaces]]))</f>
        <v>13</v>
      </c>
      <c r="O1017" t="str">
        <f>IF(tblPassengerNames[[#This Row],[P_NSpaces]] = 0,
    tblPassengerNames[[#This Row],[InParenthesesCleaned]],
    LEFT(tblPassengerNames[[#This Row],[InParenthesesCleaned]], tblPassengerNames[[#This Row],[P_FinalSpacePos]] - 1)
)</f>
        <v>Annie Louise</v>
      </c>
      <c r="P1017" t="str">
        <f>IFERROR(tblPassengerNames[[#This Row],[P_Forenames]], tblPassengerNames[[#This Row],[ConvForenames]])</f>
        <v>Annie Louise</v>
      </c>
      <c r="Q1017" t="str">
        <f>MID(tblPassengerNames[[#This Row],[Name]], tblPassengerNames[[#This Row],[CommaPos]] + 2, tblPassengerNames[[#This Row],[DotPos]] - tblPassengerNames[[#This Row],[CommaPos]] - 1)</f>
        <v>Mrs.</v>
      </c>
      <c r="R1017" t="str">
        <f>LEFT(tblPassengerNames[[#This Row],[Name]], tblPassengerNames[[#This Row],[CommaPos]] - 1)</f>
        <v>Meek</v>
      </c>
    </row>
    <row r="1018" spans="2:18" x14ac:dyDescent="0.25">
      <c r="B1018" s="21">
        <v>1016</v>
      </c>
      <c r="C1018" s="21" t="s">
        <v>1150</v>
      </c>
      <c r="D1018" s="21" t="s">
        <v>138</v>
      </c>
      <c r="E1018">
        <f>FIND(",", tblPassengerNames[[#This Row],[Name]])</f>
        <v>4</v>
      </c>
      <c r="F1018">
        <f>FIND(".", tblPassengerNames[[#This Row],[Name]])</f>
        <v>8</v>
      </c>
      <c r="G1018" t="e">
        <f>FIND("(", tblPassengerNames[[#This Row],[Name]])</f>
        <v>#VALUE!</v>
      </c>
      <c r="H1018" t="e">
        <f>FIND(")", tblPassengerNames[[#This Row],[Name]])</f>
        <v>#VALUE!</v>
      </c>
      <c r="I1018">
        <f>IFERROR(tblPassengerNames[[#This Row],[OpenParPos]] - 2, LEN(tblPassengerNames[[#This Row],[Name]]))</f>
        <v>16</v>
      </c>
      <c r="J1018" t="str">
        <f>MID(tblPassengerNames[[#This Row],[Name]], tblPassengerNames[[#This Row],[DotPos]] + 2, tblPassengerNames[[#This Row],[EndOfConvFNPos]] - tblPassengerNames[[#This Row],[DotPos]] - 1)</f>
        <v>Alfonzo</v>
      </c>
      <c r="K1018" t="e">
        <f>MID(tblPassengerNames[[#This Row],[Name]], tblPassengerNames[[#This Row],[OpenParPos]] + 1, tblPassengerNames[[#This Row],[CloseParPos]] - tblPassengerNames[[#This Row],[OpenParPos]] - 1)</f>
        <v>#VALUE!</v>
      </c>
      <c r="L1018" t="e">
        <f>IF(AND(LEFT(tblPassengerNames[[#This Row],[InParentheses]], 1) = "'", RIGHT(tblPassengerNames[[#This Row],[InParentheses]], 1) = "'"),
    #VALUE!,
    tblPassengerNames[[#This Row],[InParentheses]]
)</f>
        <v>#VALUE!</v>
      </c>
      <c r="M1018" t="e">
        <f>LEN(tblPassengerNames[[#This Row],[InParenthesesCleaned]]) - LEN(SUBSTITUTE(tblPassengerNames[[#This Row],[InParenthesesCleaned]], " ", ""))</f>
        <v>#VALUE!</v>
      </c>
      <c r="N1018" t="e">
        <f>FIND("@", SUBSTITUTE(tblPassengerNames[[#This Row],[InParenthesesCleaned]], " ", "@", tblPassengerNames[[#This Row],[P_NSpaces]]))</f>
        <v>#VALUE!</v>
      </c>
      <c r="O1018" t="e">
        <f>IF(tblPassengerNames[[#This Row],[P_NSpaces]] = 0,
    tblPassengerNames[[#This Row],[InParenthesesCleaned]],
    LEFT(tblPassengerNames[[#This Row],[InParenthesesCleaned]], tblPassengerNames[[#This Row],[P_FinalSpacePos]] - 1)
)</f>
        <v>#VALUE!</v>
      </c>
      <c r="P1018" t="str">
        <f>IFERROR(tblPassengerNames[[#This Row],[P_Forenames]], tblPassengerNames[[#This Row],[ConvForenames]])</f>
        <v>Alfonzo</v>
      </c>
      <c r="Q1018" t="str">
        <f>MID(tblPassengerNames[[#This Row],[Name]], tblPassengerNames[[#This Row],[CommaPos]] + 2, tblPassengerNames[[#This Row],[DotPos]] - tblPassengerNames[[#This Row],[CommaPos]] - 1)</f>
        <v>Mr.</v>
      </c>
      <c r="R1018" t="str">
        <f>LEFT(tblPassengerNames[[#This Row],[Name]], tblPassengerNames[[#This Row],[CommaPos]] - 1)</f>
        <v>Meo</v>
      </c>
    </row>
    <row r="1019" spans="2:18" x14ac:dyDescent="0.25">
      <c r="B1019" s="21">
        <v>1017</v>
      </c>
      <c r="C1019" s="21" t="s">
        <v>1151</v>
      </c>
      <c r="D1019" s="21" t="s">
        <v>138</v>
      </c>
      <c r="E1019">
        <f>FIND(",", tblPassengerNames[[#This Row],[Name]])</f>
        <v>8</v>
      </c>
      <c r="F1019">
        <f>FIND(".", tblPassengerNames[[#This Row],[Name]])</f>
        <v>12</v>
      </c>
      <c r="G1019" t="e">
        <f>FIND("(", tblPassengerNames[[#This Row],[Name]])</f>
        <v>#VALUE!</v>
      </c>
      <c r="H1019" t="e">
        <f>FIND(")", tblPassengerNames[[#This Row],[Name]])</f>
        <v>#VALUE!</v>
      </c>
      <c r="I1019">
        <f>IFERROR(tblPassengerNames[[#This Row],[OpenParPos]] - 2, LEN(tblPassengerNames[[#This Row],[Name]]))</f>
        <v>19</v>
      </c>
      <c r="J1019" t="str">
        <f>MID(tblPassengerNames[[#This Row],[Name]], tblPassengerNames[[#This Row],[DotPos]] + 2, tblPassengerNames[[#This Row],[EndOfConvFNPos]] - tblPassengerNames[[#This Row],[DotPos]] - 1)</f>
        <v>Robert</v>
      </c>
      <c r="K1019" t="e">
        <f>MID(tblPassengerNames[[#This Row],[Name]], tblPassengerNames[[#This Row],[OpenParPos]] + 1, tblPassengerNames[[#This Row],[CloseParPos]] - tblPassengerNames[[#This Row],[OpenParPos]] - 1)</f>
        <v>#VALUE!</v>
      </c>
      <c r="L1019" t="e">
        <f>IF(AND(LEFT(tblPassengerNames[[#This Row],[InParentheses]], 1) = "'", RIGHT(tblPassengerNames[[#This Row],[InParentheses]], 1) = "'"),
    #VALUE!,
    tblPassengerNames[[#This Row],[InParentheses]]
)</f>
        <v>#VALUE!</v>
      </c>
      <c r="M1019" t="e">
        <f>LEN(tblPassengerNames[[#This Row],[InParenthesesCleaned]]) - LEN(SUBSTITUTE(tblPassengerNames[[#This Row],[InParenthesesCleaned]], " ", ""))</f>
        <v>#VALUE!</v>
      </c>
      <c r="N1019" t="e">
        <f>FIND("@", SUBSTITUTE(tblPassengerNames[[#This Row],[InParenthesesCleaned]], " ", "@", tblPassengerNames[[#This Row],[P_NSpaces]]))</f>
        <v>#VALUE!</v>
      </c>
      <c r="O1019" t="e">
        <f>IF(tblPassengerNames[[#This Row],[P_NSpaces]] = 0,
    tblPassengerNames[[#This Row],[InParenthesesCleaned]],
    LEFT(tblPassengerNames[[#This Row],[InParenthesesCleaned]], tblPassengerNames[[#This Row],[P_FinalSpacePos]] - 1)
)</f>
        <v>#VALUE!</v>
      </c>
      <c r="P1019" t="str">
        <f>IFERROR(tblPassengerNames[[#This Row],[P_Forenames]], tblPassengerNames[[#This Row],[ConvForenames]])</f>
        <v>Robert</v>
      </c>
      <c r="Q1019" t="str">
        <f>MID(tblPassengerNames[[#This Row],[Name]], tblPassengerNames[[#This Row],[CommaPos]] + 2, tblPassengerNames[[#This Row],[DotPos]] - tblPassengerNames[[#This Row],[CommaPos]] - 1)</f>
        <v>Mr.</v>
      </c>
      <c r="R1019" t="str">
        <f>LEFT(tblPassengerNames[[#This Row],[Name]], tblPassengerNames[[#This Row],[CommaPos]] - 1)</f>
        <v>Mernagh</v>
      </c>
    </row>
    <row r="1020" spans="2:18" x14ac:dyDescent="0.25">
      <c r="B1020" s="21">
        <v>1018</v>
      </c>
      <c r="C1020" s="21" t="s">
        <v>1152</v>
      </c>
      <c r="D1020" s="21" t="s">
        <v>138</v>
      </c>
      <c r="E1020">
        <f>FIND(",", tblPassengerNames[[#This Row],[Name]])</f>
        <v>8</v>
      </c>
      <c r="F1020">
        <f>FIND(".", tblPassengerNames[[#This Row],[Name]])</f>
        <v>12</v>
      </c>
      <c r="G1020" t="e">
        <f>FIND("(", tblPassengerNames[[#This Row],[Name]])</f>
        <v>#VALUE!</v>
      </c>
      <c r="H1020" t="e">
        <f>FIND(")", tblPassengerNames[[#This Row],[Name]])</f>
        <v>#VALUE!</v>
      </c>
      <c r="I1020">
        <f>IFERROR(tblPassengerNames[[#This Row],[OpenParPos]] - 2, LEN(tblPassengerNames[[#This Row],[Name]]))</f>
        <v>24</v>
      </c>
      <c r="J1020" t="str">
        <f>MID(tblPassengerNames[[#This Row],[Name]], tblPassengerNames[[#This Row],[DotPos]] + 2, tblPassengerNames[[#This Row],[EndOfConvFNPos]] - tblPassengerNames[[#This Row],[DotPos]] - 1)</f>
        <v>Karl Albert</v>
      </c>
      <c r="K1020" t="e">
        <f>MID(tblPassengerNames[[#This Row],[Name]], tblPassengerNames[[#This Row],[OpenParPos]] + 1, tblPassengerNames[[#This Row],[CloseParPos]] - tblPassengerNames[[#This Row],[OpenParPos]] - 1)</f>
        <v>#VALUE!</v>
      </c>
      <c r="L1020" t="e">
        <f>IF(AND(LEFT(tblPassengerNames[[#This Row],[InParentheses]], 1) = "'", RIGHT(tblPassengerNames[[#This Row],[InParentheses]], 1) = "'"),
    #VALUE!,
    tblPassengerNames[[#This Row],[InParentheses]]
)</f>
        <v>#VALUE!</v>
      </c>
      <c r="M1020" t="e">
        <f>LEN(tblPassengerNames[[#This Row],[InParenthesesCleaned]]) - LEN(SUBSTITUTE(tblPassengerNames[[#This Row],[InParenthesesCleaned]], " ", ""))</f>
        <v>#VALUE!</v>
      </c>
      <c r="N1020" t="e">
        <f>FIND("@", SUBSTITUTE(tblPassengerNames[[#This Row],[InParenthesesCleaned]], " ", "@", tblPassengerNames[[#This Row],[P_NSpaces]]))</f>
        <v>#VALUE!</v>
      </c>
      <c r="O1020" t="e">
        <f>IF(tblPassengerNames[[#This Row],[P_NSpaces]] = 0,
    tblPassengerNames[[#This Row],[InParenthesesCleaned]],
    LEFT(tblPassengerNames[[#This Row],[InParenthesesCleaned]], tblPassengerNames[[#This Row],[P_FinalSpacePos]] - 1)
)</f>
        <v>#VALUE!</v>
      </c>
      <c r="P1020" t="str">
        <f>IFERROR(tblPassengerNames[[#This Row],[P_Forenames]], tblPassengerNames[[#This Row],[ConvForenames]])</f>
        <v>Karl Albert</v>
      </c>
      <c r="Q1020" t="str">
        <f>MID(tblPassengerNames[[#This Row],[Name]], tblPassengerNames[[#This Row],[CommaPos]] + 2, tblPassengerNames[[#This Row],[DotPos]] - tblPassengerNames[[#This Row],[CommaPos]] - 1)</f>
        <v>Mr.</v>
      </c>
      <c r="R1020" t="str">
        <f>LEFT(tblPassengerNames[[#This Row],[Name]], tblPassengerNames[[#This Row],[CommaPos]] - 1)</f>
        <v>Midtsjo</v>
      </c>
    </row>
    <row r="1021" spans="2:18" x14ac:dyDescent="0.25">
      <c r="B1021" s="21">
        <v>1019</v>
      </c>
      <c r="C1021" s="21" t="s">
        <v>1153</v>
      </c>
      <c r="D1021" s="21" t="s">
        <v>138</v>
      </c>
      <c r="E1021">
        <f>FIND(",", tblPassengerNames[[#This Row],[Name]])</f>
        <v>6</v>
      </c>
      <c r="F1021">
        <f>FIND(".", tblPassengerNames[[#This Row],[Name]])</f>
        <v>10</v>
      </c>
      <c r="G1021" t="e">
        <f>FIND("(", tblPassengerNames[[#This Row],[Name]])</f>
        <v>#VALUE!</v>
      </c>
      <c r="H1021" t="e">
        <f>FIND(")", tblPassengerNames[[#This Row],[Name]])</f>
        <v>#VALUE!</v>
      </c>
      <c r="I1021">
        <f>IFERROR(tblPassengerNames[[#This Row],[OpenParPos]] - 2, LEN(tblPassengerNames[[#This Row],[Name]]))</f>
        <v>16</v>
      </c>
      <c r="J1021" t="str">
        <f>MID(tblPassengerNames[[#This Row],[Name]], tblPassengerNames[[#This Row],[DotPos]] + 2, tblPassengerNames[[#This Row],[EndOfConvFNPos]] - tblPassengerNames[[#This Row],[DotPos]] - 1)</f>
        <v>Frank</v>
      </c>
      <c r="K1021" t="e">
        <f>MID(tblPassengerNames[[#This Row],[Name]], tblPassengerNames[[#This Row],[OpenParPos]] + 1, tblPassengerNames[[#This Row],[CloseParPos]] - tblPassengerNames[[#This Row],[OpenParPos]] - 1)</f>
        <v>#VALUE!</v>
      </c>
      <c r="L1021" t="e">
        <f>IF(AND(LEFT(tblPassengerNames[[#This Row],[InParentheses]], 1) = "'", RIGHT(tblPassengerNames[[#This Row],[InParentheses]], 1) = "'"),
    #VALUE!,
    tblPassengerNames[[#This Row],[InParentheses]]
)</f>
        <v>#VALUE!</v>
      </c>
      <c r="M1021" t="e">
        <f>LEN(tblPassengerNames[[#This Row],[InParenthesesCleaned]]) - LEN(SUBSTITUTE(tblPassengerNames[[#This Row],[InParenthesesCleaned]], " ", ""))</f>
        <v>#VALUE!</v>
      </c>
      <c r="N1021" t="e">
        <f>FIND("@", SUBSTITUTE(tblPassengerNames[[#This Row],[InParenthesesCleaned]], " ", "@", tblPassengerNames[[#This Row],[P_NSpaces]]))</f>
        <v>#VALUE!</v>
      </c>
      <c r="O1021" t="e">
        <f>IF(tblPassengerNames[[#This Row],[P_NSpaces]] = 0,
    tblPassengerNames[[#This Row],[InParenthesesCleaned]],
    LEFT(tblPassengerNames[[#This Row],[InParenthesesCleaned]], tblPassengerNames[[#This Row],[P_FinalSpacePos]] - 1)
)</f>
        <v>#VALUE!</v>
      </c>
      <c r="P1021" t="str">
        <f>IFERROR(tblPassengerNames[[#This Row],[P_Forenames]], tblPassengerNames[[#This Row],[ConvForenames]])</f>
        <v>Frank</v>
      </c>
      <c r="Q1021" t="str">
        <f>MID(tblPassengerNames[[#This Row],[Name]], tblPassengerNames[[#This Row],[CommaPos]] + 2, tblPassengerNames[[#This Row],[DotPos]] - tblPassengerNames[[#This Row],[CommaPos]] - 1)</f>
        <v>Mr.</v>
      </c>
      <c r="R1021" t="str">
        <f>LEFT(tblPassengerNames[[#This Row],[Name]], tblPassengerNames[[#This Row],[CommaPos]] - 1)</f>
        <v>Miles</v>
      </c>
    </row>
    <row r="1022" spans="2:18" x14ac:dyDescent="0.25">
      <c r="B1022" s="21">
        <v>1020</v>
      </c>
      <c r="C1022" s="21" t="s">
        <v>1154</v>
      </c>
      <c r="D1022" s="21" t="s">
        <v>138</v>
      </c>
      <c r="E1022">
        <f>FIND(",", tblPassengerNames[[#This Row],[Name]])</f>
        <v>7</v>
      </c>
      <c r="F1022">
        <f>FIND(".", tblPassengerNames[[#This Row],[Name]])</f>
        <v>11</v>
      </c>
      <c r="G1022" t="e">
        <f>FIND("(", tblPassengerNames[[#This Row],[Name]])</f>
        <v>#VALUE!</v>
      </c>
      <c r="H1022" t="e">
        <f>FIND(")", tblPassengerNames[[#This Row],[Name]])</f>
        <v>#VALUE!</v>
      </c>
      <c r="I1022">
        <f>IFERROR(tblPassengerNames[[#This Row],[OpenParPos]] - 2, LEN(tblPassengerNames[[#This Row],[Name]]))</f>
        <v>16</v>
      </c>
      <c r="J1022" t="str">
        <f>MID(tblPassengerNames[[#This Row],[Name]], tblPassengerNames[[#This Row],[DotPos]] + 2, tblPassengerNames[[#This Row],[EndOfConvFNPos]] - tblPassengerNames[[#This Row],[DotPos]] - 1)</f>
        <v>Ivan</v>
      </c>
      <c r="K1022" t="e">
        <f>MID(tblPassengerNames[[#This Row],[Name]], tblPassengerNames[[#This Row],[OpenParPos]] + 1, tblPassengerNames[[#This Row],[CloseParPos]] - tblPassengerNames[[#This Row],[OpenParPos]] - 1)</f>
        <v>#VALUE!</v>
      </c>
      <c r="L1022" t="e">
        <f>IF(AND(LEFT(tblPassengerNames[[#This Row],[InParentheses]], 1) = "'", RIGHT(tblPassengerNames[[#This Row],[InParentheses]], 1) = "'"),
    #VALUE!,
    tblPassengerNames[[#This Row],[InParentheses]]
)</f>
        <v>#VALUE!</v>
      </c>
      <c r="M1022" t="e">
        <f>LEN(tblPassengerNames[[#This Row],[InParenthesesCleaned]]) - LEN(SUBSTITUTE(tblPassengerNames[[#This Row],[InParenthesesCleaned]], " ", ""))</f>
        <v>#VALUE!</v>
      </c>
      <c r="N1022" t="e">
        <f>FIND("@", SUBSTITUTE(tblPassengerNames[[#This Row],[InParenthesesCleaned]], " ", "@", tblPassengerNames[[#This Row],[P_NSpaces]]))</f>
        <v>#VALUE!</v>
      </c>
      <c r="O1022" t="e">
        <f>IF(tblPassengerNames[[#This Row],[P_NSpaces]] = 0,
    tblPassengerNames[[#This Row],[InParenthesesCleaned]],
    LEFT(tblPassengerNames[[#This Row],[InParenthesesCleaned]], tblPassengerNames[[#This Row],[P_FinalSpacePos]] - 1)
)</f>
        <v>#VALUE!</v>
      </c>
      <c r="P1022" t="str">
        <f>IFERROR(tblPassengerNames[[#This Row],[P_Forenames]], tblPassengerNames[[#This Row],[ConvForenames]])</f>
        <v>Ivan</v>
      </c>
      <c r="Q1022" t="str">
        <f>MID(tblPassengerNames[[#This Row],[Name]], tblPassengerNames[[#This Row],[CommaPos]] + 2, tblPassengerNames[[#This Row],[DotPos]] - tblPassengerNames[[#This Row],[CommaPos]] - 1)</f>
        <v>Mr.</v>
      </c>
      <c r="R1022" t="str">
        <f>LEFT(tblPassengerNames[[#This Row],[Name]], tblPassengerNames[[#This Row],[CommaPos]] - 1)</f>
        <v>Mineff</v>
      </c>
    </row>
    <row r="1023" spans="2:18" x14ac:dyDescent="0.25">
      <c r="B1023" s="21">
        <v>1021</v>
      </c>
      <c r="C1023" s="21" t="s">
        <v>1155</v>
      </c>
      <c r="D1023" s="21" t="s">
        <v>138</v>
      </c>
      <c r="E1023">
        <f>FIND(",", tblPassengerNames[[#This Row],[Name]])</f>
        <v>8</v>
      </c>
      <c r="F1023">
        <f>FIND(".", tblPassengerNames[[#This Row],[Name]])</f>
        <v>12</v>
      </c>
      <c r="G1023" t="e">
        <f>FIND("(", tblPassengerNames[[#This Row],[Name]])</f>
        <v>#VALUE!</v>
      </c>
      <c r="H1023" t="e">
        <f>FIND(")", tblPassengerNames[[#This Row],[Name]])</f>
        <v>#VALUE!</v>
      </c>
      <c r="I1023">
        <f>IFERROR(tblPassengerNames[[#This Row],[OpenParPos]] - 2, LEN(tblPassengerNames[[#This Row],[Name]]))</f>
        <v>18</v>
      </c>
      <c r="J1023" t="str">
        <f>MID(tblPassengerNames[[#This Row],[Name]], tblPassengerNames[[#This Row],[DotPos]] + 2, tblPassengerNames[[#This Row],[EndOfConvFNPos]] - tblPassengerNames[[#This Row],[DotPos]] - 1)</f>
        <v>Lazar</v>
      </c>
      <c r="K1023" t="e">
        <f>MID(tblPassengerNames[[#This Row],[Name]], tblPassengerNames[[#This Row],[OpenParPos]] + 1, tblPassengerNames[[#This Row],[CloseParPos]] - tblPassengerNames[[#This Row],[OpenParPos]] - 1)</f>
        <v>#VALUE!</v>
      </c>
      <c r="L1023" t="e">
        <f>IF(AND(LEFT(tblPassengerNames[[#This Row],[InParentheses]], 1) = "'", RIGHT(tblPassengerNames[[#This Row],[InParentheses]], 1) = "'"),
    #VALUE!,
    tblPassengerNames[[#This Row],[InParentheses]]
)</f>
        <v>#VALUE!</v>
      </c>
      <c r="M1023" t="e">
        <f>LEN(tblPassengerNames[[#This Row],[InParenthesesCleaned]]) - LEN(SUBSTITUTE(tblPassengerNames[[#This Row],[InParenthesesCleaned]], " ", ""))</f>
        <v>#VALUE!</v>
      </c>
      <c r="N1023" t="e">
        <f>FIND("@", SUBSTITUTE(tblPassengerNames[[#This Row],[InParenthesesCleaned]], " ", "@", tblPassengerNames[[#This Row],[P_NSpaces]]))</f>
        <v>#VALUE!</v>
      </c>
      <c r="O1023" t="e">
        <f>IF(tblPassengerNames[[#This Row],[P_NSpaces]] = 0,
    tblPassengerNames[[#This Row],[InParenthesesCleaned]],
    LEFT(tblPassengerNames[[#This Row],[InParenthesesCleaned]], tblPassengerNames[[#This Row],[P_FinalSpacePos]] - 1)
)</f>
        <v>#VALUE!</v>
      </c>
      <c r="P1023" t="str">
        <f>IFERROR(tblPassengerNames[[#This Row],[P_Forenames]], tblPassengerNames[[#This Row],[ConvForenames]])</f>
        <v>Lazar</v>
      </c>
      <c r="Q1023" t="str">
        <f>MID(tblPassengerNames[[#This Row],[Name]], tblPassengerNames[[#This Row],[CommaPos]] + 2, tblPassengerNames[[#This Row],[DotPos]] - tblPassengerNames[[#This Row],[CommaPos]] - 1)</f>
        <v>Mr.</v>
      </c>
      <c r="R1023" t="str">
        <f>LEFT(tblPassengerNames[[#This Row],[Name]], tblPassengerNames[[#This Row],[CommaPos]] - 1)</f>
        <v>Minkoff</v>
      </c>
    </row>
    <row r="1024" spans="2:18" x14ac:dyDescent="0.25">
      <c r="B1024" s="21">
        <v>1022</v>
      </c>
      <c r="C1024" s="21" t="s">
        <v>1156</v>
      </c>
      <c r="D1024" s="21" t="s">
        <v>138</v>
      </c>
      <c r="E1024">
        <f>FIND(",", tblPassengerNames[[#This Row],[Name]])</f>
        <v>8</v>
      </c>
      <c r="F1024">
        <f>FIND(".", tblPassengerNames[[#This Row],[Name]])</f>
        <v>12</v>
      </c>
      <c r="G1024" t="e">
        <f>FIND("(", tblPassengerNames[[#This Row],[Name]])</f>
        <v>#VALUE!</v>
      </c>
      <c r="H1024" t="e">
        <f>FIND(")", tblPassengerNames[[#This Row],[Name]])</f>
        <v>#VALUE!</v>
      </c>
      <c r="I1024">
        <f>IFERROR(tblPassengerNames[[#This Row],[OpenParPos]] - 2, LEN(tblPassengerNames[[#This Row],[Name]]))</f>
        <v>21</v>
      </c>
      <c r="J1024" t="str">
        <f>MID(tblPassengerNames[[#This Row],[Name]], tblPassengerNames[[#This Row],[DotPos]] + 2, tblPassengerNames[[#This Row],[EndOfConvFNPos]] - tblPassengerNames[[#This Row],[DotPos]] - 1)</f>
        <v>Stoytcho</v>
      </c>
      <c r="K1024" t="e">
        <f>MID(tblPassengerNames[[#This Row],[Name]], tblPassengerNames[[#This Row],[OpenParPos]] + 1, tblPassengerNames[[#This Row],[CloseParPos]] - tblPassengerNames[[#This Row],[OpenParPos]] - 1)</f>
        <v>#VALUE!</v>
      </c>
      <c r="L1024" t="e">
        <f>IF(AND(LEFT(tblPassengerNames[[#This Row],[InParentheses]], 1) = "'", RIGHT(tblPassengerNames[[#This Row],[InParentheses]], 1) = "'"),
    #VALUE!,
    tblPassengerNames[[#This Row],[InParentheses]]
)</f>
        <v>#VALUE!</v>
      </c>
      <c r="M1024" t="e">
        <f>LEN(tblPassengerNames[[#This Row],[InParenthesesCleaned]]) - LEN(SUBSTITUTE(tblPassengerNames[[#This Row],[InParenthesesCleaned]], " ", ""))</f>
        <v>#VALUE!</v>
      </c>
      <c r="N1024" t="e">
        <f>FIND("@", SUBSTITUTE(tblPassengerNames[[#This Row],[InParenthesesCleaned]], " ", "@", tblPassengerNames[[#This Row],[P_NSpaces]]))</f>
        <v>#VALUE!</v>
      </c>
      <c r="O1024" t="e">
        <f>IF(tblPassengerNames[[#This Row],[P_NSpaces]] = 0,
    tblPassengerNames[[#This Row],[InParenthesesCleaned]],
    LEFT(tblPassengerNames[[#This Row],[InParenthesesCleaned]], tblPassengerNames[[#This Row],[P_FinalSpacePos]] - 1)
)</f>
        <v>#VALUE!</v>
      </c>
      <c r="P1024" t="str">
        <f>IFERROR(tblPassengerNames[[#This Row],[P_Forenames]], tblPassengerNames[[#This Row],[ConvForenames]])</f>
        <v>Stoytcho</v>
      </c>
      <c r="Q1024" t="str">
        <f>MID(tblPassengerNames[[#This Row],[Name]], tblPassengerNames[[#This Row],[CommaPos]] + 2, tblPassengerNames[[#This Row],[DotPos]] - tblPassengerNames[[#This Row],[CommaPos]] - 1)</f>
        <v>Mr.</v>
      </c>
      <c r="R1024" t="str">
        <f>LEFT(tblPassengerNames[[#This Row],[Name]], tblPassengerNames[[#This Row],[CommaPos]] - 1)</f>
        <v>Mionoff</v>
      </c>
    </row>
    <row r="1025" spans="2:18" x14ac:dyDescent="0.25">
      <c r="B1025" s="21">
        <v>1023</v>
      </c>
      <c r="C1025" s="21" t="s">
        <v>1157</v>
      </c>
      <c r="D1025" s="21" t="s">
        <v>138</v>
      </c>
      <c r="E1025">
        <f>FIND(",", tblPassengerNames[[#This Row],[Name]])</f>
        <v>8</v>
      </c>
      <c r="F1025">
        <f>FIND(".", tblPassengerNames[[#This Row],[Name]])</f>
        <v>12</v>
      </c>
      <c r="G1025" t="e">
        <f>FIND("(", tblPassengerNames[[#This Row],[Name]])</f>
        <v>#VALUE!</v>
      </c>
      <c r="H1025" t="e">
        <f>FIND(")", tblPassengerNames[[#This Row],[Name]])</f>
        <v>#VALUE!</v>
      </c>
      <c r="I1025">
        <f>IFERROR(tblPassengerNames[[#This Row],[OpenParPos]] - 2, LEN(tblPassengerNames[[#This Row],[Name]]))</f>
        <v>17</v>
      </c>
      <c r="J1025" t="str">
        <f>MID(tblPassengerNames[[#This Row],[Name]], tblPassengerNames[[#This Row],[DotPos]] + 2, tblPassengerNames[[#This Row],[EndOfConvFNPos]] - tblPassengerNames[[#This Row],[DotPos]] - 1)</f>
        <v>Mito</v>
      </c>
      <c r="K1025" t="e">
        <f>MID(tblPassengerNames[[#This Row],[Name]], tblPassengerNames[[#This Row],[OpenParPos]] + 1, tblPassengerNames[[#This Row],[CloseParPos]] - tblPassengerNames[[#This Row],[OpenParPos]] - 1)</f>
        <v>#VALUE!</v>
      </c>
      <c r="L1025" t="e">
        <f>IF(AND(LEFT(tblPassengerNames[[#This Row],[InParentheses]], 1) = "'", RIGHT(tblPassengerNames[[#This Row],[InParentheses]], 1) = "'"),
    #VALUE!,
    tblPassengerNames[[#This Row],[InParentheses]]
)</f>
        <v>#VALUE!</v>
      </c>
      <c r="M1025" t="e">
        <f>LEN(tblPassengerNames[[#This Row],[InParenthesesCleaned]]) - LEN(SUBSTITUTE(tblPassengerNames[[#This Row],[InParenthesesCleaned]], " ", ""))</f>
        <v>#VALUE!</v>
      </c>
      <c r="N1025" t="e">
        <f>FIND("@", SUBSTITUTE(tblPassengerNames[[#This Row],[InParenthesesCleaned]], " ", "@", tblPassengerNames[[#This Row],[P_NSpaces]]))</f>
        <v>#VALUE!</v>
      </c>
      <c r="O1025" t="e">
        <f>IF(tblPassengerNames[[#This Row],[P_NSpaces]] = 0,
    tblPassengerNames[[#This Row],[InParenthesesCleaned]],
    LEFT(tblPassengerNames[[#This Row],[InParenthesesCleaned]], tblPassengerNames[[#This Row],[P_FinalSpacePos]] - 1)
)</f>
        <v>#VALUE!</v>
      </c>
      <c r="P1025" t="str">
        <f>IFERROR(tblPassengerNames[[#This Row],[P_Forenames]], tblPassengerNames[[#This Row],[ConvForenames]])</f>
        <v>Mito</v>
      </c>
      <c r="Q1025" t="str">
        <f>MID(tblPassengerNames[[#This Row],[Name]], tblPassengerNames[[#This Row],[CommaPos]] + 2, tblPassengerNames[[#This Row],[DotPos]] - tblPassengerNames[[#This Row],[CommaPos]] - 1)</f>
        <v>Mr.</v>
      </c>
      <c r="R1025" t="str">
        <f>LEFT(tblPassengerNames[[#This Row],[Name]], tblPassengerNames[[#This Row],[CommaPos]] - 1)</f>
        <v>Mitkoff</v>
      </c>
    </row>
    <row r="1026" spans="2:18" x14ac:dyDescent="0.25">
      <c r="B1026" s="21">
        <v>1024</v>
      </c>
      <c r="C1026" s="21" t="s">
        <v>1158</v>
      </c>
      <c r="D1026" s="21" t="s">
        <v>136</v>
      </c>
      <c r="E1026">
        <f>FIND(",", tblPassengerNames[[#This Row],[Name]])</f>
        <v>8</v>
      </c>
      <c r="F1026">
        <f>FIND(".", tblPassengerNames[[#This Row],[Name]])</f>
        <v>14</v>
      </c>
      <c r="G1026" t="e">
        <f>FIND("(", tblPassengerNames[[#This Row],[Name]])</f>
        <v>#VALUE!</v>
      </c>
      <c r="H1026" t="e">
        <f>FIND(")", tblPassengerNames[[#This Row],[Name]])</f>
        <v>#VALUE!</v>
      </c>
      <c r="I1026">
        <f>IFERROR(tblPassengerNames[[#This Row],[OpenParPos]] - 2, LEN(tblPassengerNames[[#This Row],[Name]]))</f>
        <v>33</v>
      </c>
      <c r="J1026" t="str">
        <f>MID(tblPassengerNames[[#This Row],[Name]], tblPassengerNames[[#This Row],[DotPos]] + 2, tblPassengerNames[[#This Row],[EndOfConvFNPos]] - tblPassengerNames[[#This Row],[DotPos]] - 1)</f>
        <v>Helen Mary 'Ellie'</v>
      </c>
      <c r="K1026" t="e">
        <f>MID(tblPassengerNames[[#This Row],[Name]], tblPassengerNames[[#This Row],[OpenParPos]] + 1, tblPassengerNames[[#This Row],[CloseParPos]] - tblPassengerNames[[#This Row],[OpenParPos]] - 1)</f>
        <v>#VALUE!</v>
      </c>
      <c r="L1026" t="e">
        <f>IF(AND(LEFT(tblPassengerNames[[#This Row],[InParentheses]], 1) = "'", RIGHT(tblPassengerNames[[#This Row],[InParentheses]], 1) = "'"),
    #VALUE!,
    tblPassengerNames[[#This Row],[InParentheses]]
)</f>
        <v>#VALUE!</v>
      </c>
      <c r="M1026" t="e">
        <f>LEN(tblPassengerNames[[#This Row],[InParenthesesCleaned]]) - LEN(SUBSTITUTE(tblPassengerNames[[#This Row],[InParenthesesCleaned]], " ", ""))</f>
        <v>#VALUE!</v>
      </c>
      <c r="N1026" t="e">
        <f>FIND("@", SUBSTITUTE(tblPassengerNames[[#This Row],[InParenthesesCleaned]], " ", "@", tblPassengerNames[[#This Row],[P_NSpaces]]))</f>
        <v>#VALUE!</v>
      </c>
      <c r="O1026" t="e">
        <f>IF(tblPassengerNames[[#This Row],[P_NSpaces]] = 0,
    tblPassengerNames[[#This Row],[InParenthesesCleaned]],
    LEFT(tblPassengerNames[[#This Row],[InParenthesesCleaned]], tblPassengerNames[[#This Row],[P_FinalSpacePos]] - 1)
)</f>
        <v>#VALUE!</v>
      </c>
      <c r="P1026" t="str">
        <f>IFERROR(tblPassengerNames[[#This Row],[P_Forenames]], tblPassengerNames[[#This Row],[ConvForenames]])</f>
        <v>Helen Mary 'Ellie'</v>
      </c>
      <c r="Q1026" t="str">
        <f>MID(tblPassengerNames[[#This Row],[Name]], tblPassengerNames[[#This Row],[CommaPos]] + 2, tblPassengerNames[[#This Row],[DotPos]] - tblPassengerNames[[#This Row],[CommaPos]] - 1)</f>
        <v>Miss.</v>
      </c>
      <c r="R1026" t="str">
        <f>LEFT(tblPassengerNames[[#This Row],[Name]], tblPassengerNames[[#This Row],[CommaPos]] - 1)</f>
        <v>Mockler</v>
      </c>
    </row>
    <row r="1027" spans="2:18" x14ac:dyDescent="0.25">
      <c r="B1027" s="21">
        <v>1025</v>
      </c>
      <c r="C1027" s="21" t="s">
        <v>1159</v>
      </c>
      <c r="D1027" s="21" t="s">
        <v>138</v>
      </c>
      <c r="E1027">
        <f>FIND(",", tblPassengerNames[[#This Row],[Name]])</f>
        <v>5</v>
      </c>
      <c r="F1027">
        <f>FIND(".", tblPassengerNames[[#This Row],[Name]])</f>
        <v>9</v>
      </c>
      <c r="G1027" t="e">
        <f>FIND("(", tblPassengerNames[[#This Row],[Name]])</f>
        <v>#VALUE!</v>
      </c>
      <c r="H1027" t="e">
        <f>FIND(")", tblPassengerNames[[#This Row],[Name]])</f>
        <v>#VALUE!</v>
      </c>
      <c r="I1027">
        <f>IFERROR(tblPassengerNames[[#This Row],[OpenParPos]] - 2, LEN(tblPassengerNames[[#This Row],[Name]]))</f>
        <v>23</v>
      </c>
      <c r="J1027" t="str">
        <f>MID(tblPassengerNames[[#This Row],[Name]], tblPassengerNames[[#This Row],[DotPos]] + 2, tblPassengerNames[[#This Row],[EndOfConvFNPos]] - tblPassengerNames[[#This Row],[DotPos]] - 1)</f>
        <v>Sigurd Hansen</v>
      </c>
      <c r="K1027" t="e">
        <f>MID(tblPassengerNames[[#This Row],[Name]], tblPassengerNames[[#This Row],[OpenParPos]] + 1, tblPassengerNames[[#This Row],[CloseParPos]] - tblPassengerNames[[#This Row],[OpenParPos]] - 1)</f>
        <v>#VALUE!</v>
      </c>
      <c r="L1027" t="e">
        <f>IF(AND(LEFT(tblPassengerNames[[#This Row],[InParentheses]], 1) = "'", RIGHT(tblPassengerNames[[#This Row],[InParentheses]], 1) = "'"),
    #VALUE!,
    tblPassengerNames[[#This Row],[InParentheses]]
)</f>
        <v>#VALUE!</v>
      </c>
      <c r="M1027" t="e">
        <f>LEN(tblPassengerNames[[#This Row],[InParenthesesCleaned]]) - LEN(SUBSTITUTE(tblPassengerNames[[#This Row],[InParenthesesCleaned]], " ", ""))</f>
        <v>#VALUE!</v>
      </c>
      <c r="N1027" t="e">
        <f>FIND("@", SUBSTITUTE(tblPassengerNames[[#This Row],[InParenthesesCleaned]], " ", "@", tblPassengerNames[[#This Row],[P_NSpaces]]))</f>
        <v>#VALUE!</v>
      </c>
      <c r="O1027" t="e">
        <f>IF(tblPassengerNames[[#This Row],[P_NSpaces]] = 0,
    tblPassengerNames[[#This Row],[InParenthesesCleaned]],
    LEFT(tblPassengerNames[[#This Row],[InParenthesesCleaned]], tblPassengerNames[[#This Row],[P_FinalSpacePos]] - 1)
)</f>
        <v>#VALUE!</v>
      </c>
      <c r="P1027" t="str">
        <f>IFERROR(tblPassengerNames[[#This Row],[P_Forenames]], tblPassengerNames[[#This Row],[ConvForenames]])</f>
        <v>Sigurd Hansen</v>
      </c>
      <c r="Q1027" t="str">
        <f>MID(tblPassengerNames[[#This Row],[Name]], tblPassengerNames[[#This Row],[CommaPos]] + 2, tblPassengerNames[[#This Row],[DotPos]] - tblPassengerNames[[#This Row],[CommaPos]] - 1)</f>
        <v>Mr.</v>
      </c>
      <c r="R1027" t="str">
        <f>LEFT(tblPassengerNames[[#This Row],[Name]], tblPassengerNames[[#This Row],[CommaPos]] - 1)</f>
        <v>Moen</v>
      </c>
    </row>
    <row r="1028" spans="2:18" x14ac:dyDescent="0.25">
      <c r="B1028" s="21">
        <v>1026</v>
      </c>
      <c r="C1028" s="21" t="s">
        <v>1160</v>
      </c>
      <c r="D1028" s="21" t="s">
        <v>138</v>
      </c>
      <c r="E1028">
        <f>FIND(",", tblPassengerNames[[#This Row],[Name]])</f>
        <v>5</v>
      </c>
      <c r="F1028">
        <f>FIND(".", tblPassengerNames[[#This Row],[Name]])</f>
        <v>13</v>
      </c>
      <c r="G1028" t="e">
        <f>FIND("(", tblPassengerNames[[#This Row],[Name]])</f>
        <v>#VALUE!</v>
      </c>
      <c r="H1028" t="e">
        <f>FIND(")", tblPassengerNames[[#This Row],[Name]])</f>
        <v>#VALUE!</v>
      </c>
      <c r="I1028">
        <f>IFERROR(tblPassengerNames[[#This Row],[OpenParPos]] - 2, LEN(tblPassengerNames[[#This Row],[Name]]))</f>
        <v>19</v>
      </c>
      <c r="J1028" t="str">
        <f>MID(tblPassengerNames[[#This Row],[Name]], tblPassengerNames[[#This Row],[DotPos]] + 2, tblPassengerNames[[#This Row],[EndOfConvFNPos]] - tblPassengerNames[[#This Row],[DotPos]] - 1)</f>
        <v>Meier</v>
      </c>
      <c r="K1028" t="e">
        <f>MID(tblPassengerNames[[#This Row],[Name]], tblPassengerNames[[#This Row],[OpenParPos]] + 1, tblPassengerNames[[#This Row],[CloseParPos]] - tblPassengerNames[[#This Row],[OpenParPos]] - 1)</f>
        <v>#VALUE!</v>
      </c>
      <c r="L1028" t="e">
        <f>IF(AND(LEFT(tblPassengerNames[[#This Row],[InParentheses]], 1) = "'", RIGHT(tblPassengerNames[[#This Row],[InParentheses]], 1) = "'"),
    #VALUE!,
    tblPassengerNames[[#This Row],[InParentheses]]
)</f>
        <v>#VALUE!</v>
      </c>
      <c r="M1028" t="e">
        <f>LEN(tblPassengerNames[[#This Row],[InParenthesesCleaned]]) - LEN(SUBSTITUTE(tblPassengerNames[[#This Row],[InParenthesesCleaned]], " ", ""))</f>
        <v>#VALUE!</v>
      </c>
      <c r="N1028" t="e">
        <f>FIND("@", SUBSTITUTE(tblPassengerNames[[#This Row],[InParenthesesCleaned]], " ", "@", tblPassengerNames[[#This Row],[P_NSpaces]]))</f>
        <v>#VALUE!</v>
      </c>
      <c r="O1028" t="e">
        <f>IF(tblPassengerNames[[#This Row],[P_NSpaces]] = 0,
    tblPassengerNames[[#This Row],[InParenthesesCleaned]],
    LEFT(tblPassengerNames[[#This Row],[InParenthesesCleaned]], tblPassengerNames[[#This Row],[P_FinalSpacePos]] - 1)
)</f>
        <v>#VALUE!</v>
      </c>
      <c r="P1028" t="str">
        <f>IFERROR(tblPassengerNames[[#This Row],[P_Forenames]], tblPassengerNames[[#This Row],[ConvForenames]])</f>
        <v>Meier</v>
      </c>
      <c r="Q1028" t="str">
        <f>MID(tblPassengerNames[[#This Row],[Name]], tblPassengerNames[[#This Row],[CommaPos]] + 2, tblPassengerNames[[#This Row],[DotPos]] - tblPassengerNames[[#This Row],[CommaPos]] - 1)</f>
        <v>Master.</v>
      </c>
      <c r="R1028" t="str">
        <f>LEFT(tblPassengerNames[[#This Row],[Name]], tblPassengerNames[[#This Row],[CommaPos]] - 1)</f>
        <v>Moor</v>
      </c>
    </row>
    <row r="1029" spans="2:18" x14ac:dyDescent="0.25">
      <c r="B1029" s="21">
        <v>1027</v>
      </c>
      <c r="C1029" s="21" t="s">
        <v>1161</v>
      </c>
      <c r="D1029" s="21" t="s">
        <v>136</v>
      </c>
      <c r="E1029">
        <f>FIND(",", tblPassengerNames[[#This Row],[Name]])</f>
        <v>5</v>
      </c>
      <c r="F1029">
        <f>FIND(".", tblPassengerNames[[#This Row],[Name]])</f>
        <v>10</v>
      </c>
      <c r="G1029">
        <f>FIND("(", tblPassengerNames[[#This Row],[Name]])</f>
        <v>12</v>
      </c>
      <c r="H1029">
        <f>FIND(")", tblPassengerNames[[#This Row],[Name]])</f>
        <v>18</v>
      </c>
      <c r="I1029">
        <f>IFERROR(tblPassengerNames[[#This Row],[OpenParPos]] - 2, LEN(tblPassengerNames[[#This Row],[Name]]))</f>
        <v>10</v>
      </c>
      <c r="J1029" t="e">
        <f>MID(tblPassengerNames[[#This Row],[Name]], tblPassengerNames[[#This Row],[DotPos]] + 2, tblPassengerNames[[#This Row],[EndOfConvFNPos]] - tblPassengerNames[[#This Row],[DotPos]] - 1)</f>
        <v>#VALUE!</v>
      </c>
      <c r="K1029" t="str">
        <f>MID(tblPassengerNames[[#This Row],[Name]], tblPassengerNames[[#This Row],[OpenParPos]] + 1, tblPassengerNames[[#This Row],[CloseParPos]] - tblPassengerNames[[#This Row],[OpenParPos]] - 1)</f>
        <v>Beila</v>
      </c>
      <c r="L1029" t="str">
        <f>IF(AND(LEFT(tblPassengerNames[[#This Row],[InParentheses]], 1) = "'", RIGHT(tblPassengerNames[[#This Row],[InParentheses]], 1) = "'"),
    #VALUE!,
    tblPassengerNames[[#This Row],[InParentheses]]
)</f>
        <v>Beila</v>
      </c>
      <c r="M1029">
        <f>LEN(tblPassengerNames[[#This Row],[InParenthesesCleaned]]) - LEN(SUBSTITUTE(tblPassengerNames[[#This Row],[InParenthesesCleaned]], " ", ""))</f>
        <v>0</v>
      </c>
      <c r="N1029" t="e">
        <f>FIND("@", SUBSTITUTE(tblPassengerNames[[#This Row],[InParenthesesCleaned]], " ", "@", tblPassengerNames[[#This Row],[P_NSpaces]]))</f>
        <v>#VALUE!</v>
      </c>
      <c r="O1029" t="str">
        <f>IF(tblPassengerNames[[#This Row],[P_NSpaces]] = 0,
    tblPassengerNames[[#This Row],[InParenthesesCleaned]],
    LEFT(tblPassengerNames[[#This Row],[InParenthesesCleaned]], tblPassengerNames[[#This Row],[P_FinalSpacePos]] - 1)
)</f>
        <v>Beila</v>
      </c>
      <c r="P1029" t="str">
        <f>IFERROR(tblPassengerNames[[#This Row],[P_Forenames]], tblPassengerNames[[#This Row],[ConvForenames]])</f>
        <v>Beila</v>
      </c>
      <c r="Q1029" t="str">
        <f>MID(tblPassengerNames[[#This Row],[Name]], tblPassengerNames[[#This Row],[CommaPos]] + 2, tblPassengerNames[[#This Row],[DotPos]] - tblPassengerNames[[#This Row],[CommaPos]] - 1)</f>
        <v>Mrs.</v>
      </c>
      <c r="R1029" t="str">
        <f>LEFT(tblPassengerNames[[#This Row],[Name]], tblPassengerNames[[#This Row],[CommaPos]] - 1)</f>
        <v>Moor</v>
      </c>
    </row>
    <row r="1030" spans="2:18" x14ac:dyDescent="0.25">
      <c r="B1030" s="21">
        <v>1028</v>
      </c>
      <c r="C1030" s="21" t="s">
        <v>1162</v>
      </c>
      <c r="D1030" s="21" t="s">
        <v>138</v>
      </c>
      <c r="E1030">
        <f>FIND(",", tblPassengerNames[[#This Row],[Name]])</f>
        <v>6</v>
      </c>
      <c r="F1030">
        <f>FIND(".", tblPassengerNames[[#This Row],[Name]])</f>
        <v>10</v>
      </c>
      <c r="G1030" t="e">
        <f>FIND("(", tblPassengerNames[[#This Row],[Name]])</f>
        <v>#VALUE!</v>
      </c>
      <c r="H1030" t="e">
        <f>FIND(")", tblPassengerNames[[#This Row],[Name]])</f>
        <v>#VALUE!</v>
      </c>
      <c r="I1030">
        <f>IFERROR(tblPassengerNames[[#This Row],[OpenParPos]] - 2, LEN(tblPassengerNames[[#This Row],[Name]]))</f>
        <v>26</v>
      </c>
      <c r="J1030" t="str">
        <f>MID(tblPassengerNames[[#This Row],[Name]], tblPassengerNames[[#This Row],[DotPos]] + 2, tblPassengerNames[[#This Row],[EndOfConvFNPos]] - tblPassengerNames[[#This Row],[DotPos]] - 1)</f>
        <v>Leonard Charles</v>
      </c>
      <c r="K1030" t="e">
        <f>MID(tblPassengerNames[[#This Row],[Name]], tblPassengerNames[[#This Row],[OpenParPos]] + 1, tblPassengerNames[[#This Row],[CloseParPos]] - tblPassengerNames[[#This Row],[OpenParPos]] - 1)</f>
        <v>#VALUE!</v>
      </c>
      <c r="L1030" t="e">
        <f>IF(AND(LEFT(tblPassengerNames[[#This Row],[InParentheses]], 1) = "'", RIGHT(tblPassengerNames[[#This Row],[InParentheses]], 1) = "'"),
    #VALUE!,
    tblPassengerNames[[#This Row],[InParentheses]]
)</f>
        <v>#VALUE!</v>
      </c>
      <c r="M1030" t="e">
        <f>LEN(tblPassengerNames[[#This Row],[InParenthesesCleaned]]) - LEN(SUBSTITUTE(tblPassengerNames[[#This Row],[InParenthesesCleaned]], " ", ""))</f>
        <v>#VALUE!</v>
      </c>
      <c r="N1030" t="e">
        <f>FIND("@", SUBSTITUTE(tblPassengerNames[[#This Row],[InParenthesesCleaned]], " ", "@", tblPassengerNames[[#This Row],[P_NSpaces]]))</f>
        <v>#VALUE!</v>
      </c>
      <c r="O1030" t="e">
        <f>IF(tblPassengerNames[[#This Row],[P_NSpaces]] = 0,
    tblPassengerNames[[#This Row],[InParenthesesCleaned]],
    LEFT(tblPassengerNames[[#This Row],[InParenthesesCleaned]], tblPassengerNames[[#This Row],[P_FinalSpacePos]] - 1)
)</f>
        <v>#VALUE!</v>
      </c>
      <c r="P1030" t="str">
        <f>IFERROR(tblPassengerNames[[#This Row],[P_Forenames]], tblPassengerNames[[#This Row],[ConvForenames]])</f>
        <v>Leonard Charles</v>
      </c>
      <c r="Q1030" t="str">
        <f>MID(tblPassengerNames[[#This Row],[Name]], tblPassengerNames[[#This Row],[CommaPos]] + 2, tblPassengerNames[[#This Row],[DotPos]] - tblPassengerNames[[#This Row],[CommaPos]] - 1)</f>
        <v>Mr.</v>
      </c>
      <c r="R1030" t="str">
        <f>LEFT(tblPassengerNames[[#This Row],[Name]], tblPassengerNames[[#This Row],[CommaPos]] - 1)</f>
        <v>Moore</v>
      </c>
    </row>
    <row r="1031" spans="2:18" x14ac:dyDescent="0.25">
      <c r="B1031" s="21">
        <v>1029</v>
      </c>
      <c r="C1031" s="21" t="s">
        <v>1163</v>
      </c>
      <c r="D1031" s="21" t="s">
        <v>136</v>
      </c>
      <c r="E1031">
        <f>FIND(",", tblPassengerNames[[#This Row],[Name]])</f>
        <v>6</v>
      </c>
      <c r="F1031">
        <f>FIND(".", tblPassengerNames[[#This Row],[Name]])</f>
        <v>12</v>
      </c>
      <c r="G1031" t="e">
        <f>FIND("(", tblPassengerNames[[#This Row],[Name]])</f>
        <v>#VALUE!</v>
      </c>
      <c r="H1031" t="e">
        <f>FIND(")", tblPassengerNames[[#This Row],[Name]])</f>
        <v>#VALUE!</v>
      </c>
      <c r="I1031">
        <f>IFERROR(tblPassengerNames[[#This Row],[OpenParPos]] - 2, LEN(tblPassengerNames[[#This Row],[Name]]))</f>
        <v>19</v>
      </c>
      <c r="J1031" t="str">
        <f>MID(tblPassengerNames[[#This Row],[Name]], tblPassengerNames[[#This Row],[DotPos]] + 2, tblPassengerNames[[#This Row],[EndOfConvFNPos]] - tblPassengerNames[[#This Row],[DotPos]] - 1)</f>
        <v>Bertha</v>
      </c>
      <c r="K1031" t="e">
        <f>MID(tblPassengerNames[[#This Row],[Name]], tblPassengerNames[[#This Row],[OpenParPos]] + 1, tblPassengerNames[[#This Row],[CloseParPos]] - tblPassengerNames[[#This Row],[OpenParPos]] - 1)</f>
        <v>#VALUE!</v>
      </c>
      <c r="L1031" t="e">
        <f>IF(AND(LEFT(tblPassengerNames[[#This Row],[InParentheses]], 1) = "'", RIGHT(tblPassengerNames[[#This Row],[InParentheses]], 1) = "'"),
    #VALUE!,
    tblPassengerNames[[#This Row],[InParentheses]]
)</f>
        <v>#VALUE!</v>
      </c>
      <c r="M1031" t="e">
        <f>LEN(tblPassengerNames[[#This Row],[InParenthesesCleaned]]) - LEN(SUBSTITUTE(tblPassengerNames[[#This Row],[InParenthesesCleaned]], " ", ""))</f>
        <v>#VALUE!</v>
      </c>
      <c r="N1031" t="e">
        <f>FIND("@", SUBSTITUTE(tblPassengerNames[[#This Row],[InParenthesesCleaned]], " ", "@", tblPassengerNames[[#This Row],[P_NSpaces]]))</f>
        <v>#VALUE!</v>
      </c>
      <c r="O1031" t="e">
        <f>IF(tblPassengerNames[[#This Row],[P_NSpaces]] = 0,
    tblPassengerNames[[#This Row],[InParenthesesCleaned]],
    LEFT(tblPassengerNames[[#This Row],[InParenthesesCleaned]], tblPassengerNames[[#This Row],[P_FinalSpacePos]] - 1)
)</f>
        <v>#VALUE!</v>
      </c>
      <c r="P1031" t="str">
        <f>IFERROR(tblPassengerNames[[#This Row],[P_Forenames]], tblPassengerNames[[#This Row],[ConvForenames]])</f>
        <v>Bertha</v>
      </c>
      <c r="Q1031" t="str">
        <f>MID(tblPassengerNames[[#This Row],[Name]], tblPassengerNames[[#This Row],[CommaPos]] + 2, tblPassengerNames[[#This Row],[DotPos]] - tblPassengerNames[[#This Row],[CommaPos]] - 1)</f>
        <v>Miss.</v>
      </c>
      <c r="R1031" t="str">
        <f>LEFT(tblPassengerNames[[#This Row],[Name]], tblPassengerNames[[#This Row],[CommaPos]] - 1)</f>
        <v>Moran</v>
      </c>
    </row>
    <row r="1032" spans="2:18" x14ac:dyDescent="0.25">
      <c r="B1032" s="21">
        <v>1030</v>
      </c>
      <c r="C1032" s="21" t="s">
        <v>1164</v>
      </c>
      <c r="D1032" s="21" t="s">
        <v>138</v>
      </c>
      <c r="E1032">
        <f>FIND(",", tblPassengerNames[[#This Row],[Name]])</f>
        <v>6</v>
      </c>
      <c r="F1032">
        <f>FIND(".", tblPassengerNames[[#This Row],[Name]])</f>
        <v>10</v>
      </c>
      <c r="G1032" t="e">
        <f>FIND("(", tblPassengerNames[[#This Row],[Name]])</f>
        <v>#VALUE!</v>
      </c>
      <c r="H1032" t="e">
        <f>FIND(")", tblPassengerNames[[#This Row],[Name]])</f>
        <v>#VALUE!</v>
      </c>
      <c r="I1032">
        <f>IFERROR(tblPassengerNames[[#This Row],[OpenParPos]] - 2, LEN(tblPassengerNames[[#This Row],[Name]]))</f>
        <v>19</v>
      </c>
      <c r="J1032" t="str">
        <f>MID(tblPassengerNames[[#This Row],[Name]], tblPassengerNames[[#This Row],[DotPos]] + 2, tblPassengerNames[[#This Row],[EndOfConvFNPos]] - tblPassengerNames[[#This Row],[DotPos]] - 1)</f>
        <v>Daniel J</v>
      </c>
      <c r="K1032" t="e">
        <f>MID(tblPassengerNames[[#This Row],[Name]], tblPassengerNames[[#This Row],[OpenParPos]] + 1, tblPassengerNames[[#This Row],[CloseParPos]] - tblPassengerNames[[#This Row],[OpenParPos]] - 1)</f>
        <v>#VALUE!</v>
      </c>
      <c r="L1032" t="e">
        <f>IF(AND(LEFT(tblPassengerNames[[#This Row],[InParentheses]], 1) = "'", RIGHT(tblPassengerNames[[#This Row],[InParentheses]], 1) = "'"),
    #VALUE!,
    tblPassengerNames[[#This Row],[InParentheses]]
)</f>
        <v>#VALUE!</v>
      </c>
      <c r="M1032" t="e">
        <f>LEN(tblPassengerNames[[#This Row],[InParenthesesCleaned]]) - LEN(SUBSTITUTE(tblPassengerNames[[#This Row],[InParenthesesCleaned]], " ", ""))</f>
        <v>#VALUE!</v>
      </c>
      <c r="N1032" t="e">
        <f>FIND("@", SUBSTITUTE(tblPassengerNames[[#This Row],[InParenthesesCleaned]], " ", "@", tblPassengerNames[[#This Row],[P_NSpaces]]))</f>
        <v>#VALUE!</v>
      </c>
      <c r="O1032" t="e">
        <f>IF(tblPassengerNames[[#This Row],[P_NSpaces]] = 0,
    tblPassengerNames[[#This Row],[InParenthesesCleaned]],
    LEFT(tblPassengerNames[[#This Row],[InParenthesesCleaned]], tblPassengerNames[[#This Row],[P_FinalSpacePos]] - 1)
)</f>
        <v>#VALUE!</v>
      </c>
      <c r="P1032" t="str">
        <f>IFERROR(tblPassengerNames[[#This Row],[P_Forenames]], tblPassengerNames[[#This Row],[ConvForenames]])</f>
        <v>Daniel J</v>
      </c>
      <c r="Q1032" t="str">
        <f>MID(tblPassengerNames[[#This Row],[Name]], tblPassengerNames[[#This Row],[CommaPos]] + 2, tblPassengerNames[[#This Row],[DotPos]] - tblPassengerNames[[#This Row],[CommaPos]] - 1)</f>
        <v>Mr.</v>
      </c>
      <c r="R1032" t="str">
        <f>LEFT(tblPassengerNames[[#This Row],[Name]], tblPassengerNames[[#This Row],[CommaPos]] - 1)</f>
        <v>Moran</v>
      </c>
    </row>
    <row r="1033" spans="2:18" x14ac:dyDescent="0.25">
      <c r="B1033" s="21">
        <v>1031</v>
      </c>
      <c r="C1033" s="21" t="s">
        <v>1165</v>
      </c>
      <c r="D1033" s="21" t="s">
        <v>138</v>
      </c>
      <c r="E1033">
        <f>FIND(",", tblPassengerNames[[#This Row],[Name]])</f>
        <v>6</v>
      </c>
      <c r="F1033">
        <f>FIND(".", tblPassengerNames[[#This Row],[Name]])</f>
        <v>10</v>
      </c>
      <c r="G1033" t="e">
        <f>FIND("(", tblPassengerNames[[#This Row],[Name]])</f>
        <v>#VALUE!</v>
      </c>
      <c r="H1033" t="e">
        <f>FIND(")", tblPassengerNames[[#This Row],[Name]])</f>
        <v>#VALUE!</v>
      </c>
      <c r="I1033">
        <f>IFERROR(tblPassengerNames[[#This Row],[OpenParPos]] - 2, LEN(tblPassengerNames[[#This Row],[Name]]))</f>
        <v>16</v>
      </c>
      <c r="J1033" t="str">
        <f>MID(tblPassengerNames[[#This Row],[Name]], tblPassengerNames[[#This Row],[DotPos]] + 2, tblPassengerNames[[#This Row],[EndOfConvFNPos]] - tblPassengerNames[[#This Row],[DotPos]] - 1)</f>
        <v>James</v>
      </c>
      <c r="K1033" t="e">
        <f>MID(tblPassengerNames[[#This Row],[Name]], tblPassengerNames[[#This Row],[OpenParPos]] + 1, tblPassengerNames[[#This Row],[CloseParPos]] - tblPassengerNames[[#This Row],[OpenParPos]] - 1)</f>
        <v>#VALUE!</v>
      </c>
      <c r="L1033" t="e">
        <f>IF(AND(LEFT(tblPassengerNames[[#This Row],[InParentheses]], 1) = "'", RIGHT(tblPassengerNames[[#This Row],[InParentheses]], 1) = "'"),
    #VALUE!,
    tblPassengerNames[[#This Row],[InParentheses]]
)</f>
        <v>#VALUE!</v>
      </c>
      <c r="M1033" t="e">
        <f>LEN(tblPassengerNames[[#This Row],[InParenthesesCleaned]]) - LEN(SUBSTITUTE(tblPassengerNames[[#This Row],[InParenthesesCleaned]], " ", ""))</f>
        <v>#VALUE!</v>
      </c>
      <c r="N1033" t="e">
        <f>FIND("@", SUBSTITUTE(tblPassengerNames[[#This Row],[InParenthesesCleaned]], " ", "@", tblPassengerNames[[#This Row],[P_NSpaces]]))</f>
        <v>#VALUE!</v>
      </c>
      <c r="O1033" t="e">
        <f>IF(tblPassengerNames[[#This Row],[P_NSpaces]] = 0,
    tblPassengerNames[[#This Row],[InParenthesesCleaned]],
    LEFT(tblPassengerNames[[#This Row],[InParenthesesCleaned]], tblPassengerNames[[#This Row],[P_FinalSpacePos]] - 1)
)</f>
        <v>#VALUE!</v>
      </c>
      <c r="P1033" t="str">
        <f>IFERROR(tblPassengerNames[[#This Row],[P_Forenames]], tblPassengerNames[[#This Row],[ConvForenames]])</f>
        <v>James</v>
      </c>
      <c r="Q1033" t="str">
        <f>MID(tblPassengerNames[[#This Row],[Name]], tblPassengerNames[[#This Row],[CommaPos]] + 2, tblPassengerNames[[#This Row],[DotPos]] - tblPassengerNames[[#This Row],[CommaPos]] - 1)</f>
        <v>Mr.</v>
      </c>
      <c r="R1033" t="str">
        <f>LEFT(tblPassengerNames[[#This Row],[Name]], tblPassengerNames[[#This Row],[CommaPos]] - 1)</f>
        <v>Moran</v>
      </c>
    </row>
    <row r="1034" spans="2:18" x14ac:dyDescent="0.25">
      <c r="B1034" s="21">
        <v>1032</v>
      </c>
      <c r="C1034" s="21" t="s">
        <v>1166</v>
      </c>
      <c r="D1034" s="21" t="s">
        <v>138</v>
      </c>
      <c r="E1034">
        <f>FIND(",", tblPassengerNames[[#This Row],[Name]])</f>
        <v>7</v>
      </c>
      <c r="F1034">
        <f>FIND(".", tblPassengerNames[[#This Row],[Name]])</f>
        <v>11</v>
      </c>
      <c r="G1034" t="e">
        <f>FIND("(", tblPassengerNames[[#This Row],[Name]])</f>
        <v>#VALUE!</v>
      </c>
      <c r="H1034" t="e">
        <f>FIND(")", tblPassengerNames[[#This Row],[Name]])</f>
        <v>#VALUE!</v>
      </c>
      <c r="I1034">
        <f>IFERROR(tblPassengerNames[[#This Row],[OpenParPos]] - 2, LEN(tblPassengerNames[[#This Row],[Name]]))</f>
        <v>19</v>
      </c>
      <c r="J1034" t="str">
        <f>MID(tblPassengerNames[[#This Row],[Name]], tblPassengerNames[[#This Row],[DotPos]] + 2, tblPassengerNames[[#This Row],[EndOfConvFNPos]] - tblPassengerNames[[#This Row],[DotPos]] - 1)</f>
        <v>William</v>
      </c>
      <c r="K1034" t="e">
        <f>MID(tblPassengerNames[[#This Row],[Name]], tblPassengerNames[[#This Row],[OpenParPos]] + 1, tblPassengerNames[[#This Row],[CloseParPos]] - tblPassengerNames[[#This Row],[OpenParPos]] - 1)</f>
        <v>#VALUE!</v>
      </c>
      <c r="L1034" t="e">
        <f>IF(AND(LEFT(tblPassengerNames[[#This Row],[InParentheses]], 1) = "'", RIGHT(tblPassengerNames[[#This Row],[InParentheses]], 1) = "'"),
    #VALUE!,
    tblPassengerNames[[#This Row],[InParentheses]]
)</f>
        <v>#VALUE!</v>
      </c>
      <c r="M1034" t="e">
        <f>LEN(tblPassengerNames[[#This Row],[InParenthesesCleaned]]) - LEN(SUBSTITUTE(tblPassengerNames[[#This Row],[InParenthesesCleaned]], " ", ""))</f>
        <v>#VALUE!</v>
      </c>
      <c r="N1034" t="e">
        <f>FIND("@", SUBSTITUTE(tblPassengerNames[[#This Row],[InParenthesesCleaned]], " ", "@", tblPassengerNames[[#This Row],[P_NSpaces]]))</f>
        <v>#VALUE!</v>
      </c>
      <c r="O1034" t="e">
        <f>IF(tblPassengerNames[[#This Row],[P_NSpaces]] = 0,
    tblPassengerNames[[#This Row],[InParenthesesCleaned]],
    LEFT(tblPassengerNames[[#This Row],[InParenthesesCleaned]], tblPassengerNames[[#This Row],[P_FinalSpacePos]] - 1)
)</f>
        <v>#VALUE!</v>
      </c>
      <c r="P1034" t="str">
        <f>IFERROR(tblPassengerNames[[#This Row],[P_Forenames]], tblPassengerNames[[#This Row],[ConvForenames]])</f>
        <v>William</v>
      </c>
      <c r="Q1034" t="str">
        <f>MID(tblPassengerNames[[#This Row],[Name]], tblPassengerNames[[#This Row],[CommaPos]] + 2, tblPassengerNames[[#This Row],[DotPos]] - tblPassengerNames[[#This Row],[CommaPos]] - 1)</f>
        <v>Mr.</v>
      </c>
      <c r="R1034" t="str">
        <f>LEFT(tblPassengerNames[[#This Row],[Name]], tblPassengerNames[[#This Row],[CommaPos]] - 1)</f>
        <v>Morley</v>
      </c>
    </row>
    <row r="1035" spans="2:18" x14ac:dyDescent="0.25">
      <c r="B1035" s="21">
        <v>1033</v>
      </c>
      <c r="C1035" s="21" t="s">
        <v>1167</v>
      </c>
      <c r="D1035" s="21" t="s">
        <v>138</v>
      </c>
      <c r="E1035">
        <f>FIND(",", tblPassengerNames[[#This Row],[Name]])</f>
        <v>7</v>
      </c>
      <c r="F1035">
        <f>FIND(".", tblPassengerNames[[#This Row],[Name]])</f>
        <v>11</v>
      </c>
      <c r="G1035" t="e">
        <f>FIND("(", tblPassengerNames[[#This Row],[Name]])</f>
        <v>#VALUE!</v>
      </c>
      <c r="H1035" t="e">
        <f>FIND(")", tblPassengerNames[[#This Row],[Name]])</f>
        <v>#VALUE!</v>
      </c>
      <c r="I1035">
        <f>IFERROR(tblPassengerNames[[#This Row],[OpenParPos]] - 2, LEN(tblPassengerNames[[#This Row],[Name]]))</f>
        <v>24</v>
      </c>
      <c r="J1035" t="str">
        <f>MID(tblPassengerNames[[#This Row],[Name]], tblPassengerNames[[#This Row],[DotPos]] + 2, tblPassengerNames[[#This Row],[EndOfConvFNPos]] - tblPassengerNames[[#This Row],[DotPos]] - 1)</f>
        <v>Thomas Rowan</v>
      </c>
      <c r="K1035" t="e">
        <f>MID(tblPassengerNames[[#This Row],[Name]], tblPassengerNames[[#This Row],[OpenParPos]] + 1, tblPassengerNames[[#This Row],[CloseParPos]] - tblPassengerNames[[#This Row],[OpenParPos]] - 1)</f>
        <v>#VALUE!</v>
      </c>
      <c r="L1035" t="e">
        <f>IF(AND(LEFT(tblPassengerNames[[#This Row],[InParentheses]], 1) = "'", RIGHT(tblPassengerNames[[#This Row],[InParentheses]], 1) = "'"),
    #VALUE!,
    tblPassengerNames[[#This Row],[InParentheses]]
)</f>
        <v>#VALUE!</v>
      </c>
      <c r="M1035" t="e">
        <f>LEN(tblPassengerNames[[#This Row],[InParenthesesCleaned]]) - LEN(SUBSTITUTE(tblPassengerNames[[#This Row],[InParenthesesCleaned]], " ", ""))</f>
        <v>#VALUE!</v>
      </c>
      <c r="N1035" t="e">
        <f>FIND("@", SUBSTITUTE(tblPassengerNames[[#This Row],[InParenthesesCleaned]], " ", "@", tblPassengerNames[[#This Row],[P_NSpaces]]))</f>
        <v>#VALUE!</v>
      </c>
      <c r="O1035" t="e">
        <f>IF(tblPassengerNames[[#This Row],[P_NSpaces]] = 0,
    tblPassengerNames[[#This Row],[InParenthesesCleaned]],
    LEFT(tblPassengerNames[[#This Row],[InParenthesesCleaned]], tblPassengerNames[[#This Row],[P_FinalSpacePos]] - 1)
)</f>
        <v>#VALUE!</v>
      </c>
      <c r="P1035" t="str">
        <f>IFERROR(tblPassengerNames[[#This Row],[P_Forenames]], tblPassengerNames[[#This Row],[ConvForenames]])</f>
        <v>Thomas Rowan</v>
      </c>
      <c r="Q1035" t="str">
        <f>MID(tblPassengerNames[[#This Row],[Name]], tblPassengerNames[[#This Row],[CommaPos]] + 2, tblPassengerNames[[#This Row],[DotPos]] - tblPassengerNames[[#This Row],[CommaPos]] - 1)</f>
        <v>Mr.</v>
      </c>
      <c r="R1035" t="str">
        <f>LEFT(tblPassengerNames[[#This Row],[Name]], tblPassengerNames[[#This Row],[CommaPos]] - 1)</f>
        <v>Morrow</v>
      </c>
    </row>
    <row r="1036" spans="2:18" x14ac:dyDescent="0.25">
      <c r="B1036" s="21">
        <v>1034</v>
      </c>
      <c r="C1036" s="21" t="s">
        <v>1168</v>
      </c>
      <c r="D1036" s="21" t="s">
        <v>138</v>
      </c>
      <c r="E1036">
        <f>FIND(",", tblPassengerNames[[#This Row],[Name]])</f>
        <v>5</v>
      </c>
      <c r="F1036">
        <f>FIND(".", tblPassengerNames[[#This Row],[Name]])</f>
        <v>9</v>
      </c>
      <c r="G1036" t="e">
        <f>FIND("(", tblPassengerNames[[#This Row],[Name]])</f>
        <v>#VALUE!</v>
      </c>
      <c r="H1036" t="e">
        <f>FIND(")", tblPassengerNames[[#This Row],[Name]])</f>
        <v>#VALUE!</v>
      </c>
      <c r="I1036">
        <f>IFERROR(tblPassengerNames[[#This Row],[OpenParPos]] - 2, LEN(tblPassengerNames[[#This Row],[Name]]))</f>
        <v>22</v>
      </c>
      <c r="J1036" t="str">
        <f>MID(tblPassengerNames[[#This Row],[Name]], tblPassengerNames[[#This Row],[DotPos]] + 2, tblPassengerNames[[#This Row],[EndOfConvFNPos]] - tblPassengerNames[[#This Row],[DotPos]] - 1)</f>
        <v>Albert Johan</v>
      </c>
      <c r="K1036" t="e">
        <f>MID(tblPassengerNames[[#This Row],[Name]], tblPassengerNames[[#This Row],[OpenParPos]] + 1, tblPassengerNames[[#This Row],[CloseParPos]] - tblPassengerNames[[#This Row],[OpenParPos]] - 1)</f>
        <v>#VALUE!</v>
      </c>
      <c r="L1036" t="e">
        <f>IF(AND(LEFT(tblPassengerNames[[#This Row],[InParentheses]], 1) = "'", RIGHT(tblPassengerNames[[#This Row],[InParentheses]], 1) = "'"),
    #VALUE!,
    tblPassengerNames[[#This Row],[InParentheses]]
)</f>
        <v>#VALUE!</v>
      </c>
      <c r="M1036" t="e">
        <f>LEN(tblPassengerNames[[#This Row],[InParenthesesCleaned]]) - LEN(SUBSTITUTE(tblPassengerNames[[#This Row],[InParenthesesCleaned]], " ", ""))</f>
        <v>#VALUE!</v>
      </c>
      <c r="N1036" t="e">
        <f>FIND("@", SUBSTITUTE(tblPassengerNames[[#This Row],[InParenthesesCleaned]], " ", "@", tblPassengerNames[[#This Row],[P_NSpaces]]))</f>
        <v>#VALUE!</v>
      </c>
      <c r="O1036" t="e">
        <f>IF(tblPassengerNames[[#This Row],[P_NSpaces]] = 0,
    tblPassengerNames[[#This Row],[InParenthesesCleaned]],
    LEFT(tblPassengerNames[[#This Row],[InParenthesesCleaned]], tblPassengerNames[[#This Row],[P_FinalSpacePos]] - 1)
)</f>
        <v>#VALUE!</v>
      </c>
      <c r="P1036" t="str">
        <f>IFERROR(tblPassengerNames[[#This Row],[P_Forenames]], tblPassengerNames[[#This Row],[ConvForenames]])</f>
        <v>Albert Johan</v>
      </c>
      <c r="Q1036" t="str">
        <f>MID(tblPassengerNames[[#This Row],[Name]], tblPassengerNames[[#This Row],[CommaPos]] + 2, tblPassengerNames[[#This Row],[DotPos]] - tblPassengerNames[[#This Row],[CommaPos]] - 1)</f>
        <v>Mr.</v>
      </c>
      <c r="R1036" t="str">
        <f>LEFT(tblPassengerNames[[#This Row],[Name]], tblPassengerNames[[#This Row],[CommaPos]] - 1)</f>
        <v>Moss</v>
      </c>
    </row>
    <row r="1037" spans="2:18" x14ac:dyDescent="0.25">
      <c r="B1037" s="21">
        <v>1035</v>
      </c>
      <c r="C1037" s="21" t="s">
        <v>1169</v>
      </c>
      <c r="D1037" s="21" t="s">
        <v>138</v>
      </c>
      <c r="E1037">
        <f>FIND(",", tblPassengerNames[[#This Row],[Name]])</f>
        <v>9</v>
      </c>
      <c r="F1037">
        <f>FIND(".", tblPassengerNames[[#This Row],[Name]])</f>
        <v>17</v>
      </c>
      <c r="G1037" t="e">
        <f>FIND("(", tblPassengerNames[[#This Row],[Name]])</f>
        <v>#VALUE!</v>
      </c>
      <c r="H1037" t="e">
        <f>FIND(")", tblPassengerNames[[#This Row],[Name]])</f>
        <v>#VALUE!</v>
      </c>
      <c r="I1037">
        <f>IFERROR(tblPassengerNames[[#This Row],[OpenParPos]] - 2, LEN(tblPassengerNames[[#This Row],[Name]]))</f>
        <v>24</v>
      </c>
      <c r="J1037" t="str">
        <f>MID(tblPassengerNames[[#This Row],[Name]], tblPassengerNames[[#This Row],[DotPos]] + 2, tblPassengerNames[[#This Row],[EndOfConvFNPos]] - tblPassengerNames[[#This Row],[DotPos]] - 1)</f>
        <v>Gerios</v>
      </c>
      <c r="K1037" t="e">
        <f>MID(tblPassengerNames[[#This Row],[Name]], tblPassengerNames[[#This Row],[OpenParPos]] + 1, tblPassengerNames[[#This Row],[CloseParPos]] - tblPassengerNames[[#This Row],[OpenParPos]] - 1)</f>
        <v>#VALUE!</v>
      </c>
      <c r="L1037" t="e">
        <f>IF(AND(LEFT(tblPassengerNames[[#This Row],[InParentheses]], 1) = "'", RIGHT(tblPassengerNames[[#This Row],[InParentheses]], 1) = "'"),
    #VALUE!,
    tblPassengerNames[[#This Row],[InParentheses]]
)</f>
        <v>#VALUE!</v>
      </c>
      <c r="M1037" t="e">
        <f>LEN(tblPassengerNames[[#This Row],[InParenthesesCleaned]]) - LEN(SUBSTITUTE(tblPassengerNames[[#This Row],[InParenthesesCleaned]], " ", ""))</f>
        <v>#VALUE!</v>
      </c>
      <c r="N1037" t="e">
        <f>FIND("@", SUBSTITUTE(tblPassengerNames[[#This Row],[InParenthesesCleaned]], " ", "@", tblPassengerNames[[#This Row],[P_NSpaces]]))</f>
        <v>#VALUE!</v>
      </c>
      <c r="O1037" t="e">
        <f>IF(tblPassengerNames[[#This Row],[P_NSpaces]] = 0,
    tblPassengerNames[[#This Row],[InParenthesesCleaned]],
    LEFT(tblPassengerNames[[#This Row],[InParenthesesCleaned]], tblPassengerNames[[#This Row],[P_FinalSpacePos]] - 1)
)</f>
        <v>#VALUE!</v>
      </c>
      <c r="P1037" t="str">
        <f>IFERROR(tblPassengerNames[[#This Row],[P_Forenames]], tblPassengerNames[[#This Row],[ConvForenames]])</f>
        <v>Gerios</v>
      </c>
      <c r="Q1037" t="str">
        <f>MID(tblPassengerNames[[#This Row],[Name]], tblPassengerNames[[#This Row],[CommaPos]] + 2, tblPassengerNames[[#This Row],[DotPos]] - tblPassengerNames[[#This Row],[CommaPos]] - 1)</f>
        <v>Master.</v>
      </c>
      <c r="R1037" t="str">
        <f>LEFT(tblPassengerNames[[#This Row],[Name]], tblPassengerNames[[#This Row],[CommaPos]] - 1)</f>
        <v>Moubarek</v>
      </c>
    </row>
    <row r="1038" spans="2:18" x14ac:dyDescent="0.25">
      <c r="B1038" s="21">
        <v>1036</v>
      </c>
      <c r="C1038" s="21" t="s">
        <v>1170</v>
      </c>
      <c r="D1038" s="21" t="s">
        <v>138</v>
      </c>
      <c r="E1038">
        <f>FIND(",", tblPassengerNames[[#This Row],[Name]])</f>
        <v>9</v>
      </c>
      <c r="F1038">
        <f>FIND(".", tblPassengerNames[[#This Row],[Name]])</f>
        <v>17</v>
      </c>
      <c r="G1038">
        <f>FIND("(", tblPassengerNames[[#This Row],[Name]])</f>
        <v>32</v>
      </c>
      <c r="H1038">
        <f>FIND(")", tblPassengerNames[[#This Row],[Name]])</f>
        <v>49</v>
      </c>
      <c r="I1038">
        <f>IFERROR(tblPassengerNames[[#This Row],[OpenParPos]] - 2, LEN(tblPassengerNames[[#This Row],[Name]]))</f>
        <v>30</v>
      </c>
      <c r="J1038" t="str">
        <f>MID(tblPassengerNames[[#This Row],[Name]], tblPassengerNames[[#This Row],[DotPos]] + 2, tblPassengerNames[[#This Row],[EndOfConvFNPos]] - tblPassengerNames[[#This Row],[DotPos]] - 1)</f>
        <v>Halim Gonios</v>
      </c>
      <c r="K1038" t="str">
        <f>MID(tblPassengerNames[[#This Row],[Name]], tblPassengerNames[[#This Row],[OpenParPos]] + 1, tblPassengerNames[[#This Row],[CloseParPos]] - tblPassengerNames[[#This Row],[OpenParPos]] - 1)</f>
        <v>'William George'</v>
      </c>
      <c r="L1038" t="e">
        <f>IF(AND(LEFT(tblPassengerNames[[#This Row],[InParentheses]], 1) = "'", RIGHT(tblPassengerNames[[#This Row],[InParentheses]], 1) = "'"),
    #VALUE!,
    tblPassengerNames[[#This Row],[InParentheses]]
)</f>
        <v>#VALUE!</v>
      </c>
      <c r="M1038" t="e">
        <f>LEN(tblPassengerNames[[#This Row],[InParenthesesCleaned]]) - LEN(SUBSTITUTE(tblPassengerNames[[#This Row],[InParenthesesCleaned]], " ", ""))</f>
        <v>#VALUE!</v>
      </c>
      <c r="N1038" t="e">
        <f>FIND("@", SUBSTITUTE(tblPassengerNames[[#This Row],[InParenthesesCleaned]], " ", "@", tblPassengerNames[[#This Row],[P_NSpaces]]))</f>
        <v>#VALUE!</v>
      </c>
      <c r="O1038" t="e">
        <f>IF(tblPassengerNames[[#This Row],[P_NSpaces]] = 0,
    tblPassengerNames[[#This Row],[InParenthesesCleaned]],
    LEFT(tblPassengerNames[[#This Row],[InParenthesesCleaned]], tblPassengerNames[[#This Row],[P_FinalSpacePos]] - 1)
)</f>
        <v>#VALUE!</v>
      </c>
      <c r="P1038" t="str">
        <f>IFERROR(tblPassengerNames[[#This Row],[P_Forenames]], tblPassengerNames[[#This Row],[ConvForenames]])</f>
        <v>Halim Gonios</v>
      </c>
      <c r="Q1038" t="str">
        <f>MID(tblPassengerNames[[#This Row],[Name]], tblPassengerNames[[#This Row],[CommaPos]] + 2, tblPassengerNames[[#This Row],[DotPos]] - tblPassengerNames[[#This Row],[CommaPos]] - 1)</f>
        <v>Master.</v>
      </c>
      <c r="R1038" t="str">
        <f>LEFT(tblPassengerNames[[#This Row],[Name]], tblPassengerNames[[#This Row],[CommaPos]] - 1)</f>
        <v>Moubarek</v>
      </c>
    </row>
    <row r="1039" spans="2:18" x14ac:dyDescent="0.25">
      <c r="B1039" s="21">
        <v>1037</v>
      </c>
      <c r="C1039" s="21" t="s">
        <v>1171</v>
      </c>
      <c r="D1039" s="21" t="s">
        <v>136</v>
      </c>
      <c r="E1039">
        <f>FIND(",", tblPassengerNames[[#This Row],[Name]])</f>
        <v>9</v>
      </c>
      <c r="F1039">
        <f>FIND(".", tblPassengerNames[[#This Row],[Name]])</f>
        <v>14</v>
      </c>
      <c r="G1039">
        <f>FIND("(", tblPassengerNames[[#This Row],[Name]])</f>
        <v>23</v>
      </c>
      <c r="H1039">
        <f>FIND(")", tblPassengerNames[[#This Row],[Name]])</f>
        <v>48</v>
      </c>
      <c r="I1039">
        <f>IFERROR(tblPassengerNames[[#This Row],[OpenParPos]] - 2, LEN(tblPassengerNames[[#This Row],[Name]]))</f>
        <v>21</v>
      </c>
      <c r="J1039" t="str">
        <f>MID(tblPassengerNames[[#This Row],[Name]], tblPassengerNames[[#This Row],[DotPos]] + 2, tblPassengerNames[[#This Row],[EndOfConvFNPos]] - tblPassengerNames[[#This Row],[DotPos]] - 1)</f>
        <v>George</v>
      </c>
      <c r="K1039" t="str">
        <f>MID(tblPassengerNames[[#This Row],[Name]], tblPassengerNames[[#This Row],[OpenParPos]] + 1, tblPassengerNames[[#This Row],[CloseParPos]] - tblPassengerNames[[#This Row],[OpenParPos]] - 1)</f>
        <v>Omine 'Amenia' Alexander</v>
      </c>
      <c r="L1039" t="str">
        <f>IF(AND(LEFT(tblPassengerNames[[#This Row],[InParentheses]], 1) = "'", RIGHT(tblPassengerNames[[#This Row],[InParentheses]], 1) = "'"),
    #VALUE!,
    tblPassengerNames[[#This Row],[InParentheses]]
)</f>
        <v>Omine 'Amenia' Alexander</v>
      </c>
      <c r="M1039">
        <f>LEN(tblPassengerNames[[#This Row],[InParenthesesCleaned]]) - LEN(SUBSTITUTE(tblPassengerNames[[#This Row],[InParenthesesCleaned]], " ", ""))</f>
        <v>2</v>
      </c>
      <c r="N1039">
        <f>FIND("@", SUBSTITUTE(tblPassengerNames[[#This Row],[InParenthesesCleaned]], " ", "@", tblPassengerNames[[#This Row],[P_NSpaces]]))</f>
        <v>15</v>
      </c>
      <c r="O1039" t="str">
        <f>IF(tblPassengerNames[[#This Row],[P_NSpaces]] = 0,
    tblPassengerNames[[#This Row],[InParenthesesCleaned]],
    LEFT(tblPassengerNames[[#This Row],[InParenthesesCleaned]], tblPassengerNames[[#This Row],[P_FinalSpacePos]] - 1)
)</f>
        <v>Omine 'Amenia'</v>
      </c>
      <c r="P1039" t="str">
        <f>IFERROR(tblPassengerNames[[#This Row],[P_Forenames]], tblPassengerNames[[#This Row],[ConvForenames]])</f>
        <v>Omine 'Amenia'</v>
      </c>
      <c r="Q1039" t="str">
        <f>MID(tblPassengerNames[[#This Row],[Name]], tblPassengerNames[[#This Row],[CommaPos]] + 2, tblPassengerNames[[#This Row],[DotPos]] - tblPassengerNames[[#This Row],[CommaPos]] - 1)</f>
        <v>Mrs.</v>
      </c>
      <c r="R1039" t="str">
        <f>LEFT(tblPassengerNames[[#This Row],[Name]], tblPassengerNames[[#This Row],[CommaPos]] - 1)</f>
        <v>Moubarek</v>
      </c>
    </row>
    <row r="1040" spans="2:18" x14ac:dyDescent="0.25">
      <c r="B1040" s="21">
        <v>1038</v>
      </c>
      <c r="C1040" s="21" t="s">
        <v>1172</v>
      </c>
      <c r="D1040" s="21" t="s">
        <v>136</v>
      </c>
      <c r="E1040">
        <f>FIND(",", tblPassengerNames[[#This Row],[Name]])</f>
        <v>7</v>
      </c>
      <c r="F1040">
        <f>FIND(".", tblPassengerNames[[#This Row],[Name]])</f>
        <v>12</v>
      </c>
      <c r="G1040">
        <f>FIND("(", tblPassengerNames[[#This Row],[Name]])</f>
        <v>14</v>
      </c>
      <c r="H1040">
        <f>FIND(")", tblPassengerNames[[#This Row],[Name]])</f>
        <v>30</v>
      </c>
      <c r="I1040">
        <f>IFERROR(tblPassengerNames[[#This Row],[OpenParPos]] - 2, LEN(tblPassengerNames[[#This Row],[Name]]))</f>
        <v>12</v>
      </c>
      <c r="J1040" t="e">
        <f>MID(tblPassengerNames[[#This Row],[Name]], tblPassengerNames[[#This Row],[DotPos]] + 2, tblPassengerNames[[#This Row],[EndOfConvFNPos]] - tblPassengerNames[[#This Row],[DotPos]] - 1)</f>
        <v>#VALUE!</v>
      </c>
      <c r="K1040" t="str">
        <f>MID(tblPassengerNames[[#This Row],[Name]], tblPassengerNames[[#This Row],[OpenParPos]] + 1, tblPassengerNames[[#This Row],[CloseParPos]] - tblPassengerNames[[#This Row],[OpenParPos]] - 1)</f>
        <v>Mantoura Boulos</v>
      </c>
      <c r="L1040" t="str">
        <f>IF(AND(LEFT(tblPassengerNames[[#This Row],[InParentheses]], 1) = "'", RIGHT(tblPassengerNames[[#This Row],[InParentheses]], 1) = "'"),
    #VALUE!,
    tblPassengerNames[[#This Row],[InParentheses]]
)</f>
        <v>Mantoura Boulos</v>
      </c>
      <c r="M1040">
        <f>LEN(tblPassengerNames[[#This Row],[InParenthesesCleaned]]) - LEN(SUBSTITUTE(tblPassengerNames[[#This Row],[InParenthesesCleaned]], " ", ""))</f>
        <v>1</v>
      </c>
      <c r="N1040">
        <f>FIND("@", SUBSTITUTE(tblPassengerNames[[#This Row],[InParenthesesCleaned]], " ", "@", tblPassengerNames[[#This Row],[P_NSpaces]]))</f>
        <v>9</v>
      </c>
      <c r="O1040" t="str">
        <f>IF(tblPassengerNames[[#This Row],[P_NSpaces]] = 0,
    tblPassengerNames[[#This Row],[InParenthesesCleaned]],
    LEFT(tblPassengerNames[[#This Row],[InParenthesesCleaned]], tblPassengerNames[[#This Row],[P_FinalSpacePos]] - 1)
)</f>
        <v>Mantoura</v>
      </c>
      <c r="P1040" t="str">
        <f>IFERROR(tblPassengerNames[[#This Row],[P_Forenames]], tblPassengerNames[[#This Row],[ConvForenames]])</f>
        <v>Mantoura</v>
      </c>
      <c r="Q1040" t="str">
        <f>MID(tblPassengerNames[[#This Row],[Name]], tblPassengerNames[[#This Row],[CommaPos]] + 2, tblPassengerNames[[#This Row],[DotPos]] - tblPassengerNames[[#This Row],[CommaPos]] - 1)</f>
        <v>Mrs.</v>
      </c>
      <c r="R1040" t="str">
        <f>LEFT(tblPassengerNames[[#This Row],[Name]], tblPassengerNames[[#This Row],[CommaPos]] - 1)</f>
        <v>Moussa</v>
      </c>
    </row>
    <row r="1041" spans="2:18" x14ac:dyDescent="0.25">
      <c r="B1041" s="21">
        <v>1039</v>
      </c>
      <c r="C1041" s="21" t="s">
        <v>1173</v>
      </c>
      <c r="D1041" s="21" t="s">
        <v>138</v>
      </c>
      <c r="E1041">
        <f>FIND(",", tblPassengerNames[[#This Row],[Name]])</f>
        <v>7</v>
      </c>
      <c r="F1041">
        <f>FIND(".", tblPassengerNames[[#This Row],[Name]])</f>
        <v>11</v>
      </c>
      <c r="G1041" t="e">
        <f>FIND("(", tblPassengerNames[[#This Row],[Name]])</f>
        <v>#VALUE!</v>
      </c>
      <c r="H1041" t="e">
        <f>FIND(")", tblPassengerNames[[#This Row],[Name]])</f>
        <v>#VALUE!</v>
      </c>
      <c r="I1041">
        <f>IFERROR(tblPassengerNames[[#This Row],[OpenParPos]] - 2, LEN(tblPassengerNames[[#This Row],[Name]]))</f>
        <v>24</v>
      </c>
      <c r="J1041" t="str">
        <f>MID(tblPassengerNames[[#This Row],[Name]], tblPassengerNames[[#This Row],[DotPos]] + 2, tblPassengerNames[[#This Row],[EndOfConvFNPos]] - tblPassengerNames[[#This Row],[DotPos]] - 1)</f>
        <v>Rahamin Haim</v>
      </c>
      <c r="K1041" t="e">
        <f>MID(tblPassengerNames[[#This Row],[Name]], tblPassengerNames[[#This Row],[OpenParPos]] + 1, tblPassengerNames[[#This Row],[CloseParPos]] - tblPassengerNames[[#This Row],[OpenParPos]] - 1)</f>
        <v>#VALUE!</v>
      </c>
      <c r="L1041" t="e">
        <f>IF(AND(LEFT(tblPassengerNames[[#This Row],[InParentheses]], 1) = "'", RIGHT(tblPassengerNames[[#This Row],[InParentheses]], 1) = "'"),
    #VALUE!,
    tblPassengerNames[[#This Row],[InParentheses]]
)</f>
        <v>#VALUE!</v>
      </c>
      <c r="M1041" t="e">
        <f>LEN(tblPassengerNames[[#This Row],[InParenthesesCleaned]]) - LEN(SUBSTITUTE(tblPassengerNames[[#This Row],[InParenthesesCleaned]], " ", ""))</f>
        <v>#VALUE!</v>
      </c>
      <c r="N1041" t="e">
        <f>FIND("@", SUBSTITUTE(tblPassengerNames[[#This Row],[InParenthesesCleaned]], " ", "@", tblPassengerNames[[#This Row],[P_NSpaces]]))</f>
        <v>#VALUE!</v>
      </c>
      <c r="O1041" t="e">
        <f>IF(tblPassengerNames[[#This Row],[P_NSpaces]] = 0,
    tblPassengerNames[[#This Row],[InParenthesesCleaned]],
    LEFT(tblPassengerNames[[#This Row],[InParenthesesCleaned]], tblPassengerNames[[#This Row],[P_FinalSpacePos]] - 1)
)</f>
        <v>#VALUE!</v>
      </c>
      <c r="P1041" t="str">
        <f>IFERROR(tblPassengerNames[[#This Row],[P_Forenames]], tblPassengerNames[[#This Row],[ConvForenames]])</f>
        <v>Rahamin Haim</v>
      </c>
      <c r="Q1041" t="str">
        <f>MID(tblPassengerNames[[#This Row],[Name]], tblPassengerNames[[#This Row],[CommaPos]] + 2, tblPassengerNames[[#This Row],[DotPos]] - tblPassengerNames[[#This Row],[CommaPos]] - 1)</f>
        <v>Mr.</v>
      </c>
      <c r="R1041" t="str">
        <f>LEFT(tblPassengerNames[[#This Row],[Name]], tblPassengerNames[[#This Row],[CommaPos]] - 1)</f>
        <v>Moutal</v>
      </c>
    </row>
    <row r="1042" spans="2:18" x14ac:dyDescent="0.25">
      <c r="B1042" s="21">
        <v>1040</v>
      </c>
      <c r="C1042" s="21" t="s">
        <v>1174</v>
      </c>
      <c r="D1042" s="21" t="s">
        <v>136</v>
      </c>
      <c r="E1042">
        <f>FIND(",", tblPassengerNames[[#This Row],[Name]])</f>
        <v>8</v>
      </c>
      <c r="F1042">
        <f>FIND(".", tblPassengerNames[[#This Row],[Name]])</f>
        <v>14</v>
      </c>
      <c r="G1042" t="e">
        <f>FIND("(", tblPassengerNames[[#This Row],[Name]])</f>
        <v>#VALUE!</v>
      </c>
      <c r="H1042" t="e">
        <f>FIND(")", tblPassengerNames[[#This Row],[Name]])</f>
        <v>#VALUE!</v>
      </c>
      <c r="I1042">
        <f>IFERROR(tblPassengerNames[[#This Row],[OpenParPos]] - 2, LEN(tblPassengerNames[[#This Row],[Name]]))</f>
        <v>32</v>
      </c>
      <c r="J1042" t="str">
        <f>MID(tblPassengerNames[[#This Row],[Name]], tblPassengerNames[[#This Row],[DotPos]] + 2, tblPassengerNames[[#This Row],[EndOfConvFNPos]] - tblPassengerNames[[#This Row],[DotPos]] - 1)</f>
        <v>Katherine 'Katie'</v>
      </c>
      <c r="K1042" t="e">
        <f>MID(tblPassengerNames[[#This Row],[Name]], tblPassengerNames[[#This Row],[OpenParPos]] + 1, tblPassengerNames[[#This Row],[CloseParPos]] - tblPassengerNames[[#This Row],[OpenParPos]] - 1)</f>
        <v>#VALUE!</v>
      </c>
      <c r="L1042" t="e">
        <f>IF(AND(LEFT(tblPassengerNames[[#This Row],[InParentheses]], 1) = "'", RIGHT(tblPassengerNames[[#This Row],[InParentheses]], 1) = "'"),
    #VALUE!,
    tblPassengerNames[[#This Row],[InParentheses]]
)</f>
        <v>#VALUE!</v>
      </c>
      <c r="M1042" t="e">
        <f>LEN(tblPassengerNames[[#This Row],[InParenthesesCleaned]]) - LEN(SUBSTITUTE(tblPassengerNames[[#This Row],[InParenthesesCleaned]], " ", ""))</f>
        <v>#VALUE!</v>
      </c>
      <c r="N1042" t="e">
        <f>FIND("@", SUBSTITUTE(tblPassengerNames[[#This Row],[InParenthesesCleaned]], " ", "@", tblPassengerNames[[#This Row],[P_NSpaces]]))</f>
        <v>#VALUE!</v>
      </c>
      <c r="O1042" t="e">
        <f>IF(tblPassengerNames[[#This Row],[P_NSpaces]] = 0,
    tblPassengerNames[[#This Row],[InParenthesesCleaned]],
    LEFT(tblPassengerNames[[#This Row],[InParenthesesCleaned]], tblPassengerNames[[#This Row],[P_FinalSpacePos]] - 1)
)</f>
        <v>#VALUE!</v>
      </c>
      <c r="P1042" t="str">
        <f>IFERROR(tblPassengerNames[[#This Row],[P_Forenames]], tblPassengerNames[[#This Row],[ConvForenames]])</f>
        <v>Katherine 'Katie'</v>
      </c>
      <c r="Q1042" t="str">
        <f>MID(tblPassengerNames[[#This Row],[Name]], tblPassengerNames[[#This Row],[CommaPos]] + 2, tblPassengerNames[[#This Row],[DotPos]] - tblPassengerNames[[#This Row],[CommaPos]] - 1)</f>
        <v>Miss.</v>
      </c>
      <c r="R1042" t="str">
        <f>LEFT(tblPassengerNames[[#This Row],[Name]], tblPassengerNames[[#This Row],[CommaPos]] - 1)</f>
        <v>Mullens</v>
      </c>
    </row>
    <row r="1043" spans="2:18" x14ac:dyDescent="0.25">
      <c r="B1043" s="21">
        <v>1041</v>
      </c>
      <c r="C1043" s="21" t="s">
        <v>1175</v>
      </c>
      <c r="D1043" s="21" t="s">
        <v>136</v>
      </c>
      <c r="E1043">
        <f>FIND(",", tblPassengerNames[[#This Row],[Name]])</f>
        <v>10</v>
      </c>
      <c r="F1043">
        <f>FIND(".", tblPassengerNames[[#This Row],[Name]])</f>
        <v>16</v>
      </c>
      <c r="G1043" t="e">
        <f>FIND("(", tblPassengerNames[[#This Row],[Name]])</f>
        <v>#VALUE!</v>
      </c>
      <c r="H1043" t="e">
        <f>FIND(")", tblPassengerNames[[#This Row],[Name]])</f>
        <v>#VALUE!</v>
      </c>
      <c r="I1043">
        <f>IFERROR(tblPassengerNames[[#This Row],[OpenParPos]] - 2, LEN(tblPassengerNames[[#This Row],[Name]]))</f>
        <v>25</v>
      </c>
      <c r="J1043" t="str">
        <f>MID(tblPassengerNames[[#This Row],[Name]], tblPassengerNames[[#This Row],[DotPos]] + 2, tblPassengerNames[[#This Row],[EndOfConvFNPos]] - tblPassengerNames[[#This Row],[DotPos]] - 1)</f>
        <v>Bertha E</v>
      </c>
      <c r="K1043" t="e">
        <f>MID(tblPassengerNames[[#This Row],[Name]], tblPassengerNames[[#This Row],[OpenParPos]] + 1, tblPassengerNames[[#This Row],[CloseParPos]] - tblPassengerNames[[#This Row],[OpenParPos]] - 1)</f>
        <v>#VALUE!</v>
      </c>
      <c r="L1043" t="e">
        <f>IF(AND(LEFT(tblPassengerNames[[#This Row],[InParentheses]], 1) = "'", RIGHT(tblPassengerNames[[#This Row],[InParentheses]], 1) = "'"),
    #VALUE!,
    tblPassengerNames[[#This Row],[InParentheses]]
)</f>
        <v>#VALUE!</v>
      </c>
      <c r="M1043" t="e">
        <f>LEN(tblPassengerNames[[#This Row],[InParenthesesCleaned]]) - LEN(SUBSTITUTE(tblPassengerNames[[#This Row],[InParenthesesCleaned]], " ", ""))</f>
        <v>#VALUE!</v>
      </c>
      <c r="N1043" t="e">
        <f>FIND("@", SUBSTITUTE(tblPassengerNames[[#This Row],[InParenthesesCleaned]], " ", "@", tblPassengerNames[[#This Row],[P_NSpaces]]))</f>
        <v>#VALUE!</v>
      </c>
      <c r="O1043" t="e">
        <f>IF(tblPassengerNames[[#This Row],[P_NSpaces]] = 0,
    tblPassengerNames[[#This Row],[InParenthesesCleaned]],
    LEFT(tblPassengerNames[[#This Row],[InParenthesesCleaned]], tblPassengerNames[[#This Row],[P_FinalSpacePos]] - 1)
)</f>
        <v>#VALUE!</v>
      </c>
      <c r="P1043" t="str">
        <f>IFERROR(tblPassengerNames[[#This Row],[P_Forenames]], tblPassengerNames[[#This Row],[ConvForenames]])</f>
        <v>Bertha E</v>
      </c>
      <c r="Q1043" t="str">
        <f>MID(tblPassengerNames[[#This Row],[Name]], tblPassengerNames[[#This Row],[CommaPos]] + 2, tblPassengerNames[[#This Row],[DotPos]] - tblPassengerNames[[#This Row],[CommaPos]] - 1)</f>
        <v>Miss.</v>
      </c>
      <c r="R1043" t="str">
        <f>LEFT(tblPassengerNames[[#This Row],[Name]], tblPassengerNames[[#This Row],[CommaPos]] - 1)</f>
        <v>Mulvihill</v>
      </c>
    </row>
    <row r="1044" spans="2:18" x14ac:dyDescent="0.25">
      <c r="B1044" s="21">
        <v>1042</v>
      </c>
      <c r="C1044" s="21" t="s">
        <v>1176</v>
      </c>
      <c r="D1044" s="21" t="s">
        <v>138</v>
      </c>
      <c r="E1044">
        <f>FIND(",", tblPassengerNames[[#This Row],[Name]])</f>
        <v>8</v>
      </c>
      <c r="F1044">
        <f>FIND(".", tblPassengerNames[[#This Row],[Name]])</f>
        <v>12</v>
      </c>
      <c r="G1044" t="e">
        <f>FIND("(", tblPassengerNames[[#This Row],[Name]])</f>
        <v>#VALUE!</v>
      </c>
      <c r="H1044" t="e">
        <f>FIND(")", tblPassengerNames[[#This Row],[Name]])</f>
        <v>#VALUE!</v>
      </c>
      <c r="I1044">
        <f>IFERROR(tblPassengerNames[[#This Row],[OpenParPos]] - 2, LEN(tblPassengerNames[[#This Row],[Name]]))</f>
        <v>19</v>
      </c>
      <c r="J1044" t="str">
        <f>MID(tblPassengerNames[[#This Row],[Name]], tblPassengerNames[[#This Row],[DotPos]] + 2, tblPassengerNames[[#This Row],[EndOfConvFNPos]] - tblPassengerNames[[#This Row],[DotPos]] - 1)</f>
        <v>Joseph</v>
      </c>
      <c r="K1044" t="e">
        <f>MID(tblPassengerNames[[#This Row],[Name]], tblPassengerNames[[#This Row],[OpenParPos]] + 1, tblPassengerNames[[#This Row],[CloseParPos]] - tblPassengerNames[[#This Row],[OpenParPos]] - 1)</f>
        <v>#VALUE!</v>
      </c>
      <c r="L1044" t="e">
        <f>IF(AND(LEFT(tblPassengerNames[[#This Row],[InParentheses]], 1) = "'", RIGHT(tblPassengerNames[[#This Row],[InParentheses]], 1) = "'"),
    #VALUE!,
    tblPassengerNames[[#This Row],[InParentheses]]
)</f>
        <v>#VALUE!</v>
      </c>
      <c r="M1044" t="e">
        <f>LEN(tblPassengerNames[[#This Row],[InParenthesesCleaned]]) - LEN(SUBSTITUTE(tblPassengerNames[[#This Row],[InParenthesesCleaned]], " ", ""))</f>
        <v>#VALUE!</v>
      </c>
      <c r="N1044" t="e">
        <f>FIND("@", SUBSTITUTE(tblPassengerNames[[#This Row],[InParenthesesCleaned]], " ", "@", tblPassengerNames[[#This Row],[P_NSpaces]]))</f>
        <v>#VALUE!</v>
      </c>
      <c r="O1044" t="e">
        <f>IF(tblPassengerNames[[#This Row],[P_NSpaces]] = 0,
    tblPassengerNames[[#This Row],[InParenthesesCleaned]],
    LEFT(tblPassengerNames[[#This Row],[InParenthesesCleaned]], tblPassengerNames[[#This Row],[P_FinalSpacePos]] - 1)
)</f>
        <v>#VALUE!</v>
      </c>
      <c r="P1044" t="str">
        <f>IFERROR(tblPassengerNames[[#This Row],[P_Forenames]], tblPassengerNames[[#This Row],[ConvForenames]])</f>
        <v>Joseph</v>
      </c>
      <c r="Q1044" t="str">
        <f>MID(tblPassengerNames[[#This Row],[Name]], tblPassengerNames[[#This Row],[CommaPos]] + 2, tblPassengerNames[[#This Row],[DotPos]] - tblPassengerNames[[#This Row],[CommaPos]] - 1)</f>
        <v>Mr.</v>
      </c>
      <c r="R1044" t="str">
        <f>LEFT(tblPassengerNames[[#This Row],[Name]], tblPassengerNames[[#This Row],[CommaPos]] - 1)</f>
        <v>Murdlin</v>
      </c>
    </row>
    <row r="1045" spans="2:18" x14ac:dyDescent="0.25">
      <c r="B1045" s="21">
        <v>1043</v>
      </c>
      <c r="C1045" s="21" t="s">
        <v>1177</v>
      </c>
      <c r="D1045" s="21" t="s">
        <v>136</v>
      </c>
      <c r="E1045">
        <f>FIND(",", tblPassengerNames[[#This Row],[Name]])</f>
        <v>7</v>
      </c>
      <c r="F1045">
        <f>FIND(".", tblPassengerNames[[#This Row],[Name]])</f>
        <v>13</v>
      </c>
      <c r="G1045" t="e">
        <f>FIND("(", tblPassengerNames[[#This Row],[Name]])</f>
        <v>#VALUE!</v>
      </c>
      <c r="H1045" t="e">
        <f>FIND(")", tblPassengerNames[[#This Row],[Name]])</f>
        <v>#VALUE!</v>
      </c>
      <c r="I1045">
        <f>IFERROR(tblPassengerNames[[#This Row],[OpenParPos]] - 2, LEN(tblPassengerNames[[#This Row],[Name]]))</f>
        <v>30</v>
      </c>
      <c r="J1045" t="str">
        <f>MID(tblPassengerNames[[#This Row],[Name]], tblPassengerNames[[#This Row],[DotPos]] + 2, tblPassengerNames[[#This Row],[EndOfConvFNPos]] - tblPassengerNames[[#This Row],[DotPos]] - 1)</f>
        <v>Katherine 'Kate'</v>
      </c>
      <c r="K1045" t="e">
        <f>MID(tblPassengerNames[[#This Row],[Name]], tblPassengerNames[[#This Row],[OpenParPos]] + 1, tblPassengerNames[[#This Row],[CloseParPos]] - tblPassengerNames[[#This Row],[OpenParPos]] - 1)</f>
        <v>#VALUE!</v>
      </c>
      <c r="L1045" t="e">
        <f>IF(AND(LEFT(tblPassengerNames[[#This Row],[InParentheses]], 1) = "'", RIGHT(tblPassengerNames[[#This Row],[InParentheses]], 1) = "'"),
    #VALUE!,
    tblPassengerNames[[#This Row],[InParentheses]]
)</f>
        <v>#VALUE!</v>
      </c>
      <c r="M1045" t="e">
        <f>LEN(tblPassengerNames[[#This Row],[InParenthesesCleaned]]) - LEN(SUBSTITUTE(tblPassengerNames[[#This Row],[InParenthesesCleaned]], " ", ""))</f>
        <v>#VALUE!</v>
      </c>
      <c r="N1045" t="e">
        <f>FIND("@", SUBSTITUTE(tblPassengerNames[[#This Row],[InParenthesesCleaned]], " ", "@", tblPassengerNames[[#This Row],[P_NSpaces]]))</f>
        <v>#VALUE!</v>
      </c>
      <c r="O1045" t="e">
        <f>IF(tblPassengerNames[[#This Row],[P_NSpaces]] = 0,
    tblPassengerNames[[#This Row],[InParenthesesCleaned]],
    LEFT(tblPassengerNames[[#This Row],[InParenthesesCleaned]], tblPassengerNames[[#This Row],[P_FinalSpacePos]] - 1)
)</f>
        <v>#VALUE!</v>
      </c>
      <c r="P1045" t="str">
        <f>IFERROR(tblPassengerNames[[#This Row],[P_Forenames]], tblPassengerNames[[#This Row],[ConvForenames]])</f>
        <v>Katherine 'Kate'</v>
      </c>
      <c r="Q1045" t="str">
        <f>MID(tblPassengerNames[[#This Row],[Name]], tblPassengerNames[[#This Row],[CommaPos]] + 2, tblPassengerNames[[#This Row],[DotPos]] - tblPassengerNames[[#This Row],[CommaPos]] - 1)</f>
        <v>Miss.</v>
      </c>
      <c r="R1045" t="str">
        <f>LEFT(tblPassengerNames[[#This Row],[Name]], tblPassengerNames[[#This Row],[CommaPos]] - 1)</f>
        <v>Murphy</v>
      </c>
    </row>
    <row r="1046" spans="2:18" x14ac:dyDescent="0.25">
      <c r="B1046" s="21">
        <v>1044</v>
      </c>
      <c r="C1046" s="21" t="s">
        <v>1178</v>
      </c>
      <c r="D1046" s="21" t="s">
        <v>136</v>
      </c>
      <c r="E1046">
        <f>FIND(",", tblPassengerNames[[#This Row],[Name]])</f>
        <v>7</v>
      </c>
      <c r="F1046">
        <f>FIND(".", tblPassengerNames[[#This Row],[Name]])</f>
        <v>13</v>
      </c>
      <c r="G1046" t="e">
        <f>FIND("(", tblPassengerNames[[#This Row],[Name]])</f>
        <v>#VALUE!</v>
      </c>
      <c r="H1046" t="e">
        <f>FIND(")", tblPassengerNames[[#This Row],[Name]])</f>
        <v>#VALUE!</v>
      </c>
      <c r="I1046">
        <f>IFERROR(tblPassengerNames[[#This Row],[OpenParPos]] - 2, LEN(tblPassengerNames[[#This Row],[Name]]))</f>
        <v>27</v>
      </c>
      <c r="J1046" t="str">
        <f>MID(tblPassengerNames[[#This Row],[Name]], tblPassengerNames[[#This Row],[DotPos]] + 2, tblPassengerNames[[#This Row],[EndOfConvFNPos]] - tblPassengerNames[[#This Row],[DotPos]] - 1)</f>
        <v>Margaret Jane</v>
      </c>
      <c r="K1046" t="e">
        <f>MID(tblPassengerNames[[#This Row],[Name]], tblPassengerNames[[#This Row],[OpenParPos]] + 1, tblPassengerNames[[#This Row],[CloseParPos]] - tblPassengerNames[[#This Row],[OpenParPos]] - 1)</f>
        <v>#VALUE!</v>
      </c>
      <c r="L1046" t="e">
        <f>IF(AND(LEFT(tblPassengerNames[[#This Row],[InParentheses]], 1) = "'", RIGHT(tblPassengerNames[[#This Row],[InParentheses]], 1) = "'"),
    #VALUE!,
    tblPassengerNames[[#This Row],[InParentheses]]
)</f>
        <v>#VALUE!</v>
      </c>
      <c r="M1046" t="e">
        <f>LEN(tblPassengerNames[[#This Row],[InParenthesesCleaned]]) - LEN(SUBSTITUTE(tblPassengerNames[[#This Row],[InParenthesesCleaned]], " ", ""))</f>
        <v>#VALUE!</v>
      </c>
      <c r="N1046" t="e">
        <f>FIND("@", SUBSTITUTE(tblPassengerNames[[#This Row],[InParenthesesCleaned]], " ", "@", tblPassengerNames[[#This Row],[P_NSpaces]]))</f>
        <v>#VALUE!</v>
      </c>
      <c r="O1046" t="e">
        <f>IF(tblPassengerNames[[#This Row],[P_NSpaces]] = 0,
    tblPassengerNames[[#This Row],[InParenthesesCleaned]],
    LEFT(tblPassengerNames[[#This Row],[InParenthesesCleaned]], tblPassengerNames[[#This Row],[P_FinalSpacePos]] - 1)
)</f>
        <v>#VALUE!</v>
      </c>
      <c r="P1046" t="str">
        <f>IFERROR(tblPassengerNames[[#This Row],[P_Forenames]], tblPassengerNames[[#This Row],[ConvForenames]])</f>
        <v>Margaret Jane</v>
      </c>
      <c r="Q1046" t="str">
        <f>MID(tblPassengerNames[[#This Row],[Name]], tblPassengerNames[[#This Row],[CommaPos]] + 2, tblPassengerNames[[#This Row],[DotPos]] - tblPassengerNames[[#This Row],[CommaPos]] - 1)</f>
        <v>Miss.</v>
      </c>
      <c r="R1046" t="str">
        <f>LEFT(tblPassengerNames[[#This Row],[Name]], tblPassengerNames[[#This Row],[CommaPos]] - 1)</f>
        <v>Murphy</v>
      </c>
    </row>
    <row r="1047" spans="2:18" x14ac:dyDescent="0.25">
      <c r="B1047" s="21">
        <v>1045</v>
      </c>
      <c r="C1047" s="21" t="s">
        <v>1179</v>
      </c>
      <c r="D1047" s="21" t="s">
        <v>136</v>
      </c>
      <c r="E1047">
        <f>FIND(",", tblPassengerNames[[#This Row],[Name]])</f>
        <v>7</v>
      </c>
      <c r="F1047">
        <f>FIND(".", tblPassengerNames[[#This Row],[Name]])</f>
        <v>13</v>
      </c>
      <c r="G1047" t="e">
        <f>FIND("(", tblPassengerNames[[#This Row],[Name]])</f>
        <v>#VALUE!</v>
      </c>
      <c r="H1047" t="e">
        <f>FIND(")", tblPassengerNames[[#This Row],[Name]])</f>
        <v>#VALUE!</v>
      </c>
      <c r="I1047">
        <f>IFERROR(tblPassengerNames[[#This Row],[OpenParPos]] - 2, LEN(tblPassengerNames[[#This Row],[Name]]))</f>
        <v>18</v>
      </c>
      <c r="J1047" t="str">
        <f>MID(tblPassengerNames[[#This Row],[Name]], tblPassengerNames[[#This Row],[DotPos]] + 2, tblPassengerNames[[#This Row],[EndOfConvFNPos]] - tblPassengerNames[[#This Row],[DotPos]] - 1)</f>
        <v>Nora</v>
      </c>
      <c r="K1047" t="e">
        <f>MID(tblPassengerNames[[#This Row],[Name]], tblPassengerNames[[#This Row],[OpenParPos]] + 1, tblPassengerNames[[#This Row],[CloseParPos]] - tblPassengerNames[[#This Row],[OpenParPos]] - 1)</f>
        <v>#VALUE!</v>
      </c>
      <c r="L1047" t="e">
        <f>IF(AND(LEFT(tblPassengerNames[[#This Row],[InParentheses]], 1) = "'", RIGHT(tblPassengerNames[[#This Row],[InParentheses]], 1) = "'"),
    #VALUE!,
    tblPassengerNames[[#This Row],[InParentheses]]
)</f>
        <v>#VALUE!</v>
      </c>
      <c r="M1047" t="e">
        <f>LEN(tblPassengerNames[[#This Row],[InParenthesesCleaned]]) - LEN(SUBSTITUTE(tblPassengerNames[[#This Row],[InParenthesesCleaned]], " ", ""))</f>
        <v>#VALUE!</v>
      </c>
      <c r="N1047" t="e">
        <f>FIND("@", SUBSTITUTE(tblPassengerNames[[#This Row],[InParenthesesCleaned]], " ", "@", tblPassengerNames[[#This Row],[P_NSpaces]]))</f>
        <v>#VALUE!</v>
      </c>
      <c r="O1047" t="e">
        <f>IF(tblPassengerNames[[#This Row],[P_NSpaces]] = 0,
    tblPassengerNames[[#This Row],[InParenthesesCleaned]],
    LEFT(tblPassengerNames[[#This Row],[InParenthesesCleaned]], tblPassengerNames[[#This Row],[P_FinalSpacePos]] - 1)
)</f>
        <v>#VALUE!</v>
      </c>
      <c r="P1047" t="str">
        <f>IFERROR(tblPassengerNames[[#This Row],[P_Forenames]], tblPassengerNames[[#This Row],[ConvForenames]])</f>
        <v>Nora</v>
      </c>
      <c r="Q1047" t="str">
        <f>MID(tblPassengerNames[[#This Row],[Name]], tblPassengerNames[[#This Row],[CommaPos]] + 2, tblPassengerNames[[#This Row],[DotPos]] - tblPassengerNames[[#This Row],[CommaPos]] - 1)</f>
        <v>Miss.</v>
      </c>
      <c r="R1047" t="str">
        <f>LEFT(tblPassengerNames[[#This Row],[Name]], tblPassengerNames[[#This Row],[CommaPos]] - 1)</f>
        <v>Murphy</v>
      </c>
    </row>
    <row r="1048" spans="2:18" x14ac:dyDescent="0.25">
      <c r="B1048" s="21">
        <v>1046</v>
      </c>
      <c r="C1048" s="21" t="s">
        <v>1180</v>
      </c>
      <c r="D1048" s="21" t="s">
        <v>138</v>
      </c>
      <c r="E1048">
        <f>FIND(",", tblPassengerNames[[#This Row],[Name]])</f>
        <v>8</v>
      </c>
      <c r="F1048">
        <f>FIND(".", tblPassengerNames[[#This Row],[Name]])</f>
        <v>12</v>
      </c>
      <c r="G1048" t="e">
        <f>FIND("(", tblPassengerNames[[#This Row],[Name]])</f>
        <v>#VALUE!</v>
      </c>
      <c r="H1048" t="e">
        <f>FIND(")", tblPassengerNames[[#This Row],[Name]])</f>
        <v>#VALUE!</v>
      </c>
      <c r="I1048">
        <f>IFERROR(tblPassengerNames[[#This Row],[OpenParPos]] - 2, LEN(tblPassengerNames[[#This Row],[Name]]))</f>
        <v>39</v>
      </c>
      <c r="J1048" t="str">
        <f>MID(tblPassengerNames[[#This Row],[Name]], tblPassengerNames[[#This Row],[DotPos]] + 2, tblPassengerNames[[#This Row],[EndOfConvFNPos]] - tblPassengerNames[[#This Row],[DotPos]] - 1)</f>
        <v>Pehr Fabian Oliver Malkolm</v>
      </c>
      <c r="K1048" t="e">
        <f>MID(tblPassengerNames[[#This Row],[Name]], tblPassengerNames[[#This Row],[OpenParPos]] + 1, tblPassengerNames[[#This Row],[CloseParPos]] - tblPassengerNames[[#This Row],[OpenParPos]] - 1)</f>
        <v>#VALUE!</v>
      </c>
      <c r="L1048" t="e">
        <f>IF(AND(LEFT(tblPassengerNames[[#This Row],[InParentheses]], 1) = "'", RIGHT(tblPassengerNames[[#This Row],[InParentheses]], 1) = "'"),
    #VALUE!,
    tblPassengerNames[[#This Row],[InParentheses]]
)</f>
        <v>#VALUE!</v>
      </c>
      <c r="M1048" t="e">
        <f>LEN(tblPassengerNames[[#This Row],[InParenthesesCleaned]]) - LEN(SUBSTITUTE(tblPassengerNames[[#This Row],[InParenthesesCleaned]], " ", ""))</f>
        <v>#VALUE!</v>
      </c>
      <c r="N1048" t="e">
        <f>FIND("@", SUBSTITUTE(tblPassengerNames[[#This Row],[InParenthesesCleaned]], " ", "@", tblPassengerNames[[#This Row],[P_NSpaces]]))</f>
        <v>#VALUE!</v>
      </c>
      <c r="O1048" t="e">
        <f>IF(tblPassengerNames[[#This Row],[P_NSpaces]] = 0,
    tblPassengerNames[[#This Row],[InParenthesesCleaned]],
    LEFT(tblPassengerNames[[#This Row],[InParenthesesCleaned]], tblPassengerNames[[#This Row],[P_FinalSpacePos]] - 1)
)</f>
        <v>#VALUE!</v>
      </c>
      <c r="P1048" t="str">
        <f>IFERROR(tblPassengerNames[[#This Row],[P_Forenames]], tblPassengerNames[[#This Row],[ConvForenames]])</f>
        <v>Pehr Fabian Oliver Malkolm</v>
      </c>
      <c r="Q1048" t="str">
        <f>MID(tblPassengerNames[[#This Row],[Name]], tblPassengerNames[[#This Row],[CommaPos]] + 2, tblPassengerNames[[#This Row],[DotPos]] - tblPassengerNames[[#This Row],[CommaPos]] - 1)</f>
        <v>Mr.</v>
      </c>
      <c r="R1048" t="str">
        <f>LEFT(tblPassengerNames[[#This Row],[Name]], tblPassengerNames[[#This Row],[CommaPos]] - 1)</f>
        <v>Myhrman</v>
      </c>
    </row>
    <row r="1049" spans="2:18" x14ac:dyDescent="0.25">
      <c r="B1049" s="21">
        <v>1047</v>
      </c>
      <c r="C1049" s="21" t="s">
        <v>1181</v>
      </c>
      <c r="D1049" s="21" t="s">
        <v>138</v>
      </c>
      <c r="E1049">
        <f>FIND(",", tblPassengerNames[[#This Row],[Name]])</f>
        <v>10</v>
      </c>
      <c r="F1049">
        <f>FIND(".", tblPassengerNames[[#This Row],[Name]])</f>
        <v>14</v>
      </c>
      <c r="G1049" t="e">
        <f>FIND("(", tblPassengerNames[[#This Row],[Name]])</f>
        <v>#VALUE!</v>
      </c>
      <c r="H1049" t="e">
        <f>FIND(")", tblPassengerNames[[#This Row],[Name]])</f>
        <v>#VALUE!</v>
      </c>
      <c r="I1049">
        <f>IFERROR(tblPassengerNames[[#This Row],[OpenParPos]] - 2, LEN(tblPassengerNames[[#This Row],[Name]]))</f>
        <v>20</v>
      </c>
      <c r="J1049" t="str">
        <f>MID(tblPassengerNames[[#This Row],[Name]], tblPassengerNames[[#This Row],[DotPos]] + 2, tblPassengerNames[[#This Row],[EndOfConvFNPos]] - tblPassengerNames[[#This Row],[DotPos]] - 1)</f>
        <v>Penko</v>
      </c>
      <c r="K1049" t="e">
        <f>MID(tblPassengerNames[[#This Row],[Name]], tblPassengerNames[[#This Row],[OpenParPos]] + 1, tblPassengerNames[[#This Row],[CloseParPos]] - tblPassengerNames[[#This Row],[OpenParPos]] - 1)</f>
        <v>#VALUE!</v>
      </c>
      <c r="L1049" t="e">
        <f>IF(AND(LEFT(tblPassengerNames[[#This Row],[InParentheses]], 1) = "'", RIGHT(tblPassengerNames[[#This Row],[InParentheses]], 1) = "'"),
    #VALUE!,
    tblPassengerNames[[#This Row],[InParentheses]]
)</f>
        <v>#VALUE!</v>
      </c>
      <c r="M1049" t="e">
        <f>LEN(tblPassengerNames[[#This Row],[InParenthesesCleaned]]) - LEN(SUBSTITUTE(tblPassengerNames[[#This Row],[InParenthesesCleaned]], " ", ""))</f>
        <v>#VALUE!</v>
      </c>
      <c r="N1049" t="e">
        <f>FIND("@", SUBSTITUTE(tblPassengerNames[[#This Row],[InParenthesesCleaned]], " ", "@", tblPassengerNames[[#This Row],[P_NSpaces]]))</f>
        <v>#VALUE!</v>
      </c>
      <c r="O1049" t="e">
        <f>IF(tblPassengerNames[[#This Row],[P_NSpaces]] = 0,
    tblPassengerNames[[#This Row],[InParenthesesCleaned]],
    LEFT(tblPassengerNames[[#This Row],[InParenthesesCleaned]], tblPassengerNames[[#This Row],[P_FinalSpacePos]] - 1)
)</f>
        <v>#VALUE!</v>
      </c>
      <c r="P1049" t="str">
        <f>IFERROR(tblPassengerNames[[#This Row],[P_Forenames]], tblPassengerNames[[#This Row],[ConvForenames]])</f>
        <v>Penko</v>
      </c>
      <c r="Q1049" t="str">
        <f>MID(tblPassengerNames[[#This Row],[Name]], tblPassengerNames[[#This Row],[CommaPos]] + 2, tblPassengerNames[[#This Row],[DotPos]] - tblPassengerNames[[#This Row],[CommaPos]] - 1)</f>
        <v>Mr.</v>
      </c>
      <c r="R1049" t="str">
        <f>LEFT(tblPassengerNames[[#This Row],[Name]], tblPassengerNames[[#This Row],[CommaPos]] - 1)</f>
        <v>Naidenoff</v>
      </c>
    </row>
    <row r="1050" spans="2:18" x14ac:dyDescent="0.25">
      <c r="B1050" s="21">
        <v>1048</v>
      </c>
      <c r="C1050" s="21" t="s">
        <v>1182</v>
      </c>
      <c r="D1050" s="21" t="s">
        <v>136</v>
      </c>
      <c r="E1050">
        <f>FIND(",", tblPassengerNames[[#This Row],[Name]])</f>
        <v>6</v>
      </c>
      <c r="F1050">
        <f>FIND(".", tblPassengerNames[[#This Row],[Name]])</f>
        <v>12</v>
      </c>
      <c r="G1050" t="e">
        <f>FIND("(", tblPassengerNames[[#This Row],[Name]])</f>
        <v>#VALUE!</v>
      </c>
      <c r="H1050" t="e">
        <f>FIND(")", tblPassengerNames[[#This Row],[Name]])</f>
        <v>#VALUE!</v>
      </c>
      <c r="I1050">
        <f>IFERROR(tblPassengerNames[[#This Row],[OpenParPos]] - 2, LEN(tblPassengerNames[[#This Row],[Name]]))</f>
        <v>32</v>
      </c>
      <c r="J1050" t="str">
        <f>MID(tblPassengerNames[[#This Row],[Name]], tblPassengerNames[[#This Row],[DotPos]] + 2, tblPassengerNames[[#This Row],[EndOfConvFNPos]] - tblPassengerNames[[#This Row],[DotPos]] - 1)</f>
        <v>Adele Kiamie 'Jane'</v>
      </c>
      <c r="K1050" t="e">
        <f>MID(tblPassengerNames[[#This Row],[Name]], tblPassengerNames[[#This Row],[OpenParPos]] + 1, tblPassengerNames[[#This Row],[CloseParPos]] - tblPassengerNames[[#This Row],[OpenParPos]] - 1)</f>
        <v>#VALUE!</v>
      </c>
      <c r="L1050" t="e">
        <f>IF(AND(LEFT(tblPassengerNames[[#This Row],[InParentheses]], 1) = "'", RIGHT(tblPassengerNames[[#This Row],[InParentheses]], 1) = "'"),
    #VALUE!,
    tblPassengerNames[[#This Row],[InParentheses]]
)</f>
        <v>#VALUE!</v>
      </c>
      <c r="M1050" t="e">
        <f>LEN(tblPassengerNames[[#This Row],[InParenthesesCleaned]]) - LEN(SUBSTITUTE(tblPassengerNames[[#This Row],[InParenthesesCleaned]], " ", ""))</f>
        <v>#VALUE!</v>
      </c>
      <c r="N1050" t="e">
        <f>FIND("@", SUBSTITUTE(tblPassengerNames[[#This Row],[InParenthesesCleaned]], " ", "@", tblPassengerNames[[#This Row],[P_NSpaces]]))</f>
        <v>#VALUE!</v>
      </c>
      <c r="O1050" t="e">
        <f>IF(tblPassengerNames[[#This Row],[P_NSpaces]] = 0,
    tblPassengerNames[[#This Row],[InParenthesesCleaned]],
    LEFT(tblPassengerNames[[#This Row],[InParenthesesCleaned]], tblPassengerNames[[#This Row],[P_FinalSpacePos]] - 1)
)</f>
        <v>#VALUE!</v>
      </c>
      <c r="P1050" t="str">
        <f>IFERROR(tblPassengerNames[[#This Row],[P_Forenames]], tblPassengerNames[[#This Row],[ConvForenames]])</f>
        <v>Adele Kiamie 'Jane'</v>
      </c>
      <c r="Q1050" t="str">
        <f>MID(tblPassengerNames[[#This Row],[Name]], tblPassengerNames[[#This Row],[CommaPos]] + 2, tblPassengerNames[[#This Row],[DotPos]] - tblPassengerNames[[#This Row],[CommaPos]] - 1)</f>
        <v>Miss.</v>
      </c>
      <c r="R1050" t="str">
        <f>LEFT(tblPassengerNames[[#This Row],[Name]], tblPassengerNames[[#This Row],[CommaPos]] - 1)</f>
        <v>Najib</v>
      </c>
    </row>
    <row r="1051" spans="2:18" x14ac:dyDescent="0.25">
      <c r="B1051" s="21">
        <v>1049</v>
      </c>
      <c r="C1051" s="21" t="s">
        <v>1183</v>
      </c>
      <c r="D1051" s="21" t="s">
        <v>136</v>
      </c>
      <c r="E1051">
        <f>FIND(",", tblPassengerNames[[#This Row],[Name]])</f>
        <v>6</v>
      </c>
      <c r="F1051">
        <f>FIND(".", tblPassengerNames[[#This Row],[Name]])</f>
        <v>12</v>
      </c>
      <c r="G1051">
        <f>FIND("(", tblPassengerNames[[#This Row],[Name]])</f>
        <v>20</v>
      </c>
      <c r="H1051">
        <f>FIND(")", tblPassengerNames[[#This Row],[Name]])</f>
        <v>27</v>
      </c>
      <c r="I1051">
        <f>IFERROR(tblPassengerNames[[#This Row],[OpenParPos]] - 2, LEN(tblPassengerNames[[#This Row],[Name]]))</f>
        <v>18</v>
      </c>
      <c r="J1051" t="str">
        <f>MID(tblPassengerNames[[#This Row],[Name]], tblPassengerNames[[#This Row],[DotPos]] + 2, tblPassengerNames[[#This Row],[EndOfConvFNPos]] - tblPassengerNames[[#This Row],[DotPos]] - 1)</f>
        <v>Maria</v>
      </c>
      <c r="K1051" t="str">
        <f>MID(tblPassengerNames[[#This Row],[Name]], tblPassengerNames[[#This Row],[OpenParPos]] + 1, tblPassengerNames[[#This Row],[CloseParPos]] - tblPassengerNames[[#This Row],[OpenParPos]] - 1)</f>
        <v>'Mary'</v>
      </c>
      <c r="L1051" t="e">
        <f>IF(AND(LEFT(tblPassengerNames[[#This Row],[InParentheses]], 1) = "'", RIGHT(tblPassengerNames[[#This Row],[InParentheses]], 1) = "'"),
    #VALUE!,
    tblPassengerNames[[#This Row],[InParentheses]]
)</f>
        <v>#VALUE!</v>
      </c>
      <c r="M1051" t="e">
        <f>LEN(tblPassengerNames[[#This Row],[InParenthesesCleaned]]) - LEN(SUBSTITUTE(tblPassengerNames[[#This Row],[InParenthesesCleaned]], " ", ""))</f>
        <v>#VALUE!</v>
      </c>
      <c r="N1051" t="e">
        <f>FIND("@", SUBSTITUTE(tblPassengerNames[[#This Row],[InParenthesesCleaned]], " ", "@", tblPassengerNames[[#This Row],[P_NSpaces]]))</f>
        <v>#VALUE!</v>
      </c>
      <c r="O1051" t="e">
        <f>IF(tblPassengerNames[[#This Row],[P_NSpaces]] = 0,
    tblPassengerNames[[#This Row],[InParenthesesCleaned]],
    LEFT(tblPassengerNames[[#This Row],[InParenthesesCleaned]], tblPassengerNames[[#This Row],[P_FinalSpacePos]] - 1)
)</f>
        <v>#VALUE!</v>
      </c>
      <c r="P1051" t="str">
        <f>IFERROR(tblPassengerNames[[#This Row],[P_Forenames]], tblPassengerNames[[#This Row],[ConvForenames]])</f>
        <v>Maria</v>
      </c>
      <c r="Q1051" t="str">
        <f>MID(tblPassengerNames[[#This Row],[Name]], tblPassengerNames[[#This Row],[CommaPos]] + 2, tblPassengerNames[[#This Row],[DotPos]] - tblPassengerNames[[#This Row],[CommaPos]] - 1)</f>
        <v>Miss.</v>
      </c>
      <c r="R1051" t="str">
        <f>LEFT(tblPassengerNames[[#This Row],[Name]], tblPassengerNames[[#This Row],[CommaPos]] - 1)</f>
        <v>Nakid</v>
      </c>
    </row>
    <row r="1052" spans="2:18" x14ac:dyDescent="0.25">
      <c r="B1052" s="21">
        <v>1050</v>
      </c>
      <c r="C1052" s="21" t="s">
        <v>1184</v>
      </c>
      <c r="D1052" s="21" t="s">
        <v>138</v>
      </c>
      <c r="E1052">
        <f>FIND(",", tblPassengerNames[[#This Row],[Name]])</f>
        <v>6</v>
      </c>
      <c r="F1052">
        <f>FIND(".", tblPassengerNames[[#This Row],[Name]])</f>
        <v>10</v>
      </c>
      <c r="G1052" t="e">
        <f>FIND("(", tblPassengerNames[[#This Row],[Name]])</f>
        <v>#VALUE!</v>
      </c>
      <c r="H1052" t="e">
        <f>FIND(")", tblPassengerNames[[#This Row],[Name]])</f>
        <v>#VALUE!</v>
      </c>
      <c r="I1052">
        <f>IFERROR(tblPassengerNames[[#This Row],[OpenParPos]] - 2, LEN(tblPassengerNames[[#This Row],[Name]]))</f>
        <v>16</v>
      </c>
      <c r="J1052" t="str">
        <f>MID(tblPassengerNames[[#This Row],[Name]], tblPassengerNames[[#This Row],[DotPos]] + 2, tblPassengerNames[[#This Row],[EndOfConvFNPos]] - tblPassengerNames[[#This Row],[DotPos]] - 1)</f>
        <v>Sahid</v>
      </c>
      <c r="K1052" t="e">
        <f>MID(tblPassengerNames[[#This Row],[Name]], tblPassengerNames[[#This Row],[OpenParPos]] + 1, tblPassengerNames[[#This Row],[CloseParPos]] - tblPassengerNames[[#This Row],[OpenParPos]] - 1)</f>
        <v>#VALUE!</v>
      </c>
      <c r="L1052" t="e">
        <f>IF(AND(LEFT(tblPassengerNames[[#This Row],[InParentheses]], 1) = "'", RIGHT(tblPassengerNames[[#This Row],[InParentheses]], 1) = "'"),
    #VALUE!,
    tblPassengerNames[[#This Row],[InParentheses]]
)</f>
        <v>#VALUE!</v>
      </c>
      <c r="M1052" t="e">
        <f>LEN(tblPassengerNames[[#This Row],[InParenthesesCleaned]]) - LEN(SUBSTITUTE(tblPassengerNames[[#This Row],[InParenthesesCleaned]], " ", ""))</f>
        <v>#VALUE!</v>
      </c>
      <c r="N1052" t="e">
        <f>FIND("@", SUBSTITUTE(tblPassengerNames[[#This Row],[InParenthesesCleaned]], " ", "@", tblPassengerNames[[#This Row],[P_NSpaces]]))</f>
        <v>#VALUE!</v>
      </c>
      <c r="O1052" t="e">
        <f>IF(tblPassengerNames[[#This Row],[P_NSpaces]] = 0,
    tblPassengerNames[[#This Row],[InParenthesesCleaned]],
    LEFT(tblPassengerNames[[#This Row],[InParenthesesCleaned]], tblPassengerNames[[#This Row],[P_FinalSpacePos]] - 1)
)</f>
        <v>#VALUE!</v>
      </c>
      <c r="P1052" t="str">
        <f>IFERROR(tblPassengerNames[[#This Row],[P_Forenames]], tblPassengerNames[[#This Row],[ConvForenames]])</f>
        <v>Sahid</v>
      </c>
      <c r="Q1052" t="str">
        <f>MID(tblPassengerNames[[#This Row],[Name]], tblPassengerNames[[#This Row],[CommaPos]] + 2, tblPassengerNames[[#This Row],[DotPos]] - tblPassengerNames[[#This Row],[CommaPos]] - 1)</f>
        <v>Mr.</v>
      </c>
      <c r="R1052" t="str">
        <f>LEFT(tblPassengerNames[[#This Row],[Name]], tblPassengerNames[[#This Row],[CommaPos]] - 1)</f>
        <v>Nakid</v>
      </c>
    </row>
    <row r="1053" spans="2:18" x14ac:dyDescent="0.25">
      <c r="B1053" s="21">
        <v>1051</v>
      </c>
      <c r="C1053" s="21" t="s">
        <v>1185</v>
      </c>
      <c r="D1053" s="21" t="s">
        <v>136</v>
      </c>
      <c r="E1053">
        <f>FIND(",", tblPassengerNames[[#This Row],[Name]])</f>
        <v>6</v>
      </c>
      <c r="F1053">
        <f>FIND(".", tblPassengerNames[[#This Row],[Name]])</f>
        <v>11</v>
      </c>
      <c r="G1053">
        <f>FIND("(", tblPassengerNames[[#This Row],[Name]])</f>
        <v>18</v>
      </c>
      <c r="H1053">
        <f>FIND(")", tblPassengerNames[[#This Row],[Name]])</f>
        <v>37</v>
      </c>
      <c r="I1053">
        <f>IFERROR(tblPassengerNames[[#This Row],[OpenParPos]] - 2, LEN(tblPassengerNames[[#This Row],[Name]]))</f>
        <v>16</v>
      </c>
      <c r="J1053" t="str">
        <f>MID(tblPassengerNames[[#This Row],[Name]], tblPassengerNames[[#This Row],[DotPos]] + 2, tblPassengerNames[[#This Row],[EndOfConvFNPos]] - tblPassengerNames[[#This Row],[DotPos]] - 1)</f>
        <v>Said</v>
      </c>
      <c r="K1053" t="str">
        <f>MID(tblPassengerNames[[#This Row],[Name]], tblPassengerNames[[#This Row],[OpenParPos]] + 1, tblPassengerNames[[#This Row],[CloseParPos]] - tblPassengerNames[[#This Row],[OpenParPos]] - 1)</f>
        <v>Waika 'Mary' Mowad</v>
      </c>
      <c r="L1053" t="str">
        <f>IF(AND(LEFT(tblPassengerNames[[#This Row],[InParentheses]], 1) = "'", RIGHT(tblPassengerNames[[#This Row],[InParentheses]], 1) = "'"),
    #VALUE!,
    tblPassengerNames[[#This Row],[InParentheses]]
)</f>
        <v>Waika 'Mary' Mowad</v>
      </c>
      <c r="M1053">
        <f>LEN(tblPassengerNames[[#This Row],[InParenthesesCleaned]]) - LEN(SUBSTITUTE(tblPassengerNames[[#This Row],[InParenthesesCleaned]], " ", ""))</f>
        <v>2</v>
      </c>
      <c r="N1053">
        <f>FIND("@", SUBSTITUTE(tblPassengerNames[[#This Row],[InParenthesesCleaned]], " ", "@", tblPassengerNames[[#This Row],[P_NSpaces]]))</f>
        <v>13</v>
      </c>
      <c r="O1053" t="str">
        <f>IF(tblPassengerNames[[#This Row],[P_NSpaces]] = 0,
    tblPassengerNames[[#This Row],[InParenthesesCleaned]],
    LEFT(tblPassengerNames[[#This Row],[InParenthesesCleaned]], tblPassengerNames[[#This Row],[P_FinalSpacePos]] - 1)
)</f>
        <v>Waika 'Mary'</v>
      </c>
      <c r="P1053" t="str">
        <f>IFERROR(tblPassengerNames[[#This Row],[P_Forenames]], tblPassengerNames[[#This Row],[ConvForenames]])</f>
        <v>Waika 'Mary'</v>
      </c>
      <c r="Q1053" t="str">
        <f>MID(tblPassengerNames[[#This Row],[Name]], tblPassengerNames[[#This Row],[CommaPos]] + 2, tblPassengerNames[[#This Row],[DotPos]] - tblPassengerNames[[#This Row],[CommaPos]] - 1)</f>
        <v>Mrs.</v>
      </c>
      <c r="R1053" t="str">
        <f>LEFT(tblPassengerNames[[#This Row],[Name]], tblPassengerNames[[#This Row],[CommaPos]] - 1)</f>
        <v>Nakid</v>
      </c>
    </row>
    <row r="1054" spans="2:18" x14ac:dyDescent="0.25">
      <c r="B1054" s="21">
        <v>1052</v>
      </c>
      <c r="C1054" s="21" t="s">
        <v>1186</v>
      </c>
      <c r="D1054" s="21" t="s">
        <v>138</v>
      </c>
      <c r="E1054">
        <f>FIND(",", tblPassengerNames[[#This Row],[Name]])</f>
        <v>10</v>
      </c>
      <c r="F1054">
        <f>FIND(".", tblPassengerNames[[#This Row],[Name]])</f>
        <v>14</v>
      </c>
      <c r="G1054" t="e">
        <f>FIND("(", tblPassengerNames[[#This Row],[Name]])</f>
        <v>#VALUE!</v>
      </c>
      <c r="H1054" t="e">
        <f>FIND(")", tblPassengerNames[[#This Row],[Name]])</f>
        <v>#VALUE!</v>
      </c>
      <c r="I1054">
        <f>IFERROR(tblPassengerNames[[#This Row],[OpenParPos]] - 2, LEN(tblPassengerNames[[#This Row],[Name]]))</f>
        <v>28</v>
      </c>
      <c r="J1054" t="str">
        <f>MID(tblPassengerNames[[#This Row],[Name]], tblPassengerNames[[#This Row],[DotPos]] + 2, tblPassengerNames[[#This Row],[EndOfConvFNPos]] - tblPassengerNames[[#This Row],[DotPos]] - 1)</f>
        <v>William Henry</v>
      </c>
      <c r="K1054" t="e">
        <f>MID(tblPassengerNames[[#This Row],[Name]], tblPassengerNames[[#This Row],[OpenParPos]] + 1, tblPassengerNames[[#This Row],[CloseParPos]] - tblPassengerNames[[#This Row],[OpenParPos]] - 1)</f>
        <v>#VALUE!</v>
      </c>
      <c r="L1054" t="e">
        <f>IF(AND(LEFT(tblPassengerNames[[#This Row],[InParentheses]], 1) = "'", RIGHT(tblPassengerNames[[#This Row],[InParentheses]], 1) = "'"),
    #VALUE!,
    tblPassengerNames[[#This Row],[InParentheses]]
)</f>
        <v>#VALUE!</v>
      </c>
      <c r="M1054" t="e">
        <f>LEN(tblPassengerNames[[#This Row],[InParenthesesCleaned]]) - LEN(SUBSTITUTE(tblPassengerNames[[#This Row],[InParenthesesCleaned]], " ", ""))</f>
        <v>#VALUE!</v>
      </c>
      <c r="N1054" t="e">
        <f>FIND("@", SUBSTITUTE(tblPassengerNames[[#This Row],[InParenthesesCleaned]], " ", "@", tblPassengerNames[[#This Row],[P_NSpaces]]))</f>
        <v>#VALUE!</v>
      </c>
      <c r="O1054" t="e">
        <f>IF(tblPassengerNames[[#This Row],[P_NSpaces]] = 0,
    tblPassengerNames[[#This Row],[InParenthesesCleaned]],
    LEFT(tblPassengerNames[[#This Row],[InParenthesesCleaned]], tblPassengerNames[[#This Row],[P_FinalSpacePos]] - 1)
)</f>
        <v>#VALUE!</v>
      </c>
      <c r="P1054" t="str">
        <f>IFERROR(tblPassengerNames[[#This Row],[P_Forenames]], tblPassengerNames[[#This Row],[ConvForenames]])</f>
        <v>William Henry</v>
      </c>
      <c r="Q1054" t="str">
        <f>MID(tblPassengerNames[[#This Row],[Name]], tblPassengerNames[[#This Row],[CommaPos]] + 2, tblPassengerNames[[#This Row],[DotPos]] - tblPassengerNames[[#This Row],[CommaPos]] - 1)</f>
        <v>Mr.</v>
      </c>
      <c r="R1054" t="str">
        <f>LEFT(tblPassengerNames[[#This Row],[Name]], tblPassengerNames[[#This Row],[CommaPos]] - 1)</f>
        <v>Nancarrow</v>
      </c>
    </row>
    <row r="1055" spans="2:18" x14ac:dyDescent="0.25">
      <c r="B1055" s="21">
        <v>1053</v>
      </c>
      <c r="C1055" s="21" t="s">
        <v>1187</v>
      </c>
      <c r="D1055" s="21" t="s">
        <v>138</v>
      </c>
      <c r="E1055">
        <f>FIND(",", tblPassengerNames[[#This Row],[Name]])</f>
        <v>8</v>
      </c>
      <c r="F1055">
        <f>FIND(".", tblPassengerNames[[#This Row],[Name]])</f>
        <v>12</v>
      </c>
      <c r="G1055" t="e">
        <f>FIND("(", tblPassengerNames[[#This Row],[Name]])</f>
        <v>#VALUE!</v>
      </c>
      <c r="H1055" t="e">
        <f>FIND(")", tblPassengerNames[[#This Row],[Name]])</f>
        <v>#VALUE!</v>
      </c>
      <c r="I1055">
        <f>IFERROR(tblPassengerNames[[#This Row],[OpenParPos]] - 2, LEN(tblPassengerNames[[#This Row],[Name]]))</f>
        <v>18</v>
      </c>
      <c r="J1055" t="str">
        <f>MID(tblPassengerNames[[#This Row],[Name]], tblPassengerNames[[#This Row],[DotPos]] + 2, tblPassengerNames[[#This Row],[EndOfConvFNPos]] - tblPassengerNames[[#This Row],[DotPos]] - 1)</f>
        <v>Minko</v>
      </c>
      <c r="K1055" t="e">
        <f>MID(tblPassengerNames[[#This Row],[Name]], tblPassengerNames[[#This Row],[OpenParPos]] + 1, tblPassengerNames[[#This Row],[CloseParPos]] - tblPassengerNames[[#This Row],[OpenParPos]] - 1)</f>
        <v>#VALUE!</v>
      </c>
      <c r="L1055" t="e">
        <f>IF(AND(LEFT(tblPassengerNames[[#This Row],[InParentheses]], 1) = "'", RIGHT(tblPassengerNames[[#This Row],[InParentheses]], 1) = "'"),
    #VALUE!,
    tblPassengerNames[[#This Row],[InParentheses]]
)</f>
        <v>#VALUE!</v>
      </c>
      <c r="M1055" t="e">
        <f>LEN(tblPassengerNames[[#This Row],[InParenthesesCleaned]]) - LEN(SUBSTITUTE(tblPassengerNames[[#This Row],[InParenthesesCleaned]], " ", ""))</f>
        <v>#VALUE!</v>
      </c>
      <c r="N1055" t="e">
        <f>FIND("@", SUBSTITUTE(tblPassengerNames[[#This Row],[InParenthesesCleaned]], " ", "@", tblPassengerNames[[#This Row],[P_NSpaces]]))</f>
        <v>#VALUE!</v>
      </c>
      <c r="O1055" t="e">
        <f>IF(tblPassengerNames[[#This Row],[P_NSpaces]] = 0,
    tblPassengerNames[[#This Row],[InParenthesesCleaned]],
    LEFT(tblPassengerNames[[#This Row],[InParenthesesCleaned]], tblPassengerNames[[#This Row],[P_FinalSpacePos]] - 1)
)</f>
        <v>#VALUE!</v>
      </c>
      <c r="P1055" t="str">
        <f>IFERROR(tblPassengerNames[[#This Row],[P_Forenames]], tblPassengerNames[[#This Row],[ConvForenames]])</f>
        <v>Minko</v>
      </c>
      <c r="Q1055" t="str">
        <f>MID(tblPassengerNames[[#This Row],[Name]], tblPassengerNames[[#This Row],[CommaPos]] + 2, tblPassengerNames[[#This Row],[DotPos]] - tblPassengerNames[[#This Row],[CommaPos]] - 1)</f>
        <v>Mr.</v>
      </c>
      <c r="R1055" t="str">
        <f>LEFT(tblPassengerNames[[#This Row],[Name]], tblPassengerNames[[#This Row],[CommaPos]] - 1)</f>
        <v>Nankoff</v>
      </c>
    </row>
    <row r="1056" spans="2:18" x14ac:dyDescent="0.25">
      <c r="B1056" s="21">
        <v>1054</v>
      </c>
      <c r="C1056" s="21" t="s">
        <v>1188</v>
      </c>
      <c r="D1056" s="21" t="s">
        <v>138</v>
      </c>
      <c r="E1056">
        <f>FIND(",", tblPassengerNames[[#This Row],[Name]])</f>
        <v>5</v>
      </c>
      <c r="F1056">
        <f>FIND(".", tblPassengerNames[[#This Row],[Name]])</f>
        <v>9</v>
      </c>
      <c r="G1056" t="e">
        <f>FIND("(", tblPassengerNames[[#This Row],[Name]])</f>
        <v>#VALUE!</v>
      </c>
      <c r="H1056" t="e">
        <f>FIND(")", tblPassengerNames[[#This Row],[Name]])</f>
        <v>#VALUE!</v>
      </c>
      <c r="I1056">
        <f>IFERROR(tblPassengerNames[[#This Row],[OpenParPos]] - 2, LEN(tblPassengerNames[[#This Row],[Name]]))</f>
        <v>17</v>
      </c>
      <c r="J1056" t="str">
        <f>MID(tblPassengerNames[[#This Row],[Name]], tblPassengerNames[[#This Row],[DotPos]] + 2, tblPassengerNames[[#This Row],[EndOfConvFNPos]] - tblPassengerNames[[#This Row],[DotPos]] - 1)</f>
        <v>Mustafa</v>
      </c>
      <c r="K1056" t="e">
        <f>MID(tblPassengerNames[[#This Row],[Name]], tblPassengerNames[[#This Row],[OpenParPos]] + 1, tblPassengerNames[[#This Row],[CloseParPos]] - tblPassengerNames[[#This Row],[OpenParPos]] - 1)</f>
        <v>#VALUE!</v>
      </c>
      <c r="L1056" t="e">
        <f>IF(AND(LEFT(tblPassengerNames[[#This Row],[InParentheses]], 1) = "'", RIGHT(tblPassengerNames[[#This Row],[InParentheses]], 1) = "'"),
    #VALUE!,
    tblPassengerNames[[#This Row],[InParentheses]]
)</f>
        <v>#VALUE!</v>
      </c>
      <c r="M1056" t="e">
        <f>LEN(tblPassengerNames[[#This Row],[InParenthesesCleaned]]) - LEN(SUBSTITUTE(tblPassengerNames[[#This Row],[InParenthesesCleaned]], " ", ""))</f>
        <v>#VALUE!</v>
      </c>
      <c r="N1056" t="e">
        <f>FIND("@", SUBSTITUTE(tblPassengerNames[[#This Row],[InParenthesesCleaned]], " ", "@", tblPassengerNames[[#This Row],[P_NSpaces]]))</f>
        <v>#VALUE!</v>
      </c>
      <c r="O1056" t="e">
        <f>IF(tblPassengerNames[[#This Row],[P_NSpaces]] = 0,
    tblPassengerNames[[#This Row],[InParenthesesCleaned]],
    LEFT(tblPassengerNames[[#This Row],[InParenthesesCleaned]], tblPassengerNames[[#This Row],[P_FinalSpacePos]] - 1)
)</f>
        <v>#VALUE!</v>
      </c>
      <c r="P1056" t="str">
        <f>IFERROR(tblPassengerNames[[#This Row],[P_Forenames]], tblPassengerNames[[#This Row],[ConvForenames]])</f>
        <v>Mustafa</v>
      </c>
      <c r="Q1056" t="str">
        <f>MID(tblPassengerNames[[#This Row],[Name]], tblPassengerNames[[#This Row],[CommaPos]] + 2, tblPassengerNames[[#This Row],[DotPos]] - tblPassengerNames[[#This Row],[CommaPos]] - 1)</f>
        <v>Mr.</v>
      </c>
      <c r="R1056" t="str">
        <f>LEFT(tblPassengerNames[[#This Row],[Name]], tblPassengerNames[[#This Row],[CommaPos]] - 1)</f>
        <v>Nasr</v>
      </c>
    </row>
    <row r="1057" spans="2:18" x14ac:dyDescent="0.25">
      <c r="B1057" s="21">
        <v>1055</v>
      </c>
      <c r="C1057" s="21" t="s">
        <v>1189</v>
      </c>
      <c r="D1057" s="21" t="s">
        <v>136</v>
      </c>
      <c r="E1057">
        <f>FIND(",", tblPassengerNames[[#This Row],[Name]])</f>
        <v>9</v>
      </c>
      <c r="F1057">
        <f>FIND(".", tblPassengerNames[[#This Row],[Name]])</f>
        <v>15</v>
      </c>
      <c r="G1057" t="e">
        <f>FIND("(", tblPassengerNames[[#This Row],[Name]])</f>
        <v>#VALUE!</v>
      </c>
      <c r="H1057" t="e">
        <f>FIND(")", tblPassengerNames[[#This Row],[Name]])</f>
        <v>#VALUE!</v>
      </c>
      <c r="I1057">
        <f>IFERROR(tblPassengerNames[[#This Row],[OpenParPos]] - 2, LEN(tblPassengerNames[[#This Row],[Name]]))</f>
        <v>22</v>
      </c>
      <c r="J1057" t="str">
        <f>MID(tblPassengerNames[[#This Row],[Name]], tblPassengerNames[[#This Row],[DotPos]] + 2, tblPassengerNames[[#This Row],[EndOfConvFNPos]] - tblPassengerNames[[#This Row],[DotPos]] - 1)</f>
        <v>Hannah</v>
      </c>
      <c r="K1057" t="e">
        <f>MID(tblPassengerNames[[#This Row],[Name]], tblPassengerNames[[#This Row],[OpenParPos]] + 1, tblPassengerNames[[#This Row],[CloseParPos]] - tblPassengerNames[[#This Row],[OpenParPos]] - 1)</f>
        <v>#VALUE!</v>
      </c>
      <c r="L1057" t="e">
        <f>IF(AND(LEFT(tblPassengerNames[[#This Row],[InParentheses]], 1) = "'", RIGHT(tblPassengerNames[[#This Row],[InParentheses]], 1) = "'"),
    #VALUE!,
    tblPassengerNames[[#This Row],[InParentheses]]
)</f>
        <v>#VALUE!</v>
      </c>
      <c r="M1057" t="e">
        <f>LEN(tblPassengerNames[[#This Row],[InParenthesesCleaned]]) - LEN(SUBSTITUTE(tblPassengerNames[[#This Row],[InParenthesesCleaned]], " ", ""))</f>
        <v>#VALUE!</v>
      </c>
      <c r="N1057" t="e">
        <f>FIND("@", SUBSTITUTE(tblPassengerNames[[#This Row],[InParenthesesCleaned]], " ", "@", tblPassengerNames[[#This Row],[P_NSpaces]]))</f>
        <v>#VALUE!</v>
      </c>
      <c r="O1057" t="e">
        <f>IF(tblPassengerNames[[#This Row],[P_NSpaces]] = 0,
    tblPassengerNames[[#This Row],[InParenthesesCleaned]],
    LEFT(tblPassengerNames[[#This Row],[InParenthesesCleaned]], tblPassengerNames[[#This Row],[P_FinalSpacePos]] - 1)
)</f>
        <v>#VALUE!</v>
      </c>
      <c r="P1057" t="str">
        <f>IFERROR(tblPassengerNames[[#This Row],[P_Forenames]], tblPassengerNames[[#This Row],[ConvForenames]])</f>
        <v>Hannah</v>
      </c>
      <c r="Q1057" t="str">
        <f>MID(tblPassengerNames[[#This Row],[Name]], tblPassengerNames[[#This Row],[CommaPos]] + 2, tblPassengerNames[[#This Row],[DotPos]] - tblPassengerNames[[#This Row],[CommaPos]] - 1)</f>
        <v>Miss.</v>
      </c>
      <c r="R1057" t="str">
        <f>LEFT(tblPassengerNames[[#This Row],[Name]], tblPassengerNames[[#This Row],[CommaPos]] - 1)</f>
        <v>Naughton</v>
      </c>
    </row>
    <row r="1058" spans="2:18" x14ac:dyDescent="0.25">
      <c r="B1058" s="21">
        <v>1056</v>
      </c>
      <c r="C1058" s="21" t="s">
        <v>1190</v>
      </c>
      <c r="D1058" s="21" t="s">
        <v>138</v>
      </c>
      <c r="E1058">
        <f>FIND(",", tblPassengerNames[[#This Row],[Name]])</f>
        <v>8</v>
      </c>
      <c r="F1058">
        <f>FIND(".", tblPassengerNames[[#This Row],[Name]])</f>
        <v>12</v>
      </c>
      <c r="G1058" t="e">
        <f>FIND("(", tblPassengerNames[[#This Row],[Name]])</f>
        <v>#VALUE!</v>
      </c>
      <c r="H1058" t="e">
        <f>FIND(")", tblPassengerNames[[#This Row],[Name]])</f>
        <v>#VALUE!</v>
      </c>
      <c r="I1058">
        <f>IFERROR(tblPassengerNames[[#This Row],[OpenParPos]] - 2, LEN(tblPassengerNames[[#This Row],[Name]]))</f>
        <v>20</v>
      </c>
      <c r="J1058" t="str">
        <f>MID(tblPassengerNames[[#This Row],[Name]], tblPassengerNames[[#This Row],[DotPos]] + 2, tblPassengerNames[[#This Row],[EndOfConvFNPos]] - tblPassengerNames[[#This Row],[DotPos]] - 1)</f>
        <v>Christo</v>
      </c>
      <c r="K1058" t="e">
        <f>MID(tblPassengerNames[[#This Row],[Name]], tblPassengerNames[[#This Row],[OpenParPos]] + 1, tblPassengerNames[[#This Row],[CloseParPos]] - tblPassengerNames[[#This Row],[OpenParPos]] - 1)</f>
        <v>#VALUE!</v>
      </c>
      <c r="L1058" t="e">
        <f>IF(AND(LEFT(tblPassengerNames[[#This Row],[InParentheses]], 1) = "'", RIGHT(tblPassengerNames[[#This Row],[InParentheses]], 1) = "'"),
    #VALUE!,
    tblPassengerNames[[#This Row],[InParentheses]]
)</f>
        <v>#VALUE!</v>
      </c>
      <c r="M1058" t="e">
        <f>LEN(tblPassengerNames[[#This Row],[InParenthesesCleaned]]) - LEN(SUBSTITUTE(tblPassengerNames[[#This Row],[InParenthesesCleaned]], " ", ""))</f>
        <v>#VALUE!</v>
      </c>
      <c r="N1058" t="e">
        <f>FIND("@", SUBSTITUTE(tblPassengerNames[[#This Row],[InParenthesesCleaned]], " ", "@", tblPassengerNames[[#This Row],[P_NSpaces]]))</f>
        <v>#VALUE!</v>
      </c>
      <c r="O1058" t="e">
        <f>IF(tblPassengerNames[[#This Row],[P_NSpaces]] = 0,
    tblPassengerNames[[#This Row],[InParenthesesCleaned]],
    LEFT(tblPassengerNames[[#This Row],[InParenthesesCleaned]], tblPassengerNames[[#This Row],[P_FinalSpacePos]] - 1)
)</f>
        <v>#VALUE!</v>
      </c>
      <c r="P1058" t="str">
        <f>IFERROR(tblPassengerNames[[#This Row],[P_Forenames]], tblPassengerNames[[#This Row],[ConvForenames]])</f>
        <v>Christo</v>
      </c>
      <c r="Q1058" t="str">
        <f>MID(tblPassengerNames[[#This Row],[Name]], tblPassengerNames[[#This Row],[CommaPos]] + 2, tblPassengerNames[[#This Row],[DotPos]] - tblPassengerNames[[#This Row],[CommaPos]] - 1)</f>
        <v>Mr.</v>
      </c>
      <c r="R1058" t="str">
        <f>LEFT(tblPassengerNames[[#This Row],[Name]], tblPassengerNames[[#This Row],[CommaPos]] - 1)</f>
        <v>Nenkoff</v>
      </c>
    </row>
    <row r="1059" spans="2:18" x14ac:dyDescent="0.25">
      <c r="B1059" s="21">
        <v>1057</v>
      </c>
      <c r="C1059" s="21" t="s">
        <v>1191</v>
      </c>
      <c r="D1059" s="21" t="s">
        <v>138</v>
      </c>
      <c r="E1059">
        <f>FIND(",", tblPassengerNames[[#This Row],[Name]])</f>
        <v>14</v>
      </c>
      <c r="F1059">
        <f>FIND(".", tblPassengerNames[[#This Row],[Name]])</f>
        <v>22</v>
      </c>
      <c r="G1059" t="e">
        <f>FIND("(", tblPassengerNames[[#This Row],[Name]])</f>
        <v>#VALUE!</v>
      </c>
      <c r="H1059" t="e">
        <f>FIND(")", tblPassengerNames[[#This Row],[Name]])</f>
        <v>#VALUE!</v>
      </c>
      <c r="I1059">
        <f>IFERROR(tblPassengerNames[[#This Row],[OpenParPos]] - 2, LEN(tblPassengerNames[[#This Row],[Name]]))</f>
        <v>28</v>
      </c>
      <c r="J1059" t="str">
        <f>MID(tblPassengerNames[[#This Row],[Name]], tblPassengerNames[[#This Row],[DotPos]] + 2, tblPassengerNames[[#This Row],[EndOfConvFNPos]] - tblPassengerNames[[#This Row],[DotPos]] - 1)</f>
        <v>Elias</v>
      </c>
      <c r="K1059" t="e">
        <f>MID(tblPassengerNames[[#This Row],[Name]], tblPassengerNames[[#This Row],[OpenParPos]] + 1, tblPassengerNames[[#This Row],[CloseParPos]] - tblPassengerNames[[#This Row],[OpenParPos]] - 1)</f>
        <v>#VALUE!</v>
      </c>
      <c r="L1059" t="e">
        <f>IF(AND(LEFT(tblPassengerNames[[#This Row],[InParentheses]], 1) = "'", RIGHT(tblPassengerNames[[#This Row],[InParentheses]], 1) = "'"),
    #VALUE!,
    tblPassengerNames[[#This Row],[InParentheses]]
)</f>
        <v>#VALUE!</v>
      </c>
      <c r="M1059" t="e">
        <f>LEN(tblPassengerNames[[#This Row],[InParenthesesCleaned]]) - LEN(SUBSTITUTE(tblPassengerNames[[#This Row],[InParenthesesCleaned]], " ", ""))</f>
        <v>#VALUE!</v>
      </c>
      <c r="N1059" t="e">
        <f>FIND("@", SUBSTITUTE(tblPassengerNames[[#This Row],[InParenthesesCleaned]], " ", "@", tblPassengerNames[[#This Row],[P_NSpaces]]))</f>
        <v>#VALUE!</v>
      </c>
      <c r="O1059" t="e">
        <f>IF(tblPassengerNames[[#This Row],[P_NSpaces]] = 0,
    tblPassengerNames[[#This Row],[InParenthesesCleaned]],
    LEFT(tblPassengerNames[[#This Row],[InParenthesesCleaned]], tblPassengerNames[[#This Row],[P_FinalSpacePos]] - 1)
)</f>
        <v>#VALUE!</v>
      </c>
      <c r="P1059" t="str">
        <f>IFERROR(tblPassengerNames[[#This Row],[P_Forenames]], tblPassengerNames[[#This Row],[ConvForenames]])</f>
        <v>Elias</v>
      </c>
      <c r="Q1059" t="str">
        <f>MID(tblPassengerNames[[#This Row],[Name]], tblPassengerNames[[#This Row],[CommaPos]] + 2, tblPassengerNames[[#This Row],[DotPos]] - tblPassengerNames[[#This Row],[CommaPos]] - 1)</f>
        <v>Master.</v>
      </c>
      <c r="R1059" t="str">
        <f>LEFT(tblPassengerNames[[#This Row],[Name]], tblPassengerNames[[#This Row],[CommaPos]] - 1)</f>
        <v>Nicola-Yarred</v>
      </c>
    </row>
    <row r="1060" spans="2:18" x14ac:dyDescent="0.25">
      <c r="B1060" s="21">
        <v>1058</v>
      </c>
      <c r="C1060" s="21" t="s">
        <v>1192</v>
      </c>
      <c r="D1060" s="21" t="s">
        <v>136</v>
      </c>
      <c r="E1060">
        <f>FIND(",", tblPassengerNames[[#This Row],[Name]])</f>
        <v>14</v>
      </c>
      <c r="F1060">
        <f>FIND(".", tblPassengerNames[[#This Row],[Name]])</f>
        <v>20</v>
      </c>
      <c r="G1060" t="e">
        <f>FIND("(", tblPassengerNames[[#This Row],[Name]])</f>
        <v>#VALUE!</v>
      </c>
      <c r="H1060" t="e">
        <f>FIND(")", tblPassengerNames[[#This Row],[Name]])</f>
        <v>#VALUE!</v>
      </c>
      <c r="I1060">
        <f>IFERROR(tblPassengerNames[[#This Row],[OpenParPos]] - 2, LEN(tblPassengerNames[[#This Row],[Name]]))</f>
        <v>27</v>
      </c>
      <c r="J1060" t="str">
        <f>MID(tblPassengerNames[[#This Row],[Name]], tblPassengerNames[[#This Row],[DotPos]] + 2, tblPassengerNames[[#This Row],[EndOfConvFNPos]] - tblPassengerNames[[#This Row],[DotPos]] - 1)</f>
        <v>Jamila</v>
      </c>
      <c r="K1060" t="e">
        <f>MID(tblPassengerNames[[#This Row],[Name]], tblPassengerNames[[#This Row],[OpenParPos]] + 1, tblPassengerNames[[#This Row],[CloseParPos]] - tblPassengerNames[[#This Row],[OpenParPos]] - 1)</f>
        <v>#VALUE!</v>
      </c>
      <c r="L1060" t="e">
        <f>IF(AND(LEFT(tblPassengerNames[[#This Row],[InParentheses]], 1) = "'", RIGHT(tblPassengerNames[[#This Row],[InParentheses]], 1) = "'"),
    #VALUE!,
    tblPassengerNames[[#This Row],[InParentheses]]
)</f>
        <v>#VALUE!</v>
      </c>
      <c r="M1060" t="e">
        <f>LEN(tblPassengerNames[[#This Row],[InParenthesesCleaned]]) - LEN(SUBSTITUTE(tblPassengerNames[[#This Row],[InParenthesesCleaned]], " ", ""))</f>
        <v>#VALUE!</v>
      </c>
      <c r="N1060" t="e">
        <f>FIND("@", SUBSTITUTE(tblPassengerNames[[#This Row],[InParenthesesCleaned]], " ", "@", tblPassengerNames[[#This Row],[P_NSpaces]]))</f>
        <v>#VALUE!</v>
      </c>
      <c r="O1060" t="e">
        <f>IF(tblPassengerNames[[#This Row],[P_NSpaces]] = 0,
    tblPassengerNames[[#This Row],[InParenthesesCleaned]],
    LEFT(tblPassengerNames[[#This Row],[InParenthesesCleaned]], tblPassengerNames[[#This Row],[P_FinalSpacePos]] - 1)
)</f>
        <v>#VALUE!</v>
      </c>
      <c r="P1060" t="str">
        <f>IFERROR(tblPassengerNames[[#This Row],[P_Forenames]], tblPassengerNames[[#This Row],[ConvForenames]])</f>
        <v>Jamila</v>
      </c>
      <c r="Q1060" t="str">
        <f>MID(tblPassengerNames[[#This Row],[Name]], tblPassengerNames[[#This Row],[CommaPos]] + 2, tblPassengerNames[[#This Row],[DotPos]] - tblPassengerNames[[#This Row],[CommaPos]] - 1)</f>
        <v>Miss.</v>
      </c>
      <c r="R1060" t="str">
        <f>LEFT(tblPassengerNames[[#This Row],[Name]], tblPassengerNames[[#This Row],[CommaPos]] - 1)</f>
        <v>Nicola-Yarred</v>
      </c>
    </row>
    <row r="1061" spans="2:18" x14ac:dyDescent="0.25">
      <c r="B1061" s="21">
        <v>1059</v>
      </c>
      <c r="C1061" s="21" t="s">
        <v>1193</v>
      </c>
      <c r="D1061" s="21" t="s">
        <v>136</v>
      </c>
      <c r="E1061">
        <f>FIND(",", tblPassengerNames[[#This Row],[Name]])</f>
        <v>9</v>
      </c>
      <c r="F1061">
        <f>FIND(".", tblPassengerNames[[#This Row],[Name]])</f>
        <v>15</v>
      </c>
      <c r="G1061" t="e">
        <f>FIND("(", tblPassengerNames[[#This Row],[Name]])</f>
        <v>#VALUE!</v>
      </c>
      <c r="H1061" t="e">
        <f>FIND(")", tblPassengerNames[[#This Row],[Name]])</f>
        <v>#VALUE!</v>
      </c>
      <c r="I1061">
        <f>IFERROR(tblPassengerNames[[#This Row],[OpenParPos]] - 2, LEN(tblPassengerNames[[#This Row],[Name]]))</f>
        <v>30</v>
      </c>
      <c r="J1061" t="str">
        <f>MID(tblPassengerNames[[#This Row],[Name]], tblPassengerNames[[#This Row],[DotPos]] + 2, tblPassengerNames[[#This Row],[EndOfConvFNPos]] - tblPassengerNames[[#This Row],[DotPos]] - 1)</f>
        <v>Manta Josefina</v>
      </c>
      <c r="K1061" t="e">
        <f>MID(tblPassengerNames[[#This Row],[Name]], tblPassengerNames[[#This Row],[OpenParPos]] + 1, tblPassengerNames[[#This Row],[CloseParPos]] - tblPassengerNames[[#This Row],[OpenParPos]] - 1)</f>
        <v>#VALUE!</v>
      </c>
      <c r="L1061" t="e">
        <f>IF(AND(LEFT(tblPassengerNames[[#This Row],[InParentheses]], 1) = "'", RIGHT(tblPassengerNames[[#This Row],[InParentheses]], 1) = "'"),
    #VALUE!,
    tblPassengerNames[[#This Row],[InParentheses]]
)</f>
        <v>#VALUE!</v>
      </c>
      <c r="M1061" t="e">
        <f>LEN(tblPassengerNames[[#This Row],[InParenthesesCleaned]]) - LEN(SUBSTITUTE(tblPassengerNames[[#This Row],[InParenthesesCleaned]], " ", ""))</f>
        <v>#VALUE!</v>
      </c>
      <c r="N1061" t="e">
        <f>FIND("@", SUBSTITUTE(tblPassengerNames[[#This Row],[InParenthesesCleaned]], " ", "@", tblPassengerNames[[#This Row],[P_NSpaces]]))</f>
        <v>#VALUE!</v>
      </c>
      <c r="O1061" t="e">
        <f>IF(tblPassengerNames[[#This Row],[P_NSpaces]] = 0,
    tblPassengerNames[[#This Row],[InParenthesesCleaned]],
    LEFT(tblPassengerNames[[#This Row],[InParenthesesCleaned]], tblPassengerNames[[#This Row],[P_FinalSpacePos]] - 1)
)</f>
        <v>#VALUE!</v>
      </c>
      <c r="P1061" t="str">
        <f>IFERROR(tblPassengerNames[[#This Row],[P_Forenames]], tblPassengerNames[[#This Row],[ConvForenames]])</f>
        <v>Manta Josefina</v>
      </c>
      <c r="Q1061" t="str">
        <f>MID(tblPassengerNames[[#This Row],[Name]], tblPassengerNames[[#This Row],[CommaPos]] + 2, tblPassengerNames[[#This Row],[DotPos]] - tblPassengerNames[[#This Row],[CommaPos]] - 1)</f>
        <v>Miss.</v>
      </c>
      <c r="R1061" t="str">
        <f>LEFT(tblPassengerNames[[#This Row],[Name]], tblPassengerNames[[#This Row],[CommaPos]] - 1)</f>
        <v>Nieminen</v>
      </c>
    </row>
    <row r="1062" spans="2:18" x14ac:dyDescent="0.25">
      <c r="B1062" s="21">
        <v>1060</v>
      </c>
      <c r="C1062" s="21" t="s">
        <v>1194</v>
      </c>
      <c r="D1062" s="21" t="s">
        <v>138</v>
      </c>
      <c r="E1062">
        <f>FIND(",", tblPassengerNames[[#This Row],[Name]])</f>
        <v>10</v>
      </c>
      <c r="F1062">
        <f>FIND(".", tblPassengerNames[[#This Row],[Name]])</f>
        <v>14</v>
      </c>
      <c r="G1062" t="e">
        <f>FIND("(", tblPassengerNames[[#This Row],[Name]])</f>
        <v>#VALUE!</v>
      </c>
      <c r="H1062" t="e">
        <f>FIND(")", tblPassengerNames[[#This Row],[Name]])</f>
        <v>#VALUE!</v>
      </c>
      <c r="I1062">
        <f>IFERROR(tblPassengerNames[[#This Row],[OpenParPos]] - 2, LEN(tblPassengerNames[[#This Row],[Name]]))</f>
        <v>21</v>
      </c>
      <c r="J1062" t="str">
        <f>MID(tblPassengerNames[[#This Row],[Name]], tblPassengerNames[[#This Row],[DotPos]] + 2, tblPassengerNames[[#This Row],[EndOfConvFNPos]] - tblPassengerNames[[#This Row],[DotPos]] - 1)</f>
        <v>Samuel</v>
      </c>
      <c r="K1062" t="e">
        <f>MID(tblPassengerNames[[#This Row],[Name]], tblPassengerNames[[#This Row],[OpenParPos]] + 1, tblPassengerNames[[#This Row],[CloseParPos]] - tblPassengerNames[[#This Row],[OpenParPos]] - 1)</f>
        <v>#VALUE!</v>
      </c>
      <c r="L1062" t="e">
        <f>IF(AND(LEFT(tblPassengerNames[[#This Row],[InParentheses]], 1) = "'", RIGHT(tblPassengerNames[[#This Row],[InParentheses]], 1) = "'"),
    #VALUE!,
    tblPassengerNames[[#This Row],[InParentheses]]
)</f>
        <v>#VALUE!</v>
      </c>
      <c r="M1062" t="e">
        <f>LEN(tblPassengerNames[[#This Row],[InParenthesesCleaned]]) - LEN(SUBSTITUTE(tblPassengerNames[[#This Row],[InParenthesesCleaned]], " ", ""))</f>
        <v>#VALUE!</v>
      </c>
      <c r="N1062" t="e">
        <f>FIND("@", SUBSTITUTE(tblPassengerNames[[#This Row],[InParenthesesCleaned]], " ", "@", tblPassengerNames[[#This Row],[P_NSpaces]]))</f>
        <v>#VALUE!</v>
      </c>
      <c r="O1062" t="e">
        <f>IF(tblPassengerNames[[#This Row],[P_NSpaces]] = 0,
    tblPassengerNames[[#This Row],[InParenthesesCleaned]],
    LEFT(tblPassengerNames[[#This Row],[InParenthesesCleaned]], tblPassengerNames[[#This Row],[P_FinalSpacePos]] - 1)
)</f>
        <v>#VALUE!</v>
      </c>
      <c r="P1062" t="str">
        <f>IFERROR(tblPassengerNames[[#This Row],[P_Forenames]], tblPassengerNames[[#This Row],[ConvForenames]])</f>
        <v>Samuel</v>
      </c>
      <c r="Q1062" t="str">
        <f>MID(tblPassengerNames[[#This Row],[Name]], tblPassengerNames[[#This Row],[CommaPos]] + 2, tblPassengerNames[[#This Row],[DotPos]] - tblPassengerNames[[#This Row],[CommaPos]] - 1)</f>
        <v>Mr.</v>
      </c>
      <c r="R1062" t="str">
        <f>LEFT(tblPassengerNames[[#This Row],[Name]], tblPassengerNames[[#This Row],[CommaPos]] - 1)</f>
        <v>Niklasson</v>
      </c>
    </row>
    <row r="1063" spans="2:18" x14ac:dyDescent="0.25">
      <c r="B1063" s="21">
        <v>1061</v>
      </c>
      <c r="C1063" s="21" t="s">
        <v>1195</v>
      </c>
      <c r="D1063" s="21" t="s">
        <v>136</v>
      </c>
      <c r="E1063">
        <f>FIND(",", tblPassengerNames[[#This Row],[Name]])</f>
        <v>8</v>
      </c>
      <c r="F1063">
        <f>FIND(".", tblPassengerNames[[#This Row],[Name]])</f>
        <v>14</v>
      </c>
      <c r="G1063" t="e">
        <f>FIND("(", tblPassengerNames[[#This Row],[Name]])</f>
        <v>#VALUE!</v>
      </c>
      <c r="H1063" t="e">
        <f>FIND(")", tblPassengerNames[[#This Row],[Name]])</f>
        <v>#VALUE!</v>
      </c>
      <c r="I1063">
        <f>IFERROR(tblPassengerNames[[#This Row],[OpenParPos]] - 2, LEN(tblPassengerNames[[#This Row],[Name]]))</f>
        <v>27</v>
      </c>
      <c r="J1063" t="str">
        <f>MID(tblPassengerNames[[#This Row],[Name]], tblPassengerNames[[#This Row],[DotPos]] + 2, tblPassengerNames[[#This Row],[EndOfConvFNPos]] - tblPassengerNames[[#This Row],[DotPos]] - 1)</f>
        <v>Berta Olivia</v>
      </c>
      <c r="K1063" t="e">
        <f>MID(tblPassengerNames[[#This Row],[Name]], tblPassengerNames[[#This Row],[OpenParPos]] + 1, tblPassengerNames[[#This Row],[CloseParPos]] - tblPassengerNames[[#This Row],[OpenParPos]] - 1)</f>
        <v>#VALUE!</v>
      </c>
      <c r="L1063" t="e">
        <f>IF(AND(LEFT(tblPassengerNames[[#This Row],[InParentheses]], 1) = "'", RIGHT(tblPassengerNames[[#This Row],[InParentheses]], 1) = "'"),
    #VALUE!,
    tblPassengerNames[[#This Row],[InParentheses]]
)</f>
        <v>#VALUE!</v>
      </c>
      <c r="M1063" t="e">
        <f>LEN(tblPassengerNames[[#This Row],[InParenthesesCleaned]]) - LEN(SUBSTITUTE(tblPassengerNames[[#This Row],[InParenthesesCleaned]], " ", ""))</f>
        <v>#VALUE!</v>
      </c>
      <c r="N1063" t="e">
        <f>FIND("@", SUBSTITUTE(tblPassengerNames[[#This Row],[InParenthesesCleaned]], " ", "@", tblPassengerNames[[#This Row],[P_NSpaces]]))</f>
        <v>#VALUE!</v>
      </c>
      <c r="O1063" t="e">
        <f>IF(tblPassengerNames[[#This Row],[P_NSpaces]] = 0,
    tblPassengerNames[[#This Row],[InParenthesesCleaned]],
    LEFT(tblPassengerNames[[#This Row],[InParenthesesCleaned]], tblPassengerNames[[#This Row],[P_FinalSpacePos]] - 1)
)</f>
        <v>#VALUE!</v>
      </c>
      <c r="P1063" t="str">
        <f>IFERROR(tblPassengerNames[[#This Row],[P_Forenames]], tblPassengerNames[[#This Row],[ConvForenames]])</f>
        <v>Berta Olivia</v>
      </c>
      <c r="Q1063" t="str">
        <f>MID(tblPassengerNames[[#This Row],[Name]], tblPassengerNames[[#This Row],[CommaPos]] + 2, tblPassengerNames[[#This Row],[DotPos]] - tblPassengerNames[[#This Row],[CommaPos]] - 1)</f>
        <v>Miss.</v>
      </c>
      <c r="R1063" t="str">
        <f>LEFT(tblPassengerNames[[#This Row],[Name]], tblPassengerNames[[#This Row],[CommaPos]] - 1)</f>
        <v>Nilsson</v>
      </c>
    </row>
    <row r="1064" spans="2:18" x14ac:dyDescent="0.25">
      <c r="B1064" s="21">
        <v>1062</v>
      </c>
      <c r="C1064" s="21" t="s">
        <v>1196</v>
      </c>
      <c r="D1064" s="21" t="s">
        <v>136</v>
      </c>
      <c r="E1064">
        <f>FIND(",", tblPassengerNames[[#This Row],[Name]])</f>
        <v>8</v>
      </c>
      <c r="F1064">
        <f>FIND(".", tblPassengerNames[[#This Row],[Name]])</f>
        <v>14</v>
      </c>
      <c r="G1064" t="e">
        <f>FIND("(", tblPassengerNames[[#This Row],[Name]])</f>
        <v>#VALUE!</v>
      </c>
      <c r="H1064" t="e">
        <f>FIND(")", tblPassengerNames[[#This Row],[Name]])</f>
        <v>#VALUE!</v>
      </c>
      <c r="I1064">
        <f>IFERROR(tblPassengerNames[[#This Row],[OpenParPos]] - 2, LEN(tblPassengerNames[[#This Row],[Name]]))</f>
        <v>31</v>
      </c>
      <c r="J1064" t="str">
        <f>MID(tblPassengerNames[[#This Row],[Name]], tblPassengerNames[[#This Row],[DotPos]] + 2, tblPassengerNames[[#This Row],[EndOfConvFNPos]] - tblPassengerNames[[#This Row],[DotPos]] - 1)</f>
        <v>Helmina Josefina</v>
      </c>
      <c r="K1064" t="e">
        <f>MID(tblPassengerNames[[#This Row],[Name]], tblPassengerNames[[#This Row],[OpenParPos]] + 1, tblPassengerNames[[#This Row],[CloseParPos]] - tblPassengerNames[[#This Row],[OpenParPos]] - 1)</f>
        <v>#VALUE!</v>
      </c>
      <c r="L1064" t="e">
        <f>IF(AND(LEFT(tblPassengerNames[[#This Row],[InParentheses]], 1) = "'", RIGHT(tblPassengerNames[[#This Row],[InParentheses]], 1) = "'"),
    #VALUE!,
    tblPassengerNames[[#This Row],[InParentheses]]
)</f>
        <v>#VALUE!</v>
      </c>
      <c r="M1064" t="e">
        <f>LEN(tblPassengerNames[[#This Row],[InParenthesesCleaned]]) - LEN(SUBSTITUTE(tblPassengerNames[[#This Row],[InParenthesesCleaned]], " ", ""))</f>
        <v>#VALUE!</v>
      </c>
      <c r="N1064" t="e">
        <f>FIND("@", SUBSTITUTE(tblPassengerNames[[#This Row],[InParenthesesCleaned]], " ", "@", tblPassengerNames[[#This Row],[P_NSpaces]]))</f>
        <v>#VALUE!</v>
      </c>
      <c r="O1064" t="e">
        <f>IF(tblPassengerNames[[#This Row],[P_NSpaces]] = 0,
    tblPassengerNames[[#This Row],[InParenthesesCleaned]],
    LEFT(tblPassengerNames[[#This Row],[InParenthesesCleaned]], tblPassengerNames[[#This Row],[P_FinalSpacePos]] - 1)
)</f>
        <v>#VALUE!</v>
      </c>
      <c r="P1064" t="str">
        <f>IFERROR(tblPassengerNames[[#This Row],[P_Forenames]], tblPassengerNames[[#This Row],[ConvForenames]])</f>
        <v>Helmina Josefina</v>
      </c>
      <c r="Q1064" t="str">
        <f>MID(tblPassengerNames[[#This Row],[Name]], tblPassengerNames[[#This Row],[CommaPos]] + 2, tblPassengerNames[[#This Row],[DotPos]] - tblPassengerNames[[#This Row],[CommaPos]] - 1)</f>
        <v>Miss.</v>
      </c>
      <c r="R1064" t="str">
        <f>LEFT(tblPassengerNames[[#This Row],[Name]], tblPassengerNames[[#This Row],[CommaPos]] - 1)</f>
        <v>Nilsson</v>
      </c>
    </row>
    <row r="1065" spans="2:18" x14ac:dyDescent="0.25">
      <c r="B1065" s="21">
        <v>1063</v>
      </c>
      <c r="C1065" s="21" t="s">
        <v>1197</v>
      </c>
      <c r="D1065" s="21" t="s">
        <v>138</v>
      </c>
      <c r="E1065">
        <f>FIND(",", tblPassengerNames[[#This Row],[Name]])</f>
        <v>8</v>
      </c>
      <c r="F1065">
        <f>FIND(".", tblPassengerNames[[#This Row],[Name]])</f>
        <v>12</v>
      </c>
      <c r="G1065" t="e">
        <f>FIND("(", tblPassengerNames[[#This Row],[Name]])</f>
        <v>#VALUE!</v>
      </c>
      <c r="H1065" t="e">
        <f>FIND(")", tblPassengerNames[[#This Row],[Name]])</f>
        <v>#VALUE!</v>
      </c>
      <c r="I1065">
        <f>IFERROR(tblPassengerNames[[#This Row],[OpenParPos]] - 2, LEN(tblPassengerNames[[#This Row],[Name]]))</f>
        <v>29</v>
      </c>
      <c r="J1065" t="str">
        <f>MID(tblPassengerNames[[#This Row],[Name]], tblPassengerNames[[#This Row],[DotPos]] + 2, tblPassengerNames[[#This Row],[EndOfConvFNPos]] - tblPassengerNames[[#This Row],[DotPos]] - 1)</f>
        <v>August Ferdinand</v>
      </c>
      <c r="K1065" t="e">
        <f>MID(tblPassengerNames[[#This Row],[Name]], tblPassengerNames[[#This Row],[OpenParPos]] + 1, tblPassengerNames[[#This Row],[CloseParPos]] - tblPassengerNames[[#This Row],[OpenParPos]] - 1)</f>
        <v>#VALUE!</v>
      </c>
      <c r="L1065" t="e">
        <f>IF(AND(LEFT(tblPassengerNames[[#This Row],[InParentheses]], 1) = "'", RIGHT(tblPassengerNames[[#This Row],[InParentheses]], 1) = "'"),
    #VALUE!,
    tblPassengerNames[[#This Row],[InParentheses]]
)</f>
        <v>#VALUE!</v>
      </c>
      <c r="M1065" t="e">
        <f>LEN(tblPassengerNames[[#This Row],[InParenthesesCleaned]]) - LEN(SUBSTITUTE(tblPassengerNames[[#This Row],[InParenthesesCleaned]], " ", ""))</f>
        <v>#VALUE!</v>
      </c>
      <c r="N1065" t="e">
        <f>FIND("@", SUBSTITUTE(tblPassengerNames[[#This Row],[InParenthesesCleaned]], " ", "@", tblPassengerNames[[#This Row],[P_NSpaces]]))</f>
        <v>#VALUE!</v>
      </c>
      <c r="O1065" t="e">
        <f>IF(tblPassengerNames[[#This Row],[P_NSpaces]] = 0,
    tblPassengerNames[[#This Row],[InParenthesesCleaned]],
    LEFT(tblPassengerNames[[#This Row],[InParenthesesCleaned]], tblPassengerNames[[#This Row],[P_FinalSpacePos]] - 1)
)</f>
        <v>#VALUE!</v>
      </c>
      <c r="P1065" t="str">
        <f>IFERROR(tblPassengerNames[[#This Row],[P_Forenames]], tblPassengerNames[[#This Row],[ConvForenames]])</f>
        <v>August Ferdinand</v>
      </c>
      <c r="Q1065" t="str">
        <f>MID(tblPassengerNames[[#This Row],[Name]], tblPassengerNames[[#This Row],[CommaPos]] + 2, tblPassengerNames[[#This Row],[DotPos]] - tblPassengerNames[[#This Row],[CommaPos]] - 1)</f>
        <v>Mr.</v>
      </c>
      <c r="R1065" t="str">
        <f>LEFT(tblPassengerNames[[#This Row],[Name]], tblPassengerNames[[#This Row],[CommaPos]] - 1)</f>
        <v>Nilsson</v>
      </c>
    </row>
    <row r="1066" spans="2:18" x14ac:dyDescent="0.25">
      <c r="B1066" s="21">
        <v>1064</v>
      </c>
      <c r="C1066" s="21" t="s">
        <v>1198</v>
      </c>
      <c r="D1066" s="21" t="s">
        <v>138</v>
      </c>
      <c r="E1066">
        <f>FIND(",", tblPassengerNames[[#This Row],[Name]])</f>
        <v>6</v>
      </c>
      <c r="F1066">
        <f>FIND(".", tblPassengerNames[[#This Row],[Name]])</f>
        <v>10</v>
      </c>
      <c r="G1066" t="e">
        <f>FIND("(", tblPassengerNames[[#This Row],[Name]])</f>
        <v>#VALUE!</v>
      </c>
      <c r="H1066" t="e">
        <f>FIND(")", tblPassengerNames[[#This Row],[Name]])</f>
        <v>#VALUE!</v>
      </c>
      <c r="I1066">
        <f>IFERROR(tblPassengerNames[[#This Row],[OpenParPos]] - 2, LEN(tblPassengerNames[[#This Row],[Name]]))</f>
        <v>30</v>
      </c>
      <c r="J1066" t="str">
        <f>MID(tblPassengerNames[[#This Row],[Name]], tblPassengerNames[[#This Row],[DotPos]] + 2, tblPassengerNames[[#This Row],[EndOfConvFNPos]] - tblPassengerNames[[#This Row],[DotPos]] - 1)</f>
        <v>Iisakki Antino Aijo</v>
      </c>
      <c r="K1066" t="e">
        <f>MID(tblPassengerNames[[#This Row],[Name]], tblPassengerNames[[#This Row],[OpenParPos]] + 1, tblPassengerNames[[#This Row],[CloseParPos]] - tblPassengerNames[[#This Row],[OpenParPos]] - 1)</f>
        <v>#VALUE!</v>
      </c>
      <c r="L1066" t="e">
        <f>IF(AND(LEFT(tblPassengerNames[[#This Row],[InParentheses]], 1) = "'", RIGHT(tblPassengerNames[[#This Row],[InParentheses]], 1) = "'"),
    #VALUE!,
    tblPassengerNames[[#This Row],[InParentheses]]
)</f>
        <v>#VALUE!</v>
      </c>
      <c r="M1066" t="e">
        <f>LEN(tblPassengerNames[[#This Row],[InParenthesesCleaned]]) - LEN(SUBSTITUTE(tblPassengerNames[[#This Row],[InParenthesesCleaned]], " ", ""))</f>
        <v>#VALUE!</v>
      </c>
      <c r="N1066" t="e">
        <f>FIND("@", SUBSTITUTE(tblPassengerNames[[#This Row],[InParenthesesCleaned]], " ", "@", tblPassengerNames[[#This Row],[P_NSpaces]]))</f>
        <v>#VALUE!</v>
      </c>
      <c r="O1066" t="e">
        <f>IF(tblPassengerNames[[#This Row],[P_NSpaces]] = 0,
    tblPassengerNames[[#This Row],[InParenthesesCleaned]],
    LEFT(tblPassengerNames[[#This Row],[InParenthesesCleaned]], tblPassengerNames[[#This Row],[P_FinalSpacePos]] - 1)
)</f>
        <v>#VALUE!</v>
      </c>
      <c r="P1066" t="str">
        <f>IFERROR(tblPassengerNames[[#This Row],[P_Forenames]], tblPassengerNames[[#This Row],[ConvForenames]])</f>
        <v>Iisakki Antino Aijo</v>
      </c>
      <c r="Q1066" t="str">
        <f>MID(tblPassengerNames[[#This Row],[Name]], tblPassengerNames[[#This Row],[CommaPos]] + 2, tblPassengerNames[[#This Row],[DotPos]] - tblPassengerNames[[#This Row],[CommaPos]] - 1)</f>
        <v>Mr.</v>
      </c>
      <c r="R1066" t="str">
        <f>LEFT(tblPassengerNames[[#This Row],[Name]], tblPassengerNames[[#This Row],[CommaPos]] - 1)</f>
        <v>Nirva</v>
      </c>
    </row>
    <row r="1067" spans="2:18" x14ac:dyDescent="0.25">
      <c r="B1067" s="21">
        <v>1065</v>
      </c>
      <c r="C1067" s="21" t="s">
        <v>1199</v>
      </c>
      <c r="D1067" s="21" t="s">
        <v>138</v>
      </c>
      <c r="E1067">
        <f>FIND(",", tblPassengerNames[[#This Row],[Name]])</f>
        <v>9</v>
      </c>
      <c r="F1067">
        <f>FIND(".", tblPassengerNames[[#This Row],[Name]])</f>
        <v>13</v>
      </c>
      <c r="G1067" t="e">
        <f>FIND("(", tblPassengerNames[[#This Row],[Name]])</f>
        <v>#VALUE!</v>
      </c>
      <c r="H1067" t="e">
        <f>FIND(")", tblPassengerNames[[#This Row],[Name]])</f>
        <v>#VALUE!</v>
      </c>
      <c r="I1067">
        <f>IFERROR(tblPassengerNames[[#This Row],[OpenParPos]] - 2, LEN(tblPassengerNames[[#This Row],[Name]]))</f>
        <v>18</v>
      </c>
      <c r="J1067" t="str">
        <f>MID(tblPassengerNames[[#This Row],[Name]], tblPassengerNames[[#This Row],[DotPos]] + 2, tblPassengerNames[[#This Row],[EndOfConvFNPos]] - tblPassengerNames[[#This Row],[DotPos]] - 1)</f>
        <v>Juha</v>
      </c>
      <c r="K1067" t="e">
        <f>MID(tblPassengerNames[[#This Row],[Name]], tblPassengerNames[[#This Row],[OpenParPos]] + 1, tblPassengerNames[[#This Row],[CloseParPos]] - tblPassengerNames[[#This Row],[OpenParPos]] - 1)</f>
        <v>#VALUE!</v>
      </c>
      <c r="L1067" t="e">
        <f>IF(AND(LEFT(tblPassengerNames[[#This Row],[InParentheses]], 1) = "'", RIGHT(tblPassengerNames[[#This Row],[InParentheses]], 1) = "'"),
    #VALUE!,
    tblPassengerNames[[#This Row],[InParentheses]]
)</f>
        <v>#VALUE!</v>
      </c>
      <c r="M1067" t="e">
        <f>LEN(tblPassengerNames[[#This Row],[InParenthesesCleaned]]) - LEN(SUBSTITUTE(tblPassengerNames[[#This Row],[InParenthesesCleaned]], " ", ""))</f>
        <v>#VALUE!</v>
      </c>
      <c r="N1067" t="e">
        <f>FIND("@", SUBSTITUTE(tblPassengerNames[[#This Row],[InParenthesesCleaned]], " ", "@", tblPassengerNames[[#This Row],[P_NSpaces]]))</f>
        <v>#VALUE!</v>
      </c>
      <c r="O1067" t="e">
        <f>IF(tblPassengerNames[[#This Row],[P_NSpaces]] = 0,
    tblPassengerNames[[#This Row],[InParenthesesCleaned]],
    LEFT(tblPassengerNames[[#This Row],[InParenthesesCleaned]], tblPassengerNames[[#This Row],[P_FinalSpacePos]] - 1)
)</f>
        <v>#VALUE!</v>
      </c>
      <c r="P1067" t="str">
        <f>IFERROR(tblPassengerNames[[#This Row],[P_Forenames]], tblPassengerNames[[#This Row],[ConvForenames]])</f>
        <v>Juha</v>
      </c>
      <c r="Q1067" t="str">
        <f>MID(tblPassengerNames[[#This Row],[Name]], tblPassengerNames[[#This Row],[CommaPos]] + 2, tblPassengerNames[[#This Row],[DotPos]] - tblPassengerNames[[#This Row],[CommaPos]] - 1)</f>
        <v>Mr.</v>
      </c>
      <c r="R1067" t="str">
        <f>LEFT(tblPassengerNames[[#This Row],[Name]], tblPassengerNames[[#This Row],[CommaPos]] - 1)</f>
        <v>Niskanen</v>
      </c>
    </row>
    <row r="1068" spans="2:18" x14ac:dyDescent="0.25">
      <c r="B1068" s="21">
        <v>1066</v>
      </c>
      <c r="C1068" s="21" t="s">
        <v>1200</v>
      </c>
      <c r="D1068" s="21" t="s">
        <v>138</v>
      </c>
      <c r="E1068">
        <f>FIND(",", tblPassengerNames[[#This Row],[Name]])</f>
        <v>10</v>
      </c>
      <c r="F1068">
        <f>FIND(".", tblPassengerNames[[#This Row],[Name]])</f>
        <v>14</v>
      </c>
      <c r="G1068" t="e">
        <f>FIND("(", tblPassengerNames[[#This Row],[Name]])</f>
        <v>#VALUE!</v>
      </c>
      <c r="H1068" t="e">
        <f>FIND(")", tblPassengerNames[[#This Row],[Name]])</f>
        <v>#VALUE!</v>
      </c>
      <c r="I1068">
        <f>IFERROR(tblPassengerNames[[#This Row],[OpenParPos]] - 2, LEN(tblPassengerNames[[#This Row],[Name]]))</f>
        <v>28</v>
      </c>
      <c r="J1068" t="str">
        <f>MID(tblPassengerNames[[#This Row],[Name]], tblPassengerNames[[#This Row],[DotPos]] + 2, tblPassengerNames[[#This Row],[EndOfConvFNPos]] - tblPassengerNames[[#This Row],[DotPos]] - 1)</f>
        <v>Richard Cater</v>
      </c>
      <c r="K1068" t="e">
        <f>MID(tblPassengerNames[[#This Row],[Name]], tblPassengerNames[[#This Row],[OpenParPos]] + 1, tblPassengerNames[[#This Row],[CloseParPos]] - tblPassengerNames[[#This Row],[OpenParPos]] - 1)</f>
        <v>#VALUE!</v>
      </c>
      <c r="L1068" t="e">
        <f>IF(AND(LEFT(tblPassengerNames[[#This Row],[InParentheses]], 1) = "'", RIGHT(tblPassengerNames[[#This Row],[InParentheses]], 1) = "'"),
    #VALUE!,
    tblPassengerNames[[#This Row],[InParentheses]]
)</f>
        <v>#VALUE!</v>
      </c>
      <c r="M1068" t="e">
        <f>LEN(tblPassengerNames[[#This Row],[InParenthesesCleaned]]) - LEN(SUBSTITUTE(tblPassengerNames[[#This Row],[InParenthesesCleaned]], " ", ""))</f>
        <v>#VALUE!</v>
      </c>
      <c r="N1068" t="e">
        <f>FIND("@", SUBSTITUTE(tblPassengerNames[[#This Row],[InParenthesesCleaned]], " ", "@", tblPassengerNames[[#This Row],[P_NSpaces]]))</f>
        <v>#VALUE!</v>
      </c>
      <c r="O1068" t="e">
        <f>IF(tblPassengerNames[[#This Row],[P_NSpaces]] = 0,
    tblPassengerNames[[#This Row],[InParenthesesCleaned]],
    LEFT(tblPassengerNames[[#This Row],[InParenthesesCleaned]], tblPassengerNames[[#This Row],[P_FinalSpacePos]] - 1)
)</f>
        <v>#VALUE!</v>
      </c>
      <c r="P1068" t="str">
        <f>IFERROR(tblPassengerNames[[#This Row],[P_Forenames]], tblPassengerNames[[#This Row],[ConvForenames]])</f>
        <v>Richard Cater</v>
      </c>
      <c r="Q1068" t="str">
        <f>MID(tblPassengerNames[[#This Row],[Name]], tblPassengerNames[[#This Row],[CommaPos]] + 2, tblPassengerNames[[#This Row],[DotPos]] - tblPassengerNames[[#This Row],[CommaPos]] - 1)</f>
        <v>Mr.</v>
      </c>
      <c r="R1068" t="str">
        <f>LEFT(tblPassengerNames[[#This Row],[Name]], tblPassengerNames[[#This Row],[CommaPos]] - 1)</f>
        <v>Nosworthy</v>
      </c>
    </row>
    <row r="1069" spans="2:18" x14ac:dyDescent="0.25">
      <c r="B1069" s="21">
        <v>1067</v>
      </c>
      <c r="C1069" s="21" t="s">
        <v>1201</v>
      </c>
      <c r="D1069" s="21" t="s">
        <v>138</v>
      </c>
      <c r="E1069">
        <f>FIND(",", tblPassengerNames[[#This Row],[Name]])</f>
        <v>6</v>
      </c>
      <c r="F1069">
        <f>FIND(".", tblPassengerNames[[#This Row],[Name]])</f>
        <v>10</v>
      </c>
      <c r="G1069" t="e">
        <f>FIND("(", tblPassengerNames[[#This Row],[Name]])</f>
        <v>#VALUE!</v>
      </c>
      <c r="H1069" t="e">
        <f>FIND(")", tblPassengerNames[[#This Row],[Name]])</f>
        <v>#VALUE!</v>
      </c>
      <c r="I1069">
        <f>IFERROR(tblPassengerNames[[#This Row],[OpenParPos]] - 2, LEN(tblPassengerNames[[#This Row],[Name]]))</f>
        <v>19</v>
      </c>
      <c r="J1069" t="str">
        <f>MID(tblPassengerNames[[#This Row],[Name]], tblPassengerNames[[#This Row],[DotPos]] + 2, tblPassengerNames[[#This Row],[EndOfConvFNPos]] - tblPassengerNames[[#This Row],[DotPos]] - 1)</f>
        <v>Mansouer</v>
      </c>
      <c r="K1069" t="e">
        <f>MID(tblPassengerNames[[#This Row],[Name]], tblPassengerNames[[#This Row],[OpenParPos]] + 1, tblPassengerNames[[#This Row],[CloseParPos]] - tblPassengerNames[[#This Row],[OpenParPos]] - 1)</f>
        <v>#VALUE!</v>
      </c>
      <c r="L1069" t="e">
        <f>IF(AND(LEFT(tblPassengerNames[[#This Row],[InParentheses]], 1) = "'", RIGHT(tblPassengerNames[[#This Row],[InParentheses]], 1) = "'"),
    #VALUE!,
    tblPassengerNames[[#This Row],[InParentheses]]
)</f>
        <v>#VALUE!</v>
      </c>
      <c r="M1069" t="e">
        <f>LEN(tblPassengerNames[[#This Row],[InParenthesesCleaned]]) - LEN(SUBSTITUTE(tblPassengerNames[[#This Row],[InParenthesesCleaned]], " ", ""))</f>
        <v>#VALUE!</v>
      </c>
      <c r="N1069" t="e">
        <f>FIND("@", SUBSTITUTE(tblPassengerNames[[#This Row],[InParenthesesCleaned]], " ", "@", tblPassengerNames[[#This Row],[P_NSpaces]]))</f>
        <v>#VALUE!</v>
      </c>
      <c r="O1069" t="e">
        <f>IF(tblPassengerNames[[#This Row],[P_NSpaces]] = 0,
    tblPassengerNames[[#This Row],[InParenthesesCleaned]],
    LEFT(tblPassengerNames[[#This Row],[InParenthesesCleaned]], tblPassengerNames[[#This Row],[P_FinalSpacePos]] - 1)
)</f>
        <v>#VALUE!</v>
      </c>
      <c r="P1069" t="str">
        <f>IFERROR(tblPassengerNames[[#This Row],[P_Forenames]], tblPassengerNames[[#This Row],[ConvForenames]])</f>
        <v>Mansouer</v>
      </c>
      <c r="Q1069" t="str">
        <f>MID(tblPassengerNames[[#This Row],[Name]], tblPassengerNames[[#This Row],[CommaPos]] + 2, tblPassengerNames[[#This Row],[DotPos]] - tblPassengerNames[[#This Row],[CommaPos]] - 1)</f>
        <v>Mr.</v>
      </c>
      <c r="R1069" t="str">
        <f>LEFT(tblPassengerNames[[#This Row],[Name]], tblPassengerNames[[#This Row],[CommaPos]] - 1)</f>
        <v>Novel</v>
      </c>
    </row>
    <row r="1070" spans="2:18" x14ac:dyDescent="0.25">
      <c r="B1070" s="21">
        <v>1068</v>
      </c>
      <c r="C1070" s="21" t="s">
        <v>1202</v>
      </c>
      <c r="D1070" s="21" t="s">
        <v>136</v>
      </c>
      <c r="E1070">
        <f>FIND(",", tblPassengerNames[[#This Row],[Name]])</f>
        <v>7</v>
      </c>
      <c r="F1070">
        <f>FIND(".", tblPassengerNames[[#This Row],[Name]])</f>
        <v>13</v>
      </c>
      <c r="G1070" t="e">
        <f>FIND("(", tblPassengerNames[[#This Row],[Name]])</f>
        <v>#VALUE!</v>
      </c>
      <c r="H1070" t="e">
        <f>FIND(")", tblPassengerNames[[#This Row],[Name]])</f>
        <v>#VALUE!</v>
      </c>
      <c r="I1070">
        <f>IFERROR(tblPassengerNames[[#This Row],[OpenParPos]] - 2, LEN(tblPassengerNames[[#This Row],[Name]]))</f>
        <v>24</v>
      </c>
      <c r="J1070" t="str">
        <f>MID(tblPassengerNames[[#This Row],[Name]], tblPassengerNames[[#This Row],[DotPos]] + 2, tblPassengerNames[[#This Row],[EndOfConvFNPos]] - tblPassengerNames[[#This Row],[DotPos]] - 1)</f>
        <v>Anna Sofia</v>
      </c>
      <c r="K1070" t="e">
        <f>MID(tblPassengerNames[[#This Row],[Name]], tblPassengerNames[[#This Row],[OpenParPos]] + 1, tblPassengerNames[[#This Row],[CloseParPos]] - tblPassengerNames[[#This Row],[OpenParPos]] - 1)</f>
        <v>#VALUE!</v>
      </c>
      <c r="L1070" t="e">
        <f>IF(AND(LEFT(tblPassengerNames[[#This Row],[InParentheses]], 1) = "'", RIGHT(tblPassengerNames[[#This Row],[InParentheses]], 1) = "'"),
    #VALUE!,
    tblPassengerNames[[#This Row],[InParentheses]]
)</f>
        <v>#VALUE!</v>
      </c>
      <c r="M1070" t="e">
        <f>LEN(tblPassengerNames[[#This Row],[InParenthesesCleaned]]) - LEN(SUBSTITUTE(tblPassengerNames[[#This Row],[InParenthesesCleaned]], " ", ""))</f>
        <v>#VALUE!</v>
      </c>
      <c r="N1070" t="e">
        <f>FIND("@", SUBSTITUTE(tblPassengerNames[[#This Row],[InParenthesesCleaned]], " ", "@", tblPassengerNames[[#This Row],[P_NSpaces]]))</f>
        <v>#VALUE!</v>
      </c>
      <c r="O1070" t="e">
        <f>IF(tblPassengerNames[[#This Row],[P_NSpaces]] = 0,
    tblPassengerNames[[#This Row],[InParenthesesCleaned]],
    LEFT(tblPassengerNames[[#This Row],[InParenthesesCleaned]], tblPassengerNames[[#This Row],[P_FinalSpacePos]] - 1)
)</f>
        <v>#VALUE!</v>
      </c>
      <c r="P1070" t="str">
        <f>IFERROR(tblPassengerNames[[#This Row],[P_Forenames]], tblPassengerNames[[#This Row],[ConvForenames]])</f>
        <v>Anna Sofia</v>
      </c>
      <c r="Q1070" t="str">
        <f>MID(tblPassengerNames[[#This Row],[Name]], tblPassengerNames[[#This Row],[CommaPos]] + 2, tblPassengerNames[[#This Row],[DotPos]] - tblPassengerNames[[#This Row],[CommaPos]] - 1)</f>
        <v>Miss.</v>
      </c>
      <c r="R1070" t="str">
        <f>LEFT(tblPassengerNames[[#This Row],[Name]], tblPassengerNames[[#This Row],[CommaPos]] - 1)</f>
        <v>Nysten</v>
      </c>
    </row>
    <row r="1071" spans="2:18" x14ac:dyDescent="0.25">
      <c r="B1071" s="21">
        <v>1069</v>
      </c>
      <c r="C1071" s="21" t="s">
        <v>1203</v>
      </c>
      <c r="D1071" s="21" t="s">
        <v>138</v>
      </c>
      <c r="E1071">
        <f>FIND(",", tblPassengerNames[[#This Row],[Name]])</f>
        <v>8</v>
      </c>
      <c r="F1071">
        <f>FIND(".", tblPassengerNames[[#This Row],[Name]])</f>
        <v>12</v>
      </c>
      <c r="G1071" t="e">
        <f>FIND("(", tblPassengerNames[[#This Row],[Name]])</f>
        <v>#VALUE!</v>
      </c>
      <c r="H1071" t="e">
        <f>FIND(")", tblPassengerNames[[#This Row],[Name]])</f>
        <v>#VALUE!</v>
      </c>
      <c r="I1071">
        <f>IFERROR(tblPassengerNames[[#This Row],[OpenParPos]] - 2, LEN(tblPassengerNames[[#This Row],[Name]]))</f>
        <v>25</v>
      </c>
      <c r="J1071" t="str">
        <f>MID(tblPassengerNames[[#This Row],[Name]], tblPassengerNames[[#This Row],[DotPos]] + 2, tblPassengerNames[[#This Row],[EndOfConvFNPos]] - tblPassengerNames[[#This Row],[DotPos]] - 1)</f>
        <v>Johan Hansen</v>
      </c>
      <c r="K1071" t="e">
        <f>MID(tblPassengerNames[[#This Row],[Name]], tblPassengerNames[[#This Row],[OpenParPos]] + 1, tblPassengerNames[[#This Row],[CloseParPos]] - tblPassengerNames[[#This Row],[OpenParPos]] - 1)</f>
        <v>#VALUE!</v>
      </c>
      <c r="L1071" t="e">
        <f>IF(AND(LEFT(tblPassengerNames[[#This Row],[InParentheses]], 1) = "'", RIGHT(tblPassengerNames[[#This Row],[InParentheses]], 1) = "'"),
    #VALUE!,
    tblPassengerNames[[#This Row],[InParentheses]]
)</f>
        <v>#VALUE!</v>
      </c>
      <c r="M1071" t="e">
        <f>LEN(tblPassengerNames[[#This Row],[InParenthesesCleaned]]) - LEN(SUBSTITUTE(tblPassengerNames[[#This Row],[InParenthesesCleaned]], " ", ""))</f>
        <v>#VALUE!</v>
      </c>
      <c r="N1071" t="e">
        <f>FIND("@", SUBSTITUTE(tblPassengerNames[[#This Row],[InParenthesesCleaned]], " ", "@", tblPassengerNames[[#This Row],[P_NSpaces]]))</f>
        <v>#VALUE!</v>
      </c>
      <c r="O1071" t="e">
        <f>IF(tblPassengerNames[[#This Row],[P_NSpaces]] = 0,
    tblPassengerNames[[#This Row],[InParenthesesCleaned]],
    LEFT(tblPassengerNames[[#This Row],[InParenthesesCleaned]], tblPassengerNames[[#This Row],[P_FinalSpacePos]] - 1)
)</f>
        <v>#VALUE!</v>
      </c>
      <c r="P1071" t="str">
        <f>IFERROR(tblPassengerNames[[#This Row],[P_Forenames]], tblPassengerNames[[#This Row],[ConvForenames]])</f>
        <v>Johan Hansen</v>
      </c>
      <c r="Q1071" t="str">
        <f>MID(tblPassengerNames[[#This Row],[Name]], tblPassengerNames[[#This Row],[CommaPos]] + 2, tblPassengerNames[[#This Row],[DotPos]] - tblPassengerNames[[#This Row],[CommaPos]] - 1)</f>
        <v>Mr.</v>
      </c>
      <c r="R1071" t="str">
        <f>LEFT(tblPassengerNames[[#This Row],[Name]], tblPassengerNames[[#This Row],[CommaPos]] - 1)</f>
        <v>Nysveen</v>
      </c>
    </row>
    <row r="1072" spans="2:18" x14ac:dyDescent="0.25">
      <c r="B1072" s="21">
        <v>1070</v>
      </c>
      <c r="C1072" s="21" t="s">
        <v>1204</v>
      </c>
      <c r="D1072" s="21" t="s">
        <v>138</v>
      </c>
      <c r="E1072">
        <f>FIND(",", tblPassengerNames[[#This Row],[Name]])</f>
        <v>8</v>
      </c>
      <c r="F1072">
        <f>FIND(".", tblPassengerNames[[#This Row],[Name]])</f>
        <v>12</v>
      </c>
      <c r="G1072" t="e">
        <f>FIND("(", tblPassengerNames[[#This Row],[Name]])</f>
        <v>#VALUE!</v>
      </c>
      <c r="H1072" t="e">
        <f>FIND(")", tblPassengerNames[[#This Row],[Name]])</f>
        <v>#VALUE!</v>
      </c>
      <c r="I1072">
        <f>IFERROR(tblPassengerNames[[#This Row],[OpenParPos]] - 2, LEN(tblPassengerNames[[#This Row],[Name]]))</f>
        <v>19</v>
      </c>
      <c r="J1072" t="str">
        <f>MID(tblPassengerNames[[#This Row],[Name]], tblPassengerNames[[#This Row],[DotPos]] + 2, tblPassengerNames[[#This Row],[EndOfConvFNPos]] - tblPassengerNames[[#This Row],[DotPos]] - 1)</f>
        <v>Thomas</v>
      </c>
      <c r="K1072" t="e">
        <f>MID(tblPassengerNames[[#This Row],[Name]], tblPassengerNames[[#This Row],[OpenParPos]] + 1, tblPassengerNames[[#This Row],[CloseParPos]] - tblPassengerNames[[#This Row],[OpenParPos]] - 1)</f>
        <v>#VALUE!</v>
      </c>
      <c r="L1072" t="e">
        <f>IF(AND(LEFT(tblPassengerNames[[#This Row],[InParentheses]], 1) = "'", RIGHT(tblPassengerNames[[#This Row],[InParentheses]], 1) = "'"),
    #VALUE!,
    tblPassengerNames[[#This Row],[InParentheses]]
)</f>
        <v>#VALUE!</v>
      </c>
      <c r="M1072" t="e">
        <f>LEN(tblPassengerNames[[#This Row],[InParenthesesCleaned]]) - LEN(SUBSTITUTE(tblPassengerNames[[#This Row],[InParenthesesCleaned]], " ", ""))</f>
        <v>#VALUE!</v>
      </c>
      <c r="N1072" t="e">
        <f>FIND("@", SUBSTITUTE(tblPassengerNames[[#This Row],[InParenthesesCleaned]], " ", "@", tblPassengerNames[[#This Row],[P_NSpaces]]))</f>
        <v>#VALUE!</v>
      </c>
      <c r="O1072" t="e">
        <f>IF(tblPassengerNames[[#This Row],[P_NSpaces]] = 0,
    tblPassengerNames[[#This Row],[InParenthesesCleaned]],
    LEFT(tblPassengerNames[[#This Row],[InParenthesesCleaned]], tblPassengerNames[[#This Row],[P_FinalSpacePos]] - 1)
)</f>
        <v>#VALUE!</v>
      </c>
      <c r="P1072" t="str">
        <f>IFERROR(tblPassengerNames[[#This Row],[P_Forenames]], tblPassengerNames[[#This Row],[ConvForenames]])</f>
        <v>Thomas</v>
      </c>
      <c r="Q1072" t="str">
        <f>MID(tblPassengerNames[[#This Row],[Name]], tblPassengerNames[[#This Row],[CommaPos]] + 2, tblPassengerNames[[#This Row],[DotPos]] - tblPassengerNames[[#This Row],[CommaPos]] - 1)</f>
        <v>Mr.</v>
      </c>
      <c r="R1072" t="str">
        <f>LEFT(tblPassengerNames[[#This Row],[Name]], tblPassengerNames[[#This Row],[CommaPos]] - 1)</f>
        <v>O'Brien</v>
      </c>
    </row>
    <row r="1073" spans="2:18" x14ac:dyDescent="0.25">
      <c r="B1073" s="21">
        <v>1071</v>
      </c>
      <c r="C1073" s="21" t="s">
        <v>1205</v>
      </c>
      <c r="D1073" s="21" t="s">
        <v>138</v>
      </c>
      <c r="E1073">
        <f>FIND(",", tblPassengerNames[[#This Row],[Name]])</f>
        <v>8</v>
      </c>
      <c r="F1073">
        <f>FIND(".", tblPassengerNames[[#This Row],[Name]])</f>
        <v>12</v>
      </c>
      <c r="G1073" t="e">
        <f>FIND("(", tblPassengerNames[[#This Row],[Name]])</f>
        <v>#VALUE!</v>
      </c>
      <c r="H1073" t="e">
        <f>FIND(")", tblPassengerNames[[#This Row],[Name]])</f>
        <v>#VALUE!</v>
      </c>
      <c r="I1073">
        <f>IFERROR(tblPassengerNames[[#This Row],[OpenParPos]] - 2, LEN(tblPassengerNames[[#This Row],[Name]]))</f>
        <v>20</v>
      </c>
      <c r="J1073" t="str">
        <f>MID(tblPassengerNames[[#This Row],[Name]], tblPassengerNames[[#This Row],[DotPos]] + 2, tblPassengerNames[[#This Row],[EndOfConvFNPos]] - tblPassengerNames[[#This Row],[DotPos]] - 1)</f>
        <v>Timothy</v>
      </c>
      <c r="K1073" t="e">
        <f>MID(tblPassengerNames[[#This Row],[Name]], tblPassengerNames[[#This Row],[OpenParPos]] + 1, tblPassengerNames[[#This Row],[CloseParPos]] - tblPassengerNames[[#This Row],[OpenParPos]] - 1)</f>
        <v>#VALUE!</v>
      </c>
      <c r="L1073" t="e">
        <f>IF(AND(LEFT(tblPassengerNames[[#This Row],[InParentheses]], 1) = "'", RIGHT(tblPassengerNames[[#This Row],[InParentheses]], 1) = "'"),
    #VALUE!,
    tblPassengerNames[[#This Row],[InParentheses]]
)</f>
        <v>#VALUE!</v>
      </c>
      <c r="M1073" t="e">
        <f>LEN(tblPassengerNames[[#This Row],[InParenthesesCleaned]]) - LEN(SUBSTITUTE(tblPassengerNames[[#This Row],[InParenthesesCleaned]], " ", ""))</f>
        <v>#VALUE!</v>
      </c>
      <c r="N1073" t="e">
        <f>FIND("@", SUBSTITUTE(tblPassengerNames[[#This Row],[InParenthesesCleaned]], " ", "@", tblPassengerNames[[#This Row],[P_NSpaces]]))</f>
        <v>#VALUE!</v>
      </c>
      <c r="O1073" t="e">
        <f>IF(tblPassengerNames[[#This Row],[P_NSpaces]] = 0,
    tblPassengerNames[[#This Row],[InParenthesesCleaned]],
    LEFT(tblPassengerNames[[#This Row],[InParenthesesCleaned]], tblPassengerNames[[#This Row],[P_FinalSpacePos]] - 1)
)</f>
        <v>#VALUE!</v>
      </c>
      <c r="P1073" t="str">
        <f>IFERROR(tblPassengerNames[[#This Row],[P_Forenames]], tblPassengerNames[[#This Row],[ConvForenames]])</f>
        <v>Timothy</v>
      </c>
      <c r="Q1073" t="str">
        <f>MID(tblPassengerNames[[#This Row],[Name]], tblPassengerNames[[#This Row],[CommaPos]] + 2, tblPassengerNames[[#This Row],[DotPos]] - tblPassengerNames[[#This Row],[CommaPos]] - 1)</f>
        <v>Mr.</v>
      </c>
      <c r="R1073" t="str">
        <f>LEFT(tblPassengerNames[[#This Row],[Name]], tblPassengerNames[[#This Row],[CommaPos]] - 1)</f>
        <v>O'Brien</v>
      </c>
    </row>
    <row r="1074" spans="2:18" x14ac:dyDescent="0.25">
      <c r="B1074" s="21">
        <v>1072</v>
      </c>
      <c r="C1074" s="21" t="s">
        <v>1206</v>
      </c>
      <c r="D1074" s="21" t="s">
        <v>136</v>
      </c>
      <c r="E1074">
        <f>FIND(",", tblPassengerNames[[#This Row],[Name]])</f>
        <v>8</v>
      </c>
      <c r="F1074">
        <f>FIND(".", tblPassengerNames[[#This Row],[Name]])</f>
        <v>13</v>
      </c>
      <c r="G1074">
        <f>FIND("(", tblPassengerNames[[#This Row],[Name]])</f>
        <v>22</v>
      </c>
      <c r="H1074">
        <f>FIND(")", tblPassengerNames[[#This Row],[Name]])</f>
        <v>47</v>
      </c>
      <c r="I1074">
        <f>IFERROR(tblPassengerNames[[#This Row],[OpenParPos]] - 2, LEN(tblPassengerNames[[#This Row],[Name]]))</f>
        <v>20</v>
      </c>
      <c r="J1074" t="str">
        <f>MID(tblPassengerNames[[#This Row],[Name]], tblPassengerNames[[#This Row],[DotPos]] + 2, tblPassengerNames[[#This Row],[EndOfConvFNPos]] - tblPassengerNames[[#This Row],[DotPos]] - 1)</f>
        <v>Thomas</v>
      </c>
      <c r="K1074" t="str">
        <f>MID(tblPassengerNames[[#This Row],[Name]], tblPassengerNames[[#This Row],[OpenParPos]] + 1, tblPassengerNames[[#This Row],[CloseParPos]] - tblPassengerNames[[#This Row],[OpenParPos]] - 1)</f>
        <v>Johanna 'Hannah' Godfrey</v>
      </c>
      <c r="L1074" t="str">
        <f>IF(AND(LEFT(tblPassengerNames[[#This Row],[InParentheses]], 1) = "'", RIGHT(tblPassengerNames[[#This Row],[InParentheses]], 1) = "'"),
    #VALUE!,
    tblPassengerNames[[#This Row],[InParentheses]]
)</f>
        <v>Johanna 'Hannah' Godfrey</v>
      </c>
      <c r="M1074">
        <f>LEN(tblPassengerNames[[#This Row],[InParenthesesCleaned]]) - LEN(SUBSTITUTE(tblPassengerNames[[#This Row],[InParenthesesCleaned]], " ", ""))</f>
        <v>2</v>
      </c>
      <c r="N1074">
        <f>FIND("@", SUBSTITUTE(tblPassengerNames[[#This Row],[InParenthesesCleaned]], " ", "@", tblPassengerNames[[#This Row],[P_NSpaces]]))</f>
        <v>17</v>
      </c>
      <c r="O1074" t="str">
        <f>IF(tblPassengerNames[[#This Row],[P_NSpaces]] = 0,
    tblPassengerNames[[#This Row],[InParenthesesCleaned]],
    LEFT(tblPassengerNames[[#This Row],[InParenthesesCleaned]], tblPassengerNames[[#This Row],[P_FinalSpacePos]] - 1)
)</f>
        <v>Johanna 'Hannah'</v>
      </c>
      <c r="P1074" t="str">
        <f>IFERROR(tblPassengerNames[[#This Row],[P_Forenames]], tblPassengerNames[[#This Row],[ConvForenames]])</f>
        <v>Johanna 'Hannah'</v>
      </c>
      <c r="Q1074" t="str">
        <f>MID(tblPassengerNames[[#This Row],[Name]], tblPassengerNames[[#This Row],[CommaPos]] + 2, tblPassengerNames[[#This Row],[DotPos]] - tblPassengerNames[[#This Row],[CommaPos]] - 1)</f>
        <v>Mrs.</v>
      </c>
      <c r="R1074" t="str">
        <f>LEFT(tblPassengerNames[[#This Row],[Name]], tblPassengerNames[[#This Row],[CommaPos]] - 1)</f>
        <v>O'Brien</v>
      </c>
    </row>
    <row r="1075" spans="2:18" x14ac:dyDescent="0.25">
      <c r="B1075" s="21">
        <v>1073</v>
      </c>
      <c r="C1075" s="21" t="s">
        <v>1207</v>
      </c>
      <c r="D1075" s="21" t="s">
        <v>138</v>
      </c>
      <c r="E1075">
        <f>FIND(",", tblPassengerNames[[#This Row],[Name]])</f>
        <v>10</v>
      </c>
      <c r="F1075">
        <f>FIND(".", tblPassengerNames[[#This Row],[Name]])</f>
        <v>14</v>
      </c>
      <c r="G1075" t="e">
        <f>FIND("(", tblPassengerNames[[#This Row],[Name]])</f>
        <v>#VALUE!</v>
      </c>
      <c r="H1075" t="e">
        <f>FIND(")", tblPassengerNames[[#This Row],[Name]])</f>
        <v>#VALUE!</v>
      </c>
      <c r="I1075">
        <f>IFERROR(tblPassengerNames[[#This Row],[OpenParPos]] - 2, LEN(tblPassengerNames[[#This Row],[Name]]))</f>
        <v>24</v>
      </c>
      <c r="J1075" t="str">
        <f>MID(tblPassengerNames[[#This Row],[Name]], tblPassengerNames[[#This Row],[DotPos]] + 2, tblPassengerNames[[#This Row],[EndOfConvFNPos]] - tblPassengerNames[[#This Row],[DotPos]] - 1)</f>
        <v>Patrick D</v>
      </c>
      <c r="K1075" t="e">
        <f>MID(tblPassengerNames[[#This Row],[Name]], tblPassengerNames[[#This Row],[OpenParPos]] + 1, tblPassengerNames[[#This Row],[CloseParPos]] - tblPassengerNames[[#This Row],[OpenParPos]] - 1)</f>
        <v>#VALUE!</v>
      </c>
      <c r="L1075" t="e">
        <f>IF(AND(LEFT(tblPassengerNames[[#This Row],[InParentheses]], 1) = "'", RIGHT(tblPassengerNames[[#This Row],[InParentheses]], 1) = "'"),
    #VALUE!,
    tblPassengerNames[[#This Row],[InParentheses]]
)</f>
        <v>#VALUE!</v>
      </c>
      <c r="M1075" t="e">
        <f>LEN(tblPassengerNames[[#This Row],[InParenthesesCleaned]]) - LEN(SUBSTITUTE(tblPassengerNames[[#This Row],[InParenthesesCleaned]], " ", ""))</f>
        <v>#VALUE!</v>
      </c>
      <c r="N1075" t="e">
        <f>FIND("@", SUBSTITUTE(tblPassengerNames[[#This Row],[InParenthesesCleaned]], " ", "@", tblPassengerNames[[#This Row],[P_NSpaces]]))</f>
        <v>#VALUE!</v>
      </c>
      <c r="O1075" t="e">
        <f>IF(tblPassengerNames[[#This Row],[P_NSpaces]] = 0,
    tblPassengerNames[[#This Row],[InParenthesesCleaned]],
    LEFT(tblPassengerNames[[#This Row],[InParenthesesCleaned]], tblPassengerNames[[#This Row],[P_FinalSpacePos]] - 1)
)</f>
        <v>#VALUE!</v>
      </c>
      <c r="P1075" t="str">
        <f>IFERROR(tblPassengerNames[[#This Row],[P_Forenames]], tblPassengerNames[[#This Row],[ConvForenames]])</f>
        <v>Patrick D</v>
      </c>
      <c r="Q1075" t="str">
        <f>MID(tblPassengerNames[[#This Row],[Name]], tblPassengerNames[[#This Row],[CommaPos]] + 2, tblPassengerNames[[#This Row],[DotPos]] - tblPassengerNames[[#This Row],[CommaPos]] - 1)</f>
        <v>Mr.</v>
      </c>
      <c r="R1075" t="str">
        <f>LEFT(tblPassengerNames[[#This Row],[Name]], tblPassengerNames[[#This Row],[CommaPos]] - 1)</f>
        <v>O'Connell</v>
      </c>
    </row>
    <row r="1076" spans="2:18" x14ac:dyDescent="0.25">
      <c r="B1076" s="21">
        <v>1074</v>
      </c>
      <c r="C1076" s="21" t="s">
        <v>1208</v>
      </c>
      <c r="D1076" s="21" t="s">
        <v>138</v>
      </c>
      <c r="E1076">
        <f>FIND(",", tblPassengerNames[[#This Row],[Name]])</f>
        <v>9</v>
      </c>
      <c r="F1076">
        <f>FIND(".", tblPassengerNames[[#This Row],[Name]])</f>
        <v>13</v>
      </c>
      <c r="G1076" t="e">
        <f>FIND("(", tblPassengerNames[[#This Row],[Name]])</f>
        <v>#VALUE!</v>
      </c>
      <c r="H1076" t="e">
        <f>FIND(")", tblPassengerNames[[#This Row],[Name]])</f>
        <v>#VALUE!</v>
      </c>
      <c r="I1076">
        <f>IFERROR(tblPassengerNames[[#This Row],[OpenParPos]] - 2, LEN(tblPassengerNames[[#This Row],[Name]]))</f>
        <v>21</v>
      </c>
      <c r="J1076" t="str">
        <f>MID(tblPassengerNames[[#This Row],[Name]], tblPassengerNames[[#This Row],[DotPos]] + 2, tblPassengerNames[[#This Row],[EndOfConvFNPos]] - tblPassengerNames[[#This Row],[DotPos]] - 1)</f>
        <v>Maurice</v>
      </c>
      <c r="K1076" t="e">
        <f>MID(tblPassengerNames[[#This Row],[Name]], tblPassengerNames[[#This Row],[OpenParPos]] + 1, tblPassengerNames[[#This Row],[CloseParPos]] - tblPassengerNames[[#This Row],[OpenParPos]] - 1)</f>
        <v>#VALUE!</v>
      </c>
      <c r="L1076" t="e">
        <f>IF(AND(LEFT(tblPassengerNames[[#This Row],[InParentheses]], 1) = "'", RIGHT(tblPassengerNames[[#This Row],[InParentheses]], 1) = "'"),
    #VALUE!,
    tblPassengerNames[[#This Row],[InParentheses]]
)</f>
        <v>#VALUE!</v>
      </c>
      <c r="M1076" t="e">
        <f>LEN(tblPassengerNames[[#This Row],[InParenthesesCleaned]]) - LEN(SUBSTITUTE(tblPassengerNames[[#This Row],[InParenthesesCleaned]], " ", ""))</f>
        <v>#VALUE!</v>
      </c>
      <c r="N1076" t="e">
        <f>FIND("@", SUBSTITUTE(tblPassengerNames[[#This Row],[InParenthesesCleaned]], " ", "@", tblPassengerNames[[#This Row],[P_NSpaces]]))</f>
        <v>#VALUE!</v>
      </c>
      <c r="O1076" t="e">
        <f>IF(tblPassengerNames[[#This Row],[P_NSpaces]] = 0,
    tblPassengerNames[[#This Row],[InParenthesesCleaned]],
    LEFT(tblPassengerNames[[#This Row],[InParenthesesCleaned]], tblPassengerNames[[#This Row],[P_FinalSpacePos]] - 1)
)</f>
        <v>#VALUE!</v>
      </c>
      <c r="P1076" t="str">
        <f>IFERROR(tblPassengerNames[[#This Row],[P_Forenames]], tblPassengerNames[[#This Row],[ConvForenames]])</f>
        <v>Maurice</v>
      </c>
      <c r="Q1076" t="str">
        <f>MID(tblPassengerNames[[#This Row],[Name]], tblPassengerNames[[#This Row],[CommaPos]] + 2, tblPassengerNames[[#This Row],[DotPos]] - tblPassengerNames[[#This Row],[CommaPos]] - 1)</f>
        <v>Mr.</v>
      </c>
      <c r="R1076" t="str">
        <f>LEFT(tblPassengerNames[[#This Row],[Name]], tblPassengerNames[[#This Row],[CommaPos]] - 1)</f>
        <v>O'Connor</v>
      </c>
    </row>
    <row r="1077" spans="2:18" x14ac:dyDescent="0.25">
      <c r="B1077" s="21">
        <v>1075</v>
      </c>
      <c r="C1077" s="21" t="s">
        <v>1209</v>
      </c>
      <c r="D1077" s="21" t="s">
        <v>138</v>
      </c>
      <c r="E1077">
        <f>FIND(",", tblPassengerNames[[#This Row],[Name]])</f>
        <v>9</v>
      </c>
      <c r="F1077">
        <f>FIND(".", tblPassengerNames[[#This Row],[Name]])</f>
        <v>13</v>
      </c>
      <c r="G1077" t="e">
        <f>FIND("(", tblPassengerNames[[#This Row],[Name]])</f>
        <v>#VALUE!</v>
      </c>
      <c r="H1077" t="e">
        <f>FIND(")", tblPassengerNames[[#This Row],[Name]])</f>
        <v>#VALUE!</v>
      </c>
      <c r="I1077">
        <f>IFERROR(tblPassengerNames[[#This Row],[OpenParPos]] - 2, LEN(tblPassengerNames[[#This Row],[Name]]))</f>
        <v>21</v>
      </c>
      <c r="J1077" t="str">
        <f>MID(tblPassengerNames[[#This Row],[Name]], tblPassengerNames[[#This Row],[DotPos]] + 2, tblPassengerNames[[#This Row],[EndOfConvFNPos]] - tblPassengerNames[[#This Row],[DotPos]] - 1)</f>
        <v>Patrick</v>
      </c>
      <c r="K1077" t="e">
        <f>MID(tblPassengerNames[[#This Row],[Name]], tblPassengerNames[[#This Row],[OpenParPos]] + 1, tblPassengerNames[[#This Row],[CloseParPos]] - tblPassengerNames[[#This Row],[OpenParPos]] - 1)</f>
        <v>#VALUE!</v>
      </c>
      <c r="L1077" t="e">
        <f>IF(AND(LEFT(tblPassengerNames[[#This Row],[InParentheses]], 1) = "'", RIGHT(tblPassengerNames[[#This Row],[InParentheses]], 1) = "'"),
    #VALUE!,
    tblPassengerNames[[#This Row],[InParentheses]]
)</f>
        <v>#VALUE!</v>
      </c>
      <c r="M1077" t="e">
        <f>LEN(tblPassengerNames[[#This Row],[InParenthesesCleaned]]) - LEN(SUBSTITUTE(tblPassengerNames[[#This Row],[InParenthesesCleaned]], " ", ""))</f>
        <v>#VALUE!</v>
      </c>
      <c r="N1077" t="e">
        <f>FIND("@", SUBSTITUTE(tblPassengerNames[[#This Row],[InParenthesesCleaned]], " ", "@", tblPassengerNames[[#This Row],[P_NSpaces]]))</f>
        <v>#VALUE!</v>
      </c>
      <c r="O1077" t="e">
        <f>IF(tblPassengerNames[[#This Row],[P_NSpaces]] = 0,
    tblPassengerNames[[#This Row],[InParenthesesCleaned]],
    LEFT(tblPassengerNames[[#This Row],[InParenthesesCleaned]], tblPassengerNames[[#This Row],[P_FinalSpacePos]] - 1)
)</f>
        <v>#VALUE!</v>
      </c>
      <c r="P1077" t="str">
        <f>IFERROR(tblPassengerNames[[#This Row],[P_Forenames]], tblPassengerNames[[#This Row],[ConvForenames]])</f>
        <v>Patrick</v>
      </c>
      <c r="Q1077" t="str">
        <f>MID(tblPassengerNames[[#This Row],[Name]], tblPassengerNames[[#This Row],[CommaPos]] + 2, tblPassengerNames[[#This Row],[DotPos]] - tblPassengerNames[[#This Row],[CommaPos]] - 1)</f>
        <v>Mr.</v>
      </c>
      <c r="R1077" t="str">
        <f>LEFT(tblPassengerNames[[#This Row],[Name]], tblPassengerNames[[#This Row],[CommaPos]] - 1)</f>
        <v>O'Connor</v>
      </c>
    </row>
    <row r="1078" spans="2:18" x14ac:dyDescent="0.25">
      <c r="B1078" s="21">
        <v>1076</v>
      </c>
      <c r="C1078" s="21" t="s">
        <v>1210</v>
      </c>
      <c r="D1078" s="21" t="s">
        <v>138</v>
      </c>
      <c r="E1078">
        <f>FIND(",", tblPassengerNames[[#This Row],[Name]])</f>
        <v>6</v>
      </c>
      <c r="F1078">
        <f>FIND(".", tblPassengerNames[[#This Row],[Name]])</f>
        <v>10</v>
      </c>
      <c r="G1078" t="e">
        <f>FIND("(", tblPassengerNames[[#This Row],[Name]])</f>
        <v>#VALUE!</v>
      </c>
      <c r="H1078" t="e">
        <f>FIND(")", tblPassengerNames[[#This Row],[Name]])</f>
        <v>#VALUE!</v>
      </c>
      <c r="I1078">
        <f>IFERROR(tblPassengerNames[[#This Row],[OpenParPos]] - 2, LEN(tblPassengerNames[[#This Row],[Name]]))</f>
        <v>22</v>
      </c>
      <c r="J1078" t="str">
        <f>MID(tblPassengerNames[[#This Row],[Name]], tblPassengerNames[[#This Row],[DotPos]] + 2, tblPassengerNames[[#This Row],[EndOfConvFNPos]] - tblPassengerNames[[#This Row],[DotPos]] - 1)</f>
        <v>Nils Martin</v>
      </c>
      <c r="K1078" t="e">
        <f>MID(tblPassengerNames[[#This Row],[Name]], tblPassengerNames[[#This Row],[OpenParPos]] + 1, tblPassengerNames[[#This Row],[CloseParPos]] - tblPassengerNames[[#This Row],[OpenParPos]] - 1)</f>
        <v>#VALUE!</v>
      </c>
      <c r="L1078" t="e">
        <f>IF(AND(LEFT(tblPassengerNames[[#This Row],[InParentheses]], 1) = "'", RIGHT(tblPassengerNames[[#This Row],[InParentheses]], 1) = "'"),
    #VALUE!,
    tblPassengerNames[[#This Row],[InParentheses]]
)</f>
        <v>#VALUE!</v>
      </c>
      <c r="M1078" t="e">
        <f>LEN(tblPassengerNames[[#This Row],[InParenthesesCleaned]]) - LEN(SUBSTITUTE(tblPassengerNames[[#This Row],[InParenthesesCleaned]], " ", ""))</f>
        <v>#VALUE!</v>
      </c>
      <c r="N1078" t="e">
        <f>FIND("@", SUBSTITUTE(tblPassengerNames[[#This Row],[InParenthesesCleaned]], " ", "@", tblPassengerNames[[#This Row],[P_NSpaces]]))</f>
        <v>#VALUE!</v>
      </c>
      <c r="O1078" t="e">
        <f>IF(tblPassengerNames[[#This Row],[P_NSpaces]] = 0,
    tblPassengerNames[[#This Row],[InParenthesesCleaned]],
    LEFT(tblPassengerNames[[#This Row],[InParenthesesCleaned]], tblPassengerNames[[#This Row],[P_FinalSpacePos]] - 1)
)</f>
        <v>#VALUE!</v>
      </c>
      <c r="P1078" t="str">
        <f>IFERROR(tblPassengerNames[[#This Row],[P_Forenames]], tblPassengerNames[[#This Row],[ConvForenames]])</f>
        <v>Nils Martin</v>
      </c>
      <c r="Q1078" t="str">
        <f>MID(tblPassengerNames[[#This Row],[Name]], tblPassengerNames[[#This Row],[CommaPos]] + 2, tblPassengerNames[[#This Row],[DotPos]] - tblPassengerNames[[#This Row],[CommaPos]] - 1)</f>
        <v>Mr.</v>
      </c>
      <c r="R1078" t="str">
        <f>LEFT(tblPassengerNames[[#This Row],[Name]], tblPassengerNames[[#This Row],[CommaPos]] - 1)</f>
        <v>Odahl</v>
      </c>
    </row>
    <row r="1079" spans="2:18" x14ac:dyDescent="0.25">
      <c r="B1079" s="21">
        <v>1077</v>
      </c>
      <c r="C1079" s="21" t="s">
        <v>1211</v>
      </c>
      <c r="D1079" s="21" t="s">
        <v>136</v>
      </c>
      <c r="E1079">
        <f>FIND(",", tblPassengerNames[[#This Row],[Name]])</f>
        <v>11</v>
      </c>
      <c r="F1079">
        <f>FIND(".", tblPassengerNames[[#This Row],[Name]])</f>
        <v>15</v>
      </c>
      <c r="G1079" t="e">
        <f>FIND("(", tblPassengerNames[[#This Row],[Name]])</f>
        <v>#VALUE!</v>
      </c>
      <c r="H1079" t="e">
        <f>FIND(")", tblPassengerNames[[#This Row],[Name]])</f>
        <v>#VALUE!</v>
      </c>
      <c r="I1079">
        <f>IFERROR(tblPassengerNames[[#This Row],[OpenParPos]] - 2, LEN(tblPassengerNames[[#This Row],[Name]]))</f>
        <v>23</v>
      </c>
      <c r="J1079" t="str">
        <f>MID(tblPassengerNames[[#This Row],[Name]], tblPassengerNames[[#This Row],[DotPos]] + 2, tblPassengerNames[[#This Row],[EndOfConvFNPos]] - tblPassengerNames[[#This Row],[DotPos]] - 1)</f>
        <v>Bridget</v>
      </c>
      <c r="K1079" t="e">
        <f>MID(tblPassengerNames[[#This Row],[Name]], tblPassengerNames[[#This Row],[OpenParPos]] + 1, tblPassengerNames[[#This Row],[CloseParPos]] - tblPassengerNames[[#This Row],[OpenParPos]] - 1)</f>
        <v>#VALUE!</v>
      </c>
      <c r="L1079" t="e">
        <f>IF(AND(LEFT(tblPassengerNames[[#This Row],[InParentheses]], 1) = "'", RIGHT(tblPassengerNames[[#This Row],[InParentheses]], 1) = "'"),
    #VALUE!,
    tblPassengerNames[[#This Row],[InParentheses]]
)</f>
        <v>#VALUE!</v>
      </c>
      <c r="M1079" t="e">
        <f>LEN(tblPassengerNames[[#This Row],[InParenthesesCleaned]]) - LEN(SUBSTITUTE(tblPassengerNames[[#This Row],[InParenthesesCleaned]], " ", ""))</f>
        <v>#VALUE!</v>
      </c>
      <c r="N1079" t="e">
        <f>FIND("@", SUBSTITUTE(tblPassengerNames[[#This Row],[InParenthesesCleaned]], " ", "@", tblPassengerNames[[#This Row],[P_NSpaces]]))</f>
        <v>#VALUE!</v>
      </c>
      <c r="O1079" t="e">
        <f>IF(tblPassengerNames[[#This Row],[P_NSpaces]] = 0,
    tblPassengerNames[[#This Row],[InParenthesesCleaned]],
    LEFT(tblPassengerNames[[#This Row],[InParenthesesCleaned]], tblPassengerNames[[#This Row],[P_FinalSpacePos]] - 1)
)</f>
        <v>#VALUE!</v>
      </c>
      <c r="P1079" t="str">
        <f>IFERROR(tblPassengerNames[[#This Row],[P_Forenames]], tblPassengerNames[[#This Row],[ConvForenames]])</f>
        <v>Bridget</v>
      </c>
      <c r="Q1079" t="str">
        <f>MID(tblPassengerNames[[#This Row],[Name]], tblPassengerNames[[#This Row],[CommaPos]] + 2, tblPassengerNames[[#This Row],[DotPos]] - tblPassengerNames[[#This Row],[CommaPos]] - 1)</f>
        <v>Ms.</v>
      </c>
      <c r="R1079" t="str">
        <f>LEFT(tblPassengerNames[[#This Row],[Name]], tblPassengerNames[[#This Row],[CommaPos]] - 1)</f>
        <v>O'Donoghue</v>
      </c>
    </row>
    <row r="1080" spans="2:18" x14ac:dyDescent="0.25">
      <c r="B1080" s="21">
        <v>1078</v>
      </c>
      <c r="C1080" s="21" t="s">
        <v>1212</v>
      </c>
      <c r="D1080" s="21" t="s">
        <v>136</v>
      </c>
      <c r="E1080">
        <f>FIND(",", tblPassengerNames[[#This Row],[Name]])</f>
        <v>11</v>
      </c>
      <c r="F1080">
        <f>FIND(".", tblPassengerNames[[#This Row],[Name]])</f>
        <v>17</v>
      </c>
      <c r="G1080" t="e">
        <f>FIND("(", tblPassengerNames[[#This Row],[Name]])</f>
        <v>#VALUE!</v>
      </c>
      <c r="H1080" t="e">
        <f>FIND(")", tblPassengerNames[[#This Row],[Name]])</f>
        <v>#VALUE!</v>
      </c>
      <c r="I1080">
        <f>IFERROR(tblPassengerNames[[#This Row],[OpenParPos]] - 2, LEN(tblPassengerNames[[#This Row],[Name]]))</f>
        <v>25</v>
      </c>
      <c r="J1080" t="str">
        <f>MID(tblPassengerNames[[#This Row],[Name]], tblPassengerNames[[#This Row],[DotPos]] + 2, tblPassengerNames[[#This Row],[EndOfConvFNPos]] - tblPassengerNames[[#This Row],[DotPos]] - 1)</f>
        <v>Bridget</v>
      </c>
      <c r="K1080" t="e">
        <f>MID(tblPassengerNames[[#This Row],[Name]], tblPassengerNames[[#This Row],[OpenParPos]] + 1, tblPassengerNames[[#This Row],[CloseParPos]] - tblPassengerNames[[#This Row],[OpenParPos]] - 1)</f>
        <v>#VALUE!</v>
      </c>
      <c r="L1080" t="e">
        <f>IF(AND(LEFT(tblPassengerNames[[#This Row],[InParentheses]], 1) = "'", RIGHT(tblPassengerNames[[#This Row],[InParentheses]], 1) = "'"),
    #VALUE!,
    tblPassengerNames[[#This Row],[InParentheses]]
)</f>
        <v>#VALUE!</v>
      </c>
      <c r="M1080" t="e">
        <f>LEN(tblPassengerNames[[#This Row],[InParenthesesCleaned]]) - LEN(SUBSTITUTE(tblPassengerNames[[#This Row],[InParenthesesCleaned]], " ", ""))</f>
        <v>#VALUE!</v>
      </c>
      <c r="N1080" t="e">
        <f>FIND("@", SUBSTITUTE(tblPassengerNames[[#This Row],[InParenthesesCleaned]], " ", "@", tblPassengerNames[[#This Row],[P_NSpaces]]))</f>
        <v>#VALUE!</v>
      </c>
      <c r="O1080" t="e">
        <f>IF(tblPassengerNames[[#This Row],[P_NSpaces]] = 0,
    tblPassengerNames[[#This Row],[InParenthesesCleaned]],
    LEFT(tblPassengerNames[[#This Row],[InParenthesesCleaned]], tblPassengerNames[[#This Row],[P_FinalSpacePos]] - 1)
)</f>
        <v>#VALUE!</v>
      </c>
      <c r="P1080" t="str">
        <f>IFERROR(tblPassengerNames[[#This Row],[P_Forenames]], tblPassengerNames[[#This Row],[ConvForenames]])</f>
        <v>Bridget</v>
      </c>
      <c r="Q1080" t="str">
        <f>MID(tblPassengerNames[[#This Row],[Name]], tblPassengerNames[[#This Row],[CommaPos]] + 2, tblPassengerNames[[#This Row],[DotPos]] - tblPassengerNames[[#This Row],[CommaPos]] - 1)</f>
        <v>Miss.</v>
      </c>
      <c r="R1080" t="str">
        <f>LEFT(tblPassengerNames[[#This Row],[Name]], tblPassengerNames[[#This Row],[CommaPos]] - 1)</f>
        <v>O'Driscoll</v>
      </c>
    </row>
    <row r="1081" spans="2:18" x14ac:dyDescent="0.25">
      <c r="B1081" s="21">
        <v>1079</v>
      </c>
      <c r="C1081" s="21" t="s">
        <v>1213</v>
      </c>
      <c r="D1081" s="21" t="s">
        <v>136</v>
      </c>
      <c r="E1081">
        <f>FIND(",", tblPassengerNames[[#This Row],[Name]])</f>
        <v>8</v>
      </c>
      <c r="F1081">
        <f>FIND(".", tblPassengerNames[[#This Row],[Name]])</f>
        <v>14</v>
      </c>
      <c r="G1081" t="e">
        <f>FIND("(", tblPassengerNames[[#This Row],[Name]])</f>
        <v>#VALUE!</v>
      </c>
      <c r="H1081" t="e">
        <f>FIND(")", tblPassengerNames[[#This Row],[Name]])</f>
        <v>#VALUE!</v>
      </c>
      <c r="I1081">
        <f>IFERROR(tblPassengerNames[[#This Row],[OpenParPos]] - 2, LEN(tblPassengerNames[[#This Row],[Name]]))</f>
        <v>29</v>
      </c>
      <c r="J1081" t="str">
        <f>MID(tblPassengerNames[[#This Row],[Name]], tblPassengerNames[[#This Row],[DotPos]] + 2, tblPassengerNames[[#This Row],[EndOfConvFNPos]] - tblPassengerNames[[#This Row],[DotPos]] - 1)</f>
        <v>Ellen 'Nellie'</v>
      </c>
      <c r="K1081" t="e">
        <f>MID(tblPassengerNames[[#This Row],[Name]], tblPassengerNames[[#This Row],[OpenParPos]] + 1, tblPassengerNames[[#This Row],[CloseParPos]] - tblPassengerNames[[#This Row],[OpenParPos]] - 1)</f>
        <v>#VALUE!</v>
      </c>
      <c r="L1081" t="e">
        <f>IF(AND(LEFT(tblPassengerNames[[#This Row],[InParentheses]], 1) = "'", RIGHT(tblPassengerNames[[#This Row],[InParentheses]], 1) = "'"),
    #VALUE!,
    tblPassengerNames[[#This Row],[InParentheses]]
)</f>
        <v>#VALUE!</v>
      </c>
      <c r="M1081" t="e">
        <f>LEN(tblPassengerNames[[#This Row],[InParenthesesCleaned]]) - LEN(SUBSTITUTE(tblPassengerNames[[#This Row],[InParenthesesCleaned]], " ", ""))</f>
        <v>#VALUE!</v>
      </c>
      <c r="N1081" t="e">
        <f>FIND("@", SUBSTITUTE(tblPassengerNames[[#This Row],[InParenthesesCleaned]], " ", "@", tblPassengerNames[[#This Row],[P_NSpaces]]))</f>
        <v>#VALUE!</v>
      </c>
      <c r="O1081" t="e">
        <f>IF(tblPassengerNames[[#This Row],[P_NSpaces]] = 0,
    tblPassengerNames[[#This Row],[InParenthesesCleaned]],
    LEFT(tblPassengerNames[[#This Row],[InParenthesesCleaned]], tblPassengerNames[[#This Row],[P_FinalSpacePos]] - 1)
)</f>
        <v>#VALUE!</v>
      </c>
      <c r="P1081" t="str">
        <f>IFERROR(tblPassengerNames[[#This Row],[P_Forenames]], tblPassengerNames[[#This Row],[ConvForenames]])</f>
        <v>Ellen 'Nellie'</v>
      </c>
      <c r="Q1081" t="str">
        <f>MID(tblPassengerNames[[#This Row],[Name]], tblPassengerNames[[#This Row],[CommaPos]] + 2, tblPassengerNames[[#This Row],[DotPos]] - tblPassengerNames[[#This Row],[CommaPos]] - 1)</f>
        <v>Miss.</v>
      </c>
      <c r="R1081" t="str">
        <f>LEFT(tblPassengerNames[[#This Row],[Name]], tblPassengerNames[[#This Row],[CommaPos]] - 1)</f>
        <v>O'Dwyer</v>
      </c>
    </row>
    <row r="1082" spans="2:18" x14ac:dyDescent="0.25">
      <c r="B1082" s="21">
        <v>1080</v>
      </c>
      <c r="C1082" s="21" t="s">
        <v>1214</v>
      </c>
      <c r="D1082" s="21" t="s">
        <v>136</v>
      </c>
      <c r="E1082">
        <f>FIND(",", tblPassengerNames[[#This Row],[Name]])</f>
        <v>6</v>
      </c>
      <c r="F1082">
        <f>FIND(".", tblPassengerNames[[#This Row],[Name]])</f>
        <v>12</v>
      </c>
      <c r="G1082" t="e">
        <f>FIND("(", tblPassengerNames[[#This Row],[Name]])</f>
        <v>#VALUE!</v>
      </c>
      <c r="H1082" t="e">
        <f>FIND(")", tblPassengerNames[[#This Row],[Name]])</f>
        <v>#VALUE!</v>
      </c>
      <c r="I1082">
        <f>IFERROR(tblPassengerNames[[#This Row],[OpenParPos]] - 2, LEN(tblPassengerNames[[#This Row],[Name]]))</f>
        <v>18</v>
      </c>
      <c r="J1082" t="str">
        <f>MID(tblPassengerNames[[#This Row],[Name]], tblPassengerNames[[#This Row],[DotPos]] + 2, tblPassengerNames[[#This Row],[EndOfConvFNPos]] - tblPassengerNames[[#This Row],[DotPos]] - 1)</f>
        <v>Velin</v>
      </c>
      <c r="K1082" t="e">
        <f>MID(tblPassengerNames[[#This Row],[Name]], tblPassengerNames[[#This Row],[OpenParPos]] + 1, tblPassengerNames[[#This Row],[CloseParPos]] - tblPassengerNames[[#This Row],[OpenParPos]] - 1)</f>
        <v>#VALUE!</v>
      </c>
      <c r="L1082" t="e">
        <f>IF(AND(LEFT(tblPassengerNames[[#This Row],[InParentheses]], 1) = "'", RIGHT(tblPassengerNames[[#This Row],[InParentheses]], 1) = "'"),
    #VALUE!,
    tblPassengerNames[[#This Row],[InParentheses]]
)</f>
        <v>#VALUE!</v>
      </c>
      <c r="M1082" t="e">
        <f>LEN(tblPassengerNames[[#This Row],[InParenthesesCleaned]]) - LEN(SUBSTITUTE(tblPassengerNames[[#This Row],[InParenthesesCleaned]], " ", ""))</f>
        <v>#VALUE!</v>
      </c>
      <c r="N1082" t="e">
        <f>FIND("@", SUBSTITUTE(tblPassengerNames[[#This Row],[InParenthesesCleaned]], " ", "@", tblPassengerNames[[#This Row],[P_NSpaces]]))</f>
        <v>#VALUE!</v>
      </c>
      <c r="O1082" t="e">
        <f>IF(tblPassengerNames[[#This Row],[P_NSpaces]] = 0,
    tblPassengerNames[[#This Row],[InParenthesesCleaned]],
    LEFT(tblPassengerNames[[#This Row],[InParenthesesCleaned]], tblPassengerNames[[#This Row],[P_FinalSpacePos]] - 1)
)</f>
        <v>#VALUE!</v>
      </c>
      <c r="P1082" t="str">
        <f>IFERROR(tblPassengerNames[[#This Row],[P_Forenames]], tblPassengerNames[[#This Row],[ConvForenames]])</f>
        <v>Velin</v>
      </c>
      <c r="Q1082" t="str">
        <f>MID(tblPassengerNames[[#This Row],[Name]], tblPassengerNames[[#This Row],[CommaPos]] + 2, tblPassengerNames[[#This Row],[DotPos]] - tblPassengerNames[[#This Row],[CommaPos]] - 1)</f>
        <v>Miss.</v>
      </c>
      <c r="R1082" t="str">
        <f>LEFT(tblPassengerNames[[#This Row],[Name]], tblPassengerNames[[#This Row],[CommaPos]] - 1)</f>
        <v>Ohman</v>
      </c>
    </row>
    <row r="1083" spans="2:18" x14ac:dyDescent="0.25">
      <c r="B1083" s="21">
        <v>1081</v>
      </c>
      <c r="C1083" s="21" t="s">
        <v>1215</v>
      </c>
      <c r="D1083" s="21" t="s">
        <v>138</v>
      </c>
      <c r="E1083">
        <f>FIND(",", tblPassengerNames[[#This Row],[Name]])</f>
        <v>8</v>
      </c>
      <c r="F1083">
        <f>FIND(".", tblPassengerNames[[#This Row],[Name]])</f>
        <v>12</v>
      </c>
      <c r="G1083" t="e">
        <f>FIND("(", tblPassengerNames[[#This Row],[Name]])</f>
        <v>#VALUE!</v>
      </c>
      <c r="H1083" t="e">
        <f>FIND(")", tblPassengerNames[[#This Row],[Name]])</f>
        <v>#VALUE!</v>
      </c>
      <c r="I1083">
        <f>IFERROR(tblPassengerNames[[#This Row],[OpenParPos]] - 2, LEN(tblPassengerNames[[#This Row],[Name]]))</f>
        <v>20</v>
      </c>
      <c r="J1083" t="str">
        <f>MID(tblPassengerNames[[#This Row],[Name]], tblPassengerNames[[#This Row],[DotPos]] + 2, tblPassengerNames[[#This Row],[EndOfConvFNPos]] - tblPassengerNames[[#This Row],[DotPos]] - 1)</f>
        <v>Patrick</v>
      </c>
      <c r="K1083" t="e">
        <f>MID(tblPassengerNames[[#This Row],[Name]], tblPassengerNames[[#This Row],[OpenParPos]] + 1, tblPassengerNames[[#This Row],[CloseParPos]] - tblPassengerNames[[#This Row],[OpenParPos]] - 1)</f>
        <v>#VALUE!</v>
      </c>
      <c r="L1083" t="e">
        <f>IF(AND(LEFT(tblPassengerNames[[#This Row],[InParentheses]], 1) = "'", RIGHT(tblPassengerNames[[#This Row],[InParentheses]], 1) = "'"),
    #VALUE!,
    tblPassengerNames[[#This Row],[InParentheses]]
)</f>
        <v>#VALUE!</v>
      </c>
      <c r="M1083" t="e">
        <f>LEN(tblPassengerNames[[#This Row],[InParenthesesCleaned]]) - LEN(SUBSTITUTE(tblPassengerNames[[#This Row],[InParenthesesCleaned]], " ", ""))</f>
        <v>#VALUE!</v>
      </c>
      <c r="N1083" t="e">
        <f>FIND("@", SUBSTITUTE(tblPassengerNames[[#This Row],[InParenthesesCleaned]], " ", "@", tblPassengerNames[[#This Row],[P_NSpaces]]))</f>
        <v>#VALUE!</v>
      </c>
      <c r="O1083" t="e">
        <f>IF(tblPassengerNames[[#This Row],[P_NSpaces]] = 0,
    tblPassengerNames[[#This Row],[InParenthesesCleaned]],
    LEFT(tblPassengerNames[[#This Row],[InParenthesesCleaned]], tblPassengerNames[[#This Row],[P_FinalSpacePos]] - 1)
)</f>
        <v>#VALUE!</v>
      </c>
      <c r="P1083" t="str">
        <f>IFERROR(tblPassengerNames[[#This Row],[P_Forenames]], tblPassengerNames[[#This Row],[ConvForenames]])</f>
        <v>Patrick</v>
      </c>
      <c r="Q1083" t="str">
        <f>MID(tblPassengerNames[[#This Row],[Name]], tblPassengerNames[[#This Row],[CommaPos]] + 2, tblPassengerNames[[#This Row],[DotPos]] - tblPassengerNames[[#This Row],[CommaPos]] - 1)</f>
        <v>Mr.</v>
      </c>
      <c r="R1083" t="str">
        <f>LEFT(tblPassengerNames[[#This Row],[Name]], tblPassengerNames[[#This Row],[CommaPos]] - 1)</f>
        <v>O'Keefe</v>
      </c>
    </row>
    <row r="1084" spans="2:18" x14ac:dyDescent="0.25">
      <c r="B1084" s="21">
        <v>1082</v>
      </c>
      <c r="C1084" s="21" t="s">
        <v>1216</v>
      </c>
      <c r="D1084" s="21" t="s">
        <v>136</v>
      </c>
      <c r="E1084">
        <f>FIND(",", tblPassengerNames[[#This Row],[Name]])</f>
        <v>8</v>
      </c>
      <c r="F1084">
        <f>FIND(".", tblPassengerNames[[#This Row],[Name]])</f>
        <v>14</v>
      </c>
      <c r="G1084" t="e">
        <f>FIND("(", tblPassengerNames[[#This Row],[Name]])</f>
        <v>#VALUE!</v>
      </c>
      <c r="H1084" t="e">
        <f>FIND(")", tblPassengerNames[[#This Row],[Name]])</f>
        <v>#VALUE!</v>
      </c>
      <c r="I1084">
        <f>IFERROR(tblPassengerNames[[#This Row],[OpenParPos]] - 2, LEN(tblPassengerNames[[#This Row],[Name]]))</f>
        <v>29</v>
      </c>
      <c r="J1084" t="str">
        <f>MID(tblPassengerNames[[#This Row],[Name]], tblPassengerNames[[#This Row],[DotPos]] + 2, tblPassengerNames[[#This Row],[EndOfConvFNPos]] - tblPassengerNames[[#This Row],[DotPos]] - 1)</f>
        <v>Hanora 'Norah'</v>
      </c>
      <c r="K1084" t="e">
        <f>MID(tblPassengerNames[[#This Row],[Name]], tblPassengerNames[[#This Row],[OpenParPos]] + 1, tblPassengerNames[[#This Row],[CloseParPos]] - tblPassengerNames[[#This Row],[OpenParPos]] - 1)</f>
        <v>#VALUE!</v>
      </c>
      <c r="L1084" t="e">
        <f>IF(AND(LEFT(tblPassengerNames[[#This Row],[InParentheses]], 1) = "'", RIGHT(tblPassengerNames[[#This Row],[InParentheses]], 1) = "'"),
    #VALUE!,
    tblPassengerNames[[#This Row],[InParentheses]]
)</f>
        <v>#VALUE!</v>
      </c>
      <c r="M1084" t="e">
        <f>LEN(tblPassengerNames[[#This Row],[InParenthesesCleaned]]) - LEN(SUBSTITUTE(tblPassengerNames[[#This Row],[InParenthesesCleaned]], " ", ""))</f>
        <v>#VALUE!</v>
      </c>
      <c r="N1084" t="e">
        <f>FIND("@", SUBSTITUTE(tblPassengerNames[[#This Row],[InParenthesesCleaned]], " ", "@", tblPassengerNames[[#This Row],[P_NSpaces]]))</f>
        <v>#VALUE!</v>
      </c>
      <c r="O1084" t="e">
        <f>IF(tblPassengerNames[[#This Row],[P_NSpaces]] = 0,
    tblPassengerNames[[#This Row],[InParenthesesCleaned]],
    LEFT(tblPassengerNames[[#This Row],[InParenthesesCleaned]], tblPassengerNames[[#This Row],[P_FinalSpacePos]] - 1)
)</f>
        <v>#VALUE!</v>
      </c>
      <c r="P1084" t="str">
        <f>IFERROR(tblPassengerNames[[#This Row],[P_Forenames]], tblPassengerNames[[#This Row],[ConvForenames]])</f>
        <v>Hanora 'Norah'</v>
      </c>
      <c r="Q1084" t="str">
        <f>MID(tblPassengerNames[[#This Row],[Name]], tblPassengerNames[[#This Row],[CommaPos]] + 2, tblPassengerNames[[#This Row],[DotPos]] - tblPassengerNames[[#This Row],[CommaPos]] - 1)</f>
        <v>Miss.</v>
      </c>
      <c r="R1084" t="str">
        <f>LEFT(tblPassengerNames[[#This Row],[Name]], tblPassengerNames[[#This Row],[CommaPos]] - 1)</f>
        <v>O'Leary</v>
      </c>
    </row>
    <row r="1085" spans="2:18" x14ac:dyDescent="0.25">
      <c r="B1085" s="21">
        <v>1083</v>
      </c>
      <c r="C1085" s="21" t="s">
        <v>1217</v>
      </c>
      <c r="D1085" s="21" t="s">
        <v>138</v>
      </c>
      <c r="E1085">
        <f>FIND(",", tblPassengerNames[[#This Row],[Name]])</f>
        <v>6</v>
      </c>
      <c r="F1085">
        <f>FIND(".", tblPassengerNames[[#This Row],[Name]])</f>
        <v>14</v>
      </c>
      <c r="G1085" t="e">
        <f>FIND("(", tblPassengerNames[[#This Row],[Name]])</f>
        <v>#VALUE!</v>
      </c>
      <c r="H1085" t="e">
        <f>FIND(")", tblPassengerNames[[#This Row],[Name]])</f>
        <v>#VALUE!</v>
      </c>
      <c r="I1085">
        <f>IFERROR(tblPassengerNames[[#This Row],[OpenParPos]] - 2, LEN(tblPassengerNames[[#This Row],[Name]]))</f>
        <v>25</v>
      </c>
      <c r="J1085" t="str">
        <f>MID(tblPassengerNames[[#This Row],[Name]], tblPassengerNames[[#This Row],[DotPos]] + 2, tblPassengerNames[[#This Row],[EndOfConvFNPos]] - tblPassengerNames[[#This Row],[DotPos]] - 1)</f>
        <v>Artur Karl</v>
      </c>
      <c r="K1085" t="e">
        <f>MID(tblPassengerNames[[#This Row],[Name]], tblPassengerNames[[#This Row],[OpenParPos]] + 1, tblPassengerNames[[#This Row],[CloseParPos]] - tblPassengerNames[[#This Row],[OpenParPos]] - 1)</f>
        <v>#VALUE!</v>
      </c>
      <c r="L1085" t="e">
        <f>IF(AND(LEFT(tblPassengerNames[[#This Row],[InParentheses]], 1) = "'", RIGHT(tblPassengerNames[[#This Row],[InParentheses]], 1) = "'"),
    #VALUE!,
    tblPassengerNames[[#This Row],[InParentheses]]
)</f>
        <v>#VALUE!</v>
      </c>
      <c r="M1085" t="e">
        <f>LEN(tblPassengerNames[[#This Row],[InParenthesesCleaned]]) - LEN(SUBSTITUTE(tblPassengerNames[[#This Row],[InParenthesesCleaned]], " ", ""))</f>
        <v>#VALUE!</v>
      </c>
      <c r="N1085" t="e">
        <f>FIND("@", SUBSTITUTE(tblPassengerNames[[#This Row],[InParenthesesCleaned]], " ", "@", tblPassengerNames[[#This Row],[P_NSpaces]]))</f>
        <v>#VALUE!</v>
      </c>
      <c r="O1085" t="e">
        <f>IF(tblPassengerNames[[#This Row],[P_NSpaces]] = 0,
    tblPassengerNames[[#This Row],[InParenthesesCleaned]],
    LEFT(tblPassengerNames[[#This Row],[InParenthesesCleaned]], tblPassengerNames[[#This Row],[P_FinalSpacePos]] - 1)
)</f>
        <v>#VALUE!</v>
      </c>
      <c r="P1085" t="str">
        <f>IFERROR(tblPassengerNames[[#This Row],[P_Forenames]], tblPassengerNames[[#This Row],[ConvForenames]])</f>
        <v>Artur Karl</v>
      </c>
      <c r="Q1085" t="str">
        <f>MID(tblPassengerNames[[#This Row],[Name]], tblPassengerNames[[#This Row],[CommaPos]] + 2, tblPassengerNames[[#This Row],[DotPos]] - tblPassengerNames[[#This Row],[CommaPos]] - 1)</f>
        <v>Master.</v>
      </c>
      <c r="R1085" t="str">
        <f>LEFT(tblPassengerNames[[#This Row],[Name]], tblPassengerNames[[#This Row],[CommaPos]] - 1)</f>
        <v>Olsen</v>
      </c>
    </row>
    <row r="1086" spans="2:18" x14ac:dyDescent="0.25">
      <c r="B1086" s="21">
        <v>1084</v>
      </c>
      <c r="C1086" s="21" t="s">
        <v>1218</v>
      </c>
      <c r="D1086" s="21" t="s">
        <v>138</v>
      </c>
      <c r="E1086">
        <f>FIND(",", tblPassengerNames[[#This Row],[Name]])</f>
        <v>6</v>
      </c>
      <c r="F1086">
        <f>FIND(".", tblPassengerNames[[#This Row],[Name]])</f>
        <v>10</v>
      </c>
      <c r="G1086" t="e">
        <f>FIND("(", tblPassengerNames[[#This Row],[Name]])</f>
        <v>#VALUE!</v>
      </c>
      <c r="H1086" t="e">
        <f>FIND(")", tblPassengerNames[[#This Row],[Name]])</f>
        <v>#VALUE!</v>
      </c>
      <c r="I1086">
        <f>IFERROR(tblPassengerNames[[#This Row],[OpenParPos]] - 2, LEN(tblPassengerNames[[#This Row],[Name]]))</f>
        <v>24</v>
      </c>
      <c r="J1086" t="str">
        <f>MID(tblPassengerNames[[#This Row],[Name]], tblPassengerNames[[#This Row],[DotPos]] + 2, tblPassengerNames[[#This Row],[EndOfConvFNPos]] - tblPassengerNames[[#This Row],[DotPos]] - 1)</f>
        <v>Henry Margido</v>
      </c>
      <c r="K1086" t="e">
        <f>MID(tblPassengerNames[[#This Row],[Name]], tblPassengerNames[[#This Row],[OpenParPos]] + 1, tblPassengerNames[[#This Row],[CloseParPos]] - tblPassengerNames[[#This Row],[OpenParPos]] - 1)</f>
        <v>#VALUE!</v>
      </c>
      <c r="L1086" t="e">
        <f>IF(AND(LEFT(tblPassengerNames[[#This Row],[InParentheses]], 1) = "'", RIGHT(tblPassengerNames[[#This Row],[InParentheses]], 1) = "'"),
    #VALUE!,
    tblPassengerNames[[#This Row],[InParentheses]]
)</f>
        <v>#VALUE!</v>
      </c>
      <c r="M1086" t="e">
        <f>LEN(tblPassengerNames[[#This Row],[InParenthesesCleaned]]) - LEN(SUBSTITUTE(tblPassengerNames[[#This Row],[InParenthesesCleaned]], " ", ""))</f>
        <v>#VALUE!</v>
      </c>
      <c r="N1086" t="e">
        <f>FIND("@", SUBSTITUTE(tblPassengerNames[[#This Row],[InParenthesesCleaned]], " ", "@", tblPassengerNames[[#This Row],[P_NSpaces]]))</f>
        <v>#VALUE!</v>
      </c>
      <c r="O1086" t="e">
        <f>IF(tblPassengerNames[[#This Row],[P_NSpaces]] = 0,
    tblPassengerNames[[#This Row],[InParenthesesCleaned]],
    LEFT(tblPassengerNames[[#This Row],[InParenthesesCleaned]], tblPassengerNames[[#This Row],[P_FinalSpacePos]] - 1)
)</f>
        <v>#VALUE!</v>
      </c>
      <c r="P1086" t="str">
        <f>IFERROR(tblPassengerNames[[#This Row],[P_Forenames]], tblPassengerNames[[#This Row],[ConvForenames]])</f>
        <v>Henry Margido</v>
      </c>
      <c r="Q1086" t="str">
        <f>MID(tblPassengerNames[[#This Row],[Name]], tblPassengerNames[[#This Row],[CommaPos]] + 2, tblPassengerNames[[#This Row],[DotPos]] - tblPassengerNames[[#This Row],[CommaPos]] - 1)</f>
        <v>Mr.</v>
      </c>
      <c r="R1086" t="str">
        <f>LEFT(tblPassengerNames[[#This Row],[Name]], tblPassengerNames[[#This Row],[CommaPos]] - 1)</f>
        <v>Olsen</v>
      </c>
    </row>
    <row r="1087" spans="2:18" x14ac:dyDescent="0.25">
      <c r="B1087" s="21">
        <v>1085</v>
      </c>
      <c r="C1087" s="21" t="s">
        <v>1219</v>
      </c>
      <c r="D1087" s="21" t="s">
        <v>138</v>
      </c>
      <c r="E1087">
        <f>FIND(",", tblPassengerNames[[#This Row],[Name]])</f>
        <v>6</v>
      </c>
      <c r="F1087">
        <f>FIND(".", tblPassengerNames[[#This Row],[Name]])</f>
        <v>10</v>
      </c>
      <c r="G1087" t="e">
        <f>FIND("(", tblPassengerNames[[#This Row],[Name]])</f>
        <v>#VALUE!</v>
      </c>
      <c r="H1087" t="e">
        <f>FIND(")", tblPassengerNames[[#This Row],[Name]])</f>
        <v>#VALUE!</v>
      </c>
      <c r="I1087">
        <f>IFERROR(tblPassengerNames[[#This Row],[OpenParPos]] - 2, LEN(tblPassengerNames[[#This Row],[Name]]))</f>
        <v>32</v>
      </c>
      <c r="J1087" t="str">
        <f>MID(tblPassengerNames[[#This Row],[Name]], tblPassengerNames[[#This Row],[DotPos]] + 2, tblPassengerNames[[#This Row],[EndOfConvFNPos]] - tblPassengerNames[[#This Row],[DotPos]] - 1)</f>
        <v>Karl Siegwart Andreas</v>
      </c>
      <c r="K1087" t="e">
        <f>MID(tblPassengerNames[[#This Row],[Name]], tblPassengerNames[[#This Row],[OpenParPos]] + 1, tblPassengerNames[[#This Row],[CloseParPos]] - tblPassengerNames[[#This Row],[OpenParPos]] - 1)</f>
        <v>#VALUE!</v>
      </c>
      <c r="L1087" t="e">
        <f>IF(AND(LEFT(tblPassengerNames[[#This Row],[InParentheses]], 1) = "'", RIGHT(tblPassengerNames[[#This Row],[InParentheses]], 1) = "'"),
    #VALUE!,
    tblPassengerNames[[#This Row],[InParentheses]]
)</f>
        <v>#VALUE!</v>
      </c>
      <c r="M1087" t="e">
        <f>LEN(tblPassengerNames[[#This Row],[InParenthesesCleaned]]) - LEN(SUBSTITUTE(tblPassengerNames[[#This Row],[InParenthesesCleaned]], " ", ""))</f>
        <v>#VALUE!</v>
      </c>
      <c r="N1087" t="e">
        <f>FIND("@", SUBSTITUTE(tblPassengerNames[[#This Row],[InParenthesesCleaned]], " ", "@", tblPassengerNames[[#This Row],[P_NSpaces]]))</f>
        <v>#VALUE!</v>
      </c>
      <c r="O1087" t="e">
        <f>IF(tblPassengerNames[[#This Row],[P_NSpaces]] = 0,
    tblPassengerNames[[#This Row],[InParenthesesCleaned]],
    LEFT(tblPassengerNames[[#This Row],[InParenthesesCleaned]], tblPassengerNames[[#This Row],[P_FinalSpacePos]] - 1)
)</f>
        <v>#VALUE!</v>
      </c>
      <c r="P1087" t="str">
        <f>IFERROR(tblPassengerNames[[#This Row],[P_Forenames]], tblPassengerNames[[#This Row],[ConvForenames]])</f>
        <v>Karl Siegwart Andreas</v>
      </c>
      <c r="Q1087" t="str">
        <f>MID(tblPassengerNames[[#This Row],[Name]], tblPassengerNames[[#This Row],[CommaPos]] + 2, tblPassengerNames[[#This Row],[DotPos]] - tblPassengerNames[[#This Row],[CommaPos]] - 1)</f>
        <v>Mr.</v>
      </c>
      <c r="R1087" t="str">
        <f>LEFT(tblPassengerNames[[#This Row],[Name]], tblPassengerNames[[#This Row],[CommaPos]] - 1)</f>
        <v>Olsen</v>
      </c>
    </row>
    <row r="1088" spans="2:18" x14ac:dyDescent="0.25">
      <c r="B1088" s="21">
        <v>1086</v>
      </c>
      <c r="C1088" s="21" t="s">
        <v>1220</v>
      </c>
      <c r="D1088" s="21" t="s">
        <v>138</v>
      </c>
      <c r="E1088">
        <f>FIND(",", tblPassengerNames[[#This Row],[Name]])</f>
        <v>6</v>
      </c>
      <c r="F1088">
        <f>FIND(".", tblPassengerNames[[#This Row],[Name]])</f>
        <v>10</v>
      </c>
      <c r="G1088" t="e">
        <f>FIND("(", tblPassengerNames[[#This Row],[Name]])</f>
        <v>#VALUE!</v>
      </c>
      <c r="H1088" t="e">
        <f>FIND(")", tblPassengerNames[[#This Row],[Name]])</f>
        <v>#VALUE!</v>
      </c>
      <c r="I1088">
        <f>IFERROR(tblPassengerNames[[#This Row],[OpenParPos]] - 2, LEN(tblPassengerNames[[#This Row],[Name]]))</f>
        <v>21</v>
      </c>
      <c r="J1088" t="str">
        <f>MID(tblPassengerNames[[#This Row],[Name]], tblPassengerNames[[#This Row],[DotPos]] + 2, tblPassengerNames[[#This Row],[EndOfConvFNPos]] - tblPassengerNames[[#This Row],[DotPos]] - 1)</f>
        <v>Ole Martin</v>
      </c>
      <c r="K1088" t="e">
        <f>MID(tblPassengerNames[[#This Row],[Name]], tblPassengerNames[[#This Row],[OpenParPos]] + 1, tblPassengerNames[[#This Row],[CloseParPos]] - tblPassengerNames[[#This Row],[OpenParPos]] - 1)</f>
        <v>#VALUE!</v>
      </c>
      <c r="L1088" t="e">
        <f>IF(AND(LEFT(tblPassengerNames[[#This Row],[InParentheses]], 1) = "'", RIGHT(tblPassengerNames[[#This Row],[InParentheses]], 1) = "'"),
    #VALUE!,
    tblPassengerNames[[#This Row],[InParentheses]]
)</f>
        <v>#VALUE!</v>
      </c>
      <c r="M1088" t="e">
        <f>LEN(tblPassengerNames[[#This Row],[InParenthesesCleaned]]) - LEN(SUBSTITUTE(tblPassengerNames[[#This Row],[InParenthesesCleaned]], " ", ""))</f>
        <v>#VALUE!</v>
      </c>
      <c r="N1088" t="e">
        <f>FIND("@", SUBSTITUTE(tblPassengerNames[[#This Row],[InParenthesesCleaned]], " ", "@", tblPassengerNames[[#This Row],[P_NSpaces]]))</f>
        <v>#VALUE!</v>
      </c>
      <c r="O1088" t="e">
        <f>IF(tblPassengerNames[[#This Row],[P_NSpaces]] = 0,
    tblPassengerNames[[#This Row],[InParenthesesCleaned]],
    LEFT(tblPassengerNames[[#This Row],[InParenthesesCleaned]], tblPassengerNames[[#This Row],[P_FinalSpacePos]] - 1)
)</f>
        <v>#VALUE!</v>
      </c>
      <c r="P1088" t="str">
        <f>IFERROR(tblPassengerNames[[#This Row],[P_Forenames]], tblPassengerNames[[#This Row],[ConvForenames]])</f>
        <v>Ole Martin</v>
      </c>
      <c r="Q1088" t="str">
        <f>MID(tblPassengerNames[[#This Row],[Name]], tblPassengerNames[[#This Row],[CommaPos]] + 2, tblPassengerNames[[#This Row],[DotPos]] - tblPassengerNames[[#This Row],[CommaPos]] - 1)</f>
        <v>Mr.</v>
      </c>
      <c r="R1088" t="str">
        <f>LEFT(tblPassengerNames[[#This Row],[Name]], tblPassengerNames[[#This Row],[CommaPos]] - 1)</f>
        <v>Olsen</v>
      </c>
    </row>
    <row r="1089" spans="2:18" x14ac:dyDescent="0.25">
      <c r="B1089" s="21">
        <v>1087</v>
      </c>
      <c r="C1089" s="21" t="s">
        <v>1221</v>
      </c>
      <c r="D1089" s="21" t="s">
        <v>136</v>
      </c>
      <c r="E1089">
        <f>FIND(",", tblPassengerNames[[#This Row],[Name]])</f>
        <v>7</v>
      </c>
      <c r="F1089">
        <f>FIND(".", tblPassengerNames[[#This Row],[Name]])</f>
        <v>13</v>
      </c>
      <c r="G1089" t="e">
        <f>FIND("(", tblPassengerNames[[#This Row],[Name]])</f>
        <v>#VALUE!</v>
      </c>
      <c r="H1089" t="e">
        <f>FIND(")", tblPassengerNames[[#This Row],[Name]])</f>
        <v>#VALUE!</v>
      </c>
      <c r="I1089">
        <f>IFERROR(tblPassengerNames[[#This Row],[OpenParPos]] - 2, LEN(tblPassengerNames[[#This Row],[Name]]))</f>
        <v>19</v>
      </c>
      <c r="J1089" t="str">
        <f>MID(tblPassengerNames[[#This Row],[Name]], tblPassengerNames[[#This Row],[DotPos]] + 2, tblPassengerNames[[#This Row],[EndOfConvFNPos]] - tblPassengerNames[[#This Row],[DotPos]] - 1)</f>
        <v>Elina</v>
      </c>
      <c r="K1089" t="e">
        <f>MID(tblPassengerNames[[#This Row],[Name]], tblPassengerNames[[#This Row],[OpenParPos]] + 1, tblPassengerNames[[#This Row],[CloseParPos]] - tblPassengerNames[[#This Row],[OpenParPos]] - 1)</f>
        <v>#VALUE!</v>
      </c>
      <c r="L1089" t="e">
        <f>IF(AND(LEFT(tblPassengerNames[[#This Row],[InParentheses]], 1) = "'", RIGHT(tblPassengerNames[[#This Row],[InParentheses]], 1) = "'"),
    #VALUE!,
    tblPassengerNames[[#This Row],[InParentheses]]
)</f>
        <v>#VALUE!</v>
      </c>
      <c r="M1089" t="e">
        <f>LEN(tblPassengerNames[[#This Row],[InParenthesesCleaned]]) - LEN(SUBSTITUTE(tblPassengerNames[[#This Row],[InParenthesesCleaned]], " ", ""))</f>
        <v>#VALUE!</v>
      </c>
      <c r="N1089" t="e">
        <f>FIND("@", SUBSTITUTE(tblPassengerNames[[#This Row],[InParenthesesCleaned]], " ", "@", tblPassengerNames[[#This Row],[P_NSpaces]]))</f>
        <v>#VALUE!</v>
      </c>
      <c r="O1089" t="e">
        <f>IF(tblPassengerNames[[#This Row],[P_NSpaces]] = 0,
    tblPassengerNames[[#This Row],[InParenthesesCleaned]],
    LEFT(tblPassengerNames[[#This Row],[InParenthesesCleaned]], tblPassengerNames[[#This Row],[P_FinalSpacePos]] - 1)
)</f>
        <v>#VALUE!</v>
      </c>
      <c r="P1089" t="str">
        <f>IFERROR(tblPassengerNames[[#This Row],[P_Forenames]], tblPassengerNames[[#This Row],[ConvForenames]])</f>
        <v>Elina</v>
      </c>
      <c r="Q1089" t="str">
        <f>MID(tblPassengerNames[[#This Row],[Name]], tblPassengerNames[[#This Row],[CommaPos]] + 2, tblPassengerNames[[#This Row],[DotPos]] - tblPassengerNames[[#This Row],[CommaPos]] - 1)</f>
        <v>Miss.</v>
      </c>
      <c r="R1089" t="str">
        <f>LEFT(tblPassengerNames[[#This Row],[Name]], tblPassengerNames[[#This Row],[CommaPos]] - 1)</f>
        <v>Olsson</v>
      </c>
    </row>
    <row r="1090" spans="2:18" x14ac:dyDescent="0.25">
      <c r="B1090" s="21">
        <v>1088</v>
      </c>
      <c r="C1090" s="21" t="s">
        <v>1222</v>
      </c>
      <c r="D1090" s="21" t="s">
        <v>138</v>
      </c>
      <c r="E1090">
        <f>FIND(",", tblPassengerNames[[#This Row],[Name]])</f>
        <v>7</v>
      </c>
      <c r="F1090">
        <f>FIND(".", tblPassengerNames[[#This Row],[Name]])</f>
        <v>11</v>
      </c>
      <c r="G1090" t="e">
        <f>FIND("(", tblPassengerNames[[#This Row],[Name]])</f>
        <v>#VALUE!</v>
      </c>
      <c r="H1090" t="e">
        <f>FIND(")", tblPassengerNames[[#This Row],[Name]])</f>
        <v>#VALUE!</v>
      </c>
      <c r="I1090">
        <f>IFERROR(tblPassengerNames[[#This Row],[OpenParPos]] - 2, LEN(tblPassengerNames[[#This Row],[Name]]))</f>
        <v>32</v>
      </c>
      <c r="J1090" t="str">
        <f>MID(tblPassengerNames[[#This Row],[Name]], tblPassengerNames[[#This Row],[DotPos]] + 2, tblPassengerNames[[#This Row],[EndOfConvFNPos]] - tblPassengerNames[[#This Row],[DotPos]] - 1)</f>
        <v>Nils Johan Goransson</v>
      </c>
      <c r="K1090" t="e">
        <f>MID(tblPassengerNames[[#This Row],[Name]], tblPassengerNames[[#This Row],[OpenParPos]] + 1, tblPassengerNames[[#This Row],[CloseParPos]] - tblPassengerNames[[#This Row],[OpenParPos]] - 1)</f>
        <v>#VALUE!</v>
      </c>
      <c r="L1090" t="e">
        <f>IF(AND(LEFT(tblPassengerNames[[#This Row],[InParentheses]], 1) = "'", RIGHT(tblPassengerNames[[#This Row],[InParentheses]], 1) = "'"),
    #VALUE!,
    tblPassengerNames[[#This Row],[InParentheses]]
)</f>
        <v>#VALUE!</v>
      </c>
      <c r="M1090" t="e">
        <f>LEN(tblPassengerNames[[#This Row],[InParenthesesCleaned]]) - LEN(SUBSTITUTE(tblPassengerNames[[#This Row],[InParenthesesCleaned]], " ", ""))</f>
        <v>#VALUE!</v>
      </c>
      <c r="N1090" t="e">
        <f>FIND("@", SUBSTITUTE(tblPassengerNames[[#This Row],[InParenthesesCleaned]], " ", "@", tblPassengerNames[[#This Row],[P_NSpaces]]))</f>
        <v>#VALUE!</v>
      </c>
      <c r="O1090" t="e">
        <f>IF(tblPassengerNames[[#This Row],[P_NSpaces]] = 0,
    tblPassengerNames[[#This Row],[InParenthesesCleaned]],
    LEFT(tblPassengerNames[[#This Row],[InParenthesesCleaned]], tblPassengerNames[[#This Row],[P_FinalSpacePos]] - 1)
)</f>
        <v>#VALUE!</v>
      </c>
      <c r="P1090" t="str">
        <f>IFERROR(tblPassengerNames[[#This Row],[P_Forenames]], tblPassengerNames[[#This Row],[ConvForenames]])</f>
        <v>Nils Johan Goransson</v>
      </c>
      <c r="Q1090" t="str">
        <f>MID(tblPassengerNames[[#This Row],[Name]], tblPassengerNames[[#This Row],[CommaPos]] + 2, tblPassengerNames[[#This Row],[DotPos]] - tblPassengerNames[[#This Row],[CommaPos]] - 1)</f>
        <v>Mr.</v>
      </c>
      <c r="R1090" t="str">
        <f>LEFT(tblPassengerNames[[#This Row],[Name]], tblPassengerNames[[#This Row],[CommaPos]] - 1)</f>
        <v>Olsson</v>
      </c>
    </row>
    <row r="1091" spans="2:18" x14ac:dyDescent="0.25">
      <c r="B1091" s="21">
        <v>1089</v>
      </c>
      <c r="C1091" s="21" t="s">
        <v>1223</v>
      </c>
      <c r="D1091" s="21" t="s">
        <v>138</v>
      </c>
      <c r="E1091">
        <f>FIND(",", tblPassengerNames[[#This Row],[Name]])</f>
        <v>7</v>
      </c>
      <c r="F1091">
        <f>FIND(".", tblPassengerNames[[#This Row],[Name]])</f>
        <v>11</v>
      </c>
      <c r="G1091" t="e">
        <f>FIND("(", tblPassengerNames[[#This Row],[Name]])</f>
        <v>#VALUE!</v>
      </c>
      <c r="H1091" t="e">
        <f>FIND(")", tblPassengerNames[[#This Row],[Name]])</f>
        <v>#VALUE!</v>
      </c>
      <c r="I1091">
        <f>IFERROR(tblPassengerNames[[#This Row],[OpenParPos]] - 2, LEN(tblPassengerNames[[#This Row],[Name]]))</f>
        <v>25</v>
      </c>
      <c r="J1091" t="str">
        <f>MID(tblPassengerNames[[#This Row],[Name]], tblPassengerNames[[#This Row],[DotPos]] + 2, tblPassengerNames[[#This Row],[EndOfConvFNPos]] - tblPassengerNames[[#This Row],[DotPos]] - 1)</f>
        <v>Oscar Wilhelm</v>
      </c>
      <c r="K1091" t="e">
        <f>MID(tblPassengerNames[[#This Row],[Name]], tblPassengerNames[[#This Row],[OpenParPos]] + 1, tblPassengerNames[[#This Row],[CloseParPos]] - tblPassengerNames[[#This Row],[OpenParPos]] - 1)</f>
        <v>#VALUE!</v>
      </c>
      <c r="L1091" t="e">
        <f>IF(AND(LEFT(tblPassengerNames[[#This Row],[InParentheses]], 1) = "'", RIGHT(tblPassengerNames[[#This Row],[InParentheses]], 1) = "'"),
    #VALUE!,
    tblPassengerNames[[#This Row],[InParentheses]]
)</f>
        <v>#VALUE!</v>
      </c>
      <c r="M1091" t="e">
        <f>LEN(tblPassengerNames[[#This Row],[InParenthesesCleaned]]) - LEN(SUBSTITUTE(tblPassengerNames[[#This Row],[InParenthesesCleaned]], " ", ""))</f>
        <v>#VALUE!</v>
      </c>
      <c r="N1091" t="e">
        <f>FIND("@", SUBSTITUTE(tblPassengerNames[[#This Row],[InParenthesesCleaned]], " ", "@", tblPassengerNames[[#This Row],[P_NSpaces]]))</f>
        <v>#VALUE!</v>
      </c>
      <c r="O1091" t="e">
        <f>IF(tblPassengerNames[[#This Row],[P_NSpaces]] = 0,
    tblPassengerNames[[#This Row],[InParenthesesCleaned]],
    LEFT(tblPassengerNames[[#This Row],[InParenthesesCleaned]], tblPassengerNames[[#This Row],[P_FinalSpacePos]] - 1)
)</f>
        <v>#VALUE!</v>
      </c>
      <c r="P1091" t="str">
        <f>IFERROR(tblPassengerNames[[#This Row],[P_Forenames]], tblPassengerNames[[#This Row],[ConvForenames]])</f>
        <v>Oscar Wilhelm</v>
      </c>
      <c r="Q1091" t="str">
        <f>MID(tblPassengerNames[[#This Row],[Name]], tblPassengerNames[[#This Row],[CommaPos]] + 2, tblPassengerNames[[#This Row],[DotPos]] - tblPassengerNames[[#This Row],[CommaPos]] - 1)</f>
        <v>Mr.</v>
      </c>
      <c r="R1091" t="str">
        <f>LEFT(tblPassengerNames[[#This Row],[Name]], tblPassengerNames[[#This Row],[CommaPos]] - 1)</f>
        <v>Olsson</v>
      </c>
    </row>
    <row r="1092" spans="2:18" x14ac:dyDescent="0.25">
      <c r="B1092" s="21">
        <v>1090</v>
      </c>
      <c r="C1092" s="21" t="s">
        <v>1224</v>
      </c>
      <c r="D1092" s="21" t="s">
        <v>138</v>
      </c>
      <c r="E1092">
        <f>FIND(",", tblPassengerNames[[#This Row],[Name]])</f>
        <v>9</v>
      </c>
      <c r="F1092">
        <f>FIND(".", tblPassengerNames[[#This Row],[Name]])</f>
        <v>13</v>
      </c>
      <c r="G1092" t="e">
        <f>FIND("(", tblPassengerNames[[#This Row],[Name]])</f>
        <v>#VALUE!</v>
      </c>
      <c r="H1092" t="e">
        <f>FIND(")", tblPassengerNames[[#This Row],[Name]])</f>
        <v>#VALUE!</v>
      </c>
      <c r="I1092">
        <f>IFERROR(tblPassengerNames[[#This Row],[OpenParPos]] - 2, LEN(tblPassengerNames[[#This Row],[Name]]))</f>
        <v>27</v>
      </c>
      <c r="J1092" t="str">
        <f>MID(tblPassengerNames[[#This Row],[Name]], tblPassengerNames[[#This Row],[DotPos]] + 2, tblPassengerNames[[#This Row],[EndOfConvFNPos]] - tblPassengerNames[[#This Row],[DotPos]] - 1)</f>
        <v>Thor Anderson</v>
      </c>
      <c r="K1092" t="e">
        <f>MID(tblPassengerNames[[#This Row],[Name]], tblPassengerNames[[#This Row],[OpenParPos]] + 1, tblPassengerNames[[#This Row],[CloseParPos]] - tblPassengerNames[[#This Row],[OpenParPos]] - 1)</f>
        <v>#VALUE!</v>
      </c>
      <c r="L1092" t="e">
        <f>IF(AND(LEFT(tblPassengerNames[[#This Row],[InParentheses]], 1) = "'", RIGHT(tblPassengerNames[[#This Row],[InParentheses]], 1) = "'"),
    #VALUE!,
    tblPassengerNames[[#This Row],[InParentheses]]
)</f>
        <v>#VALUE!</v>
      </c>
      <c r="M1092" t="e">
        <f>LEN(tblPassengerNames[[#This Row],[InParenthesesCleaned]]) - LEN(SUBSTITUTE(tblPassengerNames[[#This Row],[InParenthesesCleaned]], " ", ""))</f>
        <v>#VALUE!</v>
      </c>
      <c r="N1092" t="e">
        <f>FIND("@", SUBSTITUTE(tblPassengerNames[[#This Row],[InParenthesesCleaned]], " ", "@", tblPassengerNames[[#This Row],[P_NSpaces]]))</f>
        <v>#VALUE!</v>
      </c>
      <c r="O1092" t="e">
        <f>IF(tblPassengerNames[[#This Row],[P_NSpaces]] = 0,
    tblPassengerNames[[#This Row],[InParenthesesCleaned]],
    LEFT(tblPassengerNames[[#This Row],[InParenthesesCleaned]], tblPassengerNames[[#This Row],[P_FinalSpacePos]] - 1)
)</f>
        <v>#VALUE!</v>
      </c>
      <c r="P1092" t="str">
        <f>IFERROR(tblPassengerNames[[#This Row],[P_Forenames]], tblPassengerNames[[#This Row],[ConvForenames]])</f>
        <v>Thor Anderson</v>
      </c>
      <c r="Q1092" t="str">
        <f>MID(tblPassengerNames[[#This Row],[Name]], tblPassengerNames[[#This Row],[CommaPos]] + 2, tblPassengerNames[[#This Row],[DotPos]] - tblPassengerNames[[#This Row],[CommaPos]] - 1)</f>
        <v>Mr.</v>
      </c>
      <c r="R1092" t="str">
        <f>LEFT(tblPassengerNames[[#This Row],[Name]], tblPassengerNames[[#This Row],[CommaPos]] - 1)</f>
        <v>Olsvigen</v>
      </c>
    </row>
    <row r="1093" spans="2:18" x14ac:dyDescent="0.25">
      <c r="B1093" s="21">
        <v>1091</v>
      </c>
      <c r="C1093" s="21" t="s">
        <v>1225</v>
      </c>
      <c r="D1093" s="21" t="s">
        <v>136</v>
      </c>
      <c r="E1093">
        <f>FIND(",", tblPassengerNames[[#This Row],[Name]])</f>
        <v>10</v>
      </c>
      <c r="F1093">
        <f>FIND(".", tblPassengerNames[[#This Row],[Name]])</f>
        <v>16</v>
      </c>
      <c r="G1093" t="e">
        <f>FIND("(", tblPassengerNames[[#This Row],[Name]])</f>
        <v>#VALUE!</v>
      </c>
      <c r="H1093" t="e">
        <f>FIND(")", tblPassengerNames[[#This Row],[Name]])</f>
        <v>#VALUE!</v>
      </c>
      <c r="I1093">
        <f>IFERROR(tblPassengerNames[[#This Row],[OpenParPos]] - 2, LEN(tblPassengerNames[[#This Row],[Name]]))</f>
        <v>22</v>
      </c>
      <c r="J1093" t="str">
        <f>MID(tblPassengerNames[[#This Row],[Name]], tblPassengerNames[[#This Row],[DotPos]] + 2, tblPassengerNames[[#This Row],[EndOfConvFNPos]] - tblPassengerNames[[#This Row],[DotPos]] - 1)</f>
        <v>Jelka</v>
      </c>
      <c r="K1093" t="e">
        <f>MID(tblPassengerNames[[#This Row],[Name]], tblPassengerNames[[#This Row],[OpenParPos]] + 1, tblPassengerNames[[#This Row],[CloseParPos]] - tblPassengerNames[[#This Row],[OpenParPos]] - 1)</f>
        <v>#VALUE!</v>
      </c>
      <c r="L1093" t="e">
        <f>IF(AND(LEFT(tblPassengerNames[[#This Row],[InParentheses]], 1) = "'", RIGHT(tblPassengerNames[[#This Row],[InParentheses]], 1) = "'"),
    #VALUE!,
    tblPassengerNames[[#This Row],[InParentheses]]
)</f>
        <v>#VALUE!</v>
      </c>
      <c r="M1093" t="e">
        <f>LEN(tblPassengerNames[[#This Row],[InParenthesesCleaned]]) - LEN(SUBSTITUTE(tblPassengerNames[[#This Row],[InParenthesesCleaned]], " ", ""))</f>
        <v>#VALUE!</v>
      </c>
      <c r="N1093" t="e">
        <f>FIND("@", SUBSTITUTE(tblPassengerNames[[#This Row],[InParenthesesCleaned]], " ", "@", tblPassengerNames[[#This Row],[P_NSpaces]]))</f>
        <v>#VALUE!</v>
      </c>
      <c r="O1093" t="e">
        <f>IF(tblPassengerNames[[#This Row],[P_NSpaces]] = 0,
    tblPassengerNames[[#This Row],[InParenthesesCleaned]],
    LEFT(tblPassengerNames[[#This Row],[InParenthesesCleaned]], tblPassengerNames[[#This Row],[P_FinalSpacePos]] - 1)
)</f>
        <v>#VALUE!</v>
      </c>
      <c r="P1093" t="str">
        <f>IFERROR(tblPassengerNames[[#This Row],[P_Forenames]], tblPassengerNames[[#This Row],[ConvForenames]])</f>
        <v>Jelka</v>
      </c>
      <c r="Q1093" t="str">
        <f>MID(tblPassengerNames[[#This Row],[Name]], tblPassengerNames[[#This Row],[CommaPos]] + 2, tblPassengerNames[[#This Row],[DotPos]] - tblPassengerNames[[#This Row],[CommaPos]] - 1)</f>
        <v>Miss.</v>
      </c>
      <c r="R1093" t="str">
        <f>LEFT(tblPassengerNames[[#This Row],[Name]], tblPassengerNames[[#This Row],[CommaPos]] - 1)</f>
        <v>Oreskovic</v>
      </c>
    </row>
    <row r="1094" spans="2:18" x14ac:dyDescent="0.25">
      <c r="B1094" s="21">
        <v>1092</v>
      </c>
      <c r="C1094" s="21" t="s">
        <v>1226</v>
      </c>
      <c r="D1094" s="21" t="s">
        <v>136</v>
      </c>
      <c r="E1094">
        <f>FIND(",", tblPassengerNames[[#This Row],[Name]])</f>
        <v>10</v>
      </c>
      <c r="F1094">
        <f>FIND(".", tblPassengerNames[[#This Row],[Name]])</f>
        <v>16</v>
      </c>
      <c r="G1094" t="e">
        <f>FIND("(", tblPassengerNames[[#This Row],[Name]])</f>
        <v>#VALUE!</v>
      </c>
      <c r="H1094" t="e">
        <f>FIND(")", tblPassengerNames[[#This Row],[Name]])</f>
        <v>#VALUE!</v>
      </c>
      <c r="I1094">
        <f>IFERROR(tblPassengerNames[[#This Row],[OpenParPos]] - 2, LEN(tblPassengerNames[[#This Row],[Name]]))</f>
        <v>23</v>
      </c>
      <c r="J1094" t="str">
        <f>MID(tblPassengerNames[[#This Row],[Name]], tblPassengerNames[[#This Row],[DotPos]] + 2, tblPassengerNames[[#This Row],[EndOfConvFNPos]] - tblPassengerNames[[#This Row],[DotPos]] - 1)</f>
        <v>Marija</v>
      </c>
      <c r="K1094" t="e">
        <f>MID(tblPassengerNames[[#This Row],[Name]], tblPassengerNames[[#This Row],[OpenParPos]] + 1, tblPassengerNames[[#This Row],[CloseParPos]] - tblPassengerNames[[#This Row],[OpenParPos]] - 1)</f>
        <v>#VALUE!</v>
      </c>
      <c r="L1094" t="e">
        <f>IF(AND(LEFT(tblPassengerNames[[#This Row],[InParentheses]], 1) = "'", RIGHT(tblPassengerNames[[#This Row],[InParentheses]], 1) = "'"),
    #VALUE!,
    tblPassengerNames[[#This Row],[InParentheses]]
)</f>
        <v>#VALUE!</v>
      </c>
      <c r="M1094" t="e">
        <f>LEN(tblPassengerNames[[#This Row],[InParenthesesCleaned]]) - LEN(SUBSTITUTE(tblPassengerNames[[#This Row],[InParenthesesCleaned]], " ", ""))</f>
        <v>#VALUE!</v>
      </c>
      <c r="N1094" t="e">
        <f>FIND("@", SUBSTITUTE(tblPassengerNames[[#This Row],[InParenthesesCleaned]], " ", "@", tblPassengerNames[[#This Row],[P_NSpaces]]))</f>
        <v>#VALUE!</v>
      </c>
      <c r="O1094" t="e">
        <f>IF(tblPassengerNames[[#This Row],[P_NSpaces]] = 0,
    tblPassengerNames[[#This Row],[InParenthesesCleaned]],
    LEFT(tblPassengerNames[[#This Row],[InParenthesesCleaned]], tblPassengerNames[[#This Row],[P_FinalSpacePos]] - 1)
)</f>
        <v>#VALUE!</v>
      </c>
      <c r="P1094" t="str">
        <f>IFERROR(tblPassengerNames[[#This Row],[P_Forenames]], tblPassengerNames[[#This Row],[ConvForenames]])</f>
        <v>Marija</v>
      </c>
      <c r="Q1094" t="str">
        <f>MID(tblPassengerNames[[#This Row],[Name]], tblPassengerNames[[#This Row],[CommaPos]] + 2, tblPassengerNames[[#This Row],[DotPos]] - tblPassengerNames[[#This Row],[CommaPos]] - 1)</f>
        <v>Miss.</v>
      </c>
      <c r="R1094" t="str">
        <f>LEFT(tblPassengerNames[[#This Row],[Name]], tblPassengerNames[[#This Row],[CommaPos]] - 1)</f>
        <v>Oreskovic</v>
      </c>
    </row>
    <row r="1095" spans="2:18" x14ac:dyDescent="0.25">
      <c r="B1095" s="21">
        <v>1093</v>
      </c>
      <c r="C1095" s="21" t="s">
        <v>1227</v>
      </c>
      <c r="D1095" s="21" t="s">
        <v>138</v>
      </c>
      <c r="E1095">
        <f>FIND(",", tblPassengerNames[[#This Row],[Name]])</f>
        <v>10</v>
      </c>
      <c r="F1095">
        <f>FIND(".", tblPassengerNames[[#This Row],[Name]])</f>
        <v>14</v>
      </c>
      <c r="G1095" t="e">
        <f>FIND("(", tblPassengerNames[[#This Row],[Name]])</f>
        <v>#VALUE!</v>
      </c>
      <c r="H1095" t="e">
        <f>FIND(")", tblPassengerNames[[#This Row],[Name]])</f>
        <v>#VALUE!</v>
      </c>
      <c r="I1095">
        <f>IFERROR(tblPassengerNames[[#This Row],[OpenParPos]] - 2, LEN(tblPassengerNames[[#This Row],[Name]]))</f>
        <v>19</v>
      </c>
      <c r="J1095" t="str">
        <f>MID(tblPassengerNames[[#This Row],[Name]], tblPassengerNames[[#This Row],[DotPos]] + 2, tblPassengerNames[[#This Row],[EndOfConvFNPos]] - tblPassengerNames[[#This Row],[DotPos]] - 1)</f>
        <v>Luka</v>
      </c>
      <c r="K1095" t="e">
        <f>MID(tblPassengerNames[[#This Row],[Name]], tblPassengerNames[[#This Row],[OpenParPos]] + 1, tblPassengerNames[[#This Row],[CloseParPos]] - tblPassengerNames[[#This Row],[OpenParPos]] - 1)</f>
        <v>#VALUE!</v>
      </c>
      <c r="L1095" t="e">
        <f>IF(AND(LEFT(tblPassengerNames[[#This Row],[InParentheses]], 1) = "'", RIGHT(tblPassengerNames[[#This Row],[InParentheses]], 1) = "'"),
    #VALUE!,
    tblPassengerNames[[#This Row],[InParentheses]]
)</f>
        <v>#VALUE!</v>
      </c>
      <c r="M1095" t="e">
        <f>LEN(tblPassengerNames[[#This Row],[InParenthesesCleaned]]) - LEN(SUBSTITUTE(tblPassengerNames[[#This Row],[InParenthesesCleaned]], " ", ""))</f>
        <v>#VALUE!</v>
      </c>
      <c r="N1095" t="e">
        <f>FIND("@", SUBSTITUTE(tblPassengerNames[[#This Row],[InParenthesesCleaned]], " ", "@", tblPassengerNames[[#This Row],[P_NSpaces]]))</f>
        <v>#VALUE!</v>
      </c>
      <c r="O1095" t="e">
        <f>IF(tblPassengerNames[[#This Row],[P_NSpaces]] = 0,
    tblPassengerNames[[#This Row],[InParenthesesCleaned]],
    LEFT(tblPassengerNames[[#This Row],[InParenthesesCleaned]], tblPassengerNames[[#This Row],[P_FinalSpacePos]] - 1)
)</f>
        <v>#VALUE!</v>
      </c>
      <c r="P1095" t="str">
        <f>IFERROR(tblPassengerNames[[#This Row],[P_Forenames]], tblPassengerNames[[#This Row],[ConvForenames]])</f>
        <v>Luka</v>
      </c>
      <c r="Q1095" t="str">
        <f>MID(tblPassengerNames[[#This Row],[Name]], tblPassengerNames[[#This Row],[CommaPos]] + 2, tblPassengerNames[[#This Row],[DotPos]] - tblPassengerNames[[#This Row],[CommaPos]] - 1)</f>
        <v>Mr.</v>
      </c>
      <c r="R1095" t="str">
        <f>LEFT(tblPassengerNames[[#This Row],[Name]], tblPassengerNames[[#This Row],[CommaPos]] - 1)</f>
        <v>Oreskovic</v>
      </c>
    </row>
    <row r="1096" spans="2:18" x14ac:dyDescent="0.25">
      <c r="B1096" s="21">
        <v>1094</v>
      </c>
      <c r="C1096" s="21" t="s">
        <v>1228</v>
      </c>
      <c r="D1096" s="21" t="s">
        <v>138</v>
      </c>
      <c r="E1096">
        <f>FIND(",", tblPassengerNames[[#This Row],[Name]])</f>
        <v>5</v>
      </c>
      <c r="F1096">
        <f>FIND(".", tblPassengerNames[[#This Row],[Name]])</f>
        <v>9</v>
      </c>
      <c r="G1096" t="e">
        <f>FIND("(", tblPassengerNames[[#This Row],[Name]])</f>
        <v>#VALUE!</v>
      </c>
      <c r="H1096" t="e">
        <f>FIND(")", tblPassengerNames[[#This Row],[Name]])</f>
        <v>#VALUE!</v>
      </c>
      <c r="I1096">
        <f>IFERROR(tblPassengerNames[[#This Row],[OpenParPos]] - 2, LEN(tblPassengerNames[[#This Row],[Name]]))</f>
        <v>19</v>
      </c>
      <c r="J1096" t="str">
        <f>MID(tblPassengerNames[[#This Row],[Name]], tblPassengerNames[[#This Row],[DotPos]] + 2, tblPassengerNames[[#This Row],[EndOfConvFNPos]] - tblPassengerNames[[#This Row],[DotPos]] - 1)</f>
        <v>Olaf Elon</v>
      </c>
      <c r="K1096" t="e">
        <f>MID(tblPassengerNames[[#This Row],[Name]], tblPassengerNames[[#This Row],[OpenParPos]] + 1, tblPassengerNames[[#This Row],[CloseParPos]] - tblPassengerNames[[#This Row],[OpenParPos]] - 1)</f>
        <v>#VALUE!</v>
      </c>
      <c r="L1096" t="e">
        <f>IF(AND(LEFT(tblPassengerNames[[#This Row],[InParentheses]], 1) = "'", RIGHT(tblPassengerNames[[#This Row],[InParentheses]], 1) = "'"),
    #VALUE!,
    tblPassengerNames[[#This Row],[InParentheses]]
)</f>
        <v>#VALUE!</v>
      </c>
      <c r="M1096" t="e">
        <f>LEN(tblPassengerNames[[#This Row],[InParenthesesCleaned]]) - LEN(SUBSTITUTE(tblPassengerNames[[#This Row],[InParenthesesCleaned]], " ", ""))</f>
        <v>#VALUE!</v>
      </c>
      <c r="N1096" t="e">
        <f>FIND("@", SUBSTITUTE(tblPassengerNames[[#This Row],[InParenthesesCleaned]], " ", "@", tblPassengerNames[[#This Row],[P_NSpaces]]))</f>
        <v>#VALUE!</v>
      </c>
      <c r="O1096" t="e">
        <f>IF(tblPassengerNames[[#This Row],[P_NSpaces]] = 0,
    tblPassengerNames[[#This Row],[InParenthesesCleaned]],
    LEFT(tblPassengerNames[[#This Row],[InParenthesesCleaned]], tblPassengerNames[[#This Row],[P_FinalSpacePos]] - 1)
)</f>
        <v>#VALUE!</v>
      </c>
      <c r="P1096" t="str">
        <f>IFERROR(tblPassengerNames[[#This Row],[P_Forenames]], tblPassengerNames[[#This Row],[ConvForenames]])</f>
        <v>Olaf Elon</v>
      </c>
      <c r="Q1096" t="str">
        <f>MID(tblPassengerNames[[#This Row],[Name]], tblPassengerNames[[#This Row],[CommaPos]] + 2, tblPassengerNames[[#This Row],[DotPos]] - tblPassengerNames[[#This Row],[CommaPos]] - 1)</f>
        <v>Mr.</v>
      </c>
      <c r="R1096" t="str">
        <f>LEFT(tblPassengerNames[[#This Row],[Name]], tblPassengerNames[[#This Row],[CommaPos]] - 1)</f>
        <v>Osen</v>
      </c>
    </row>
    <row r="1097" spans="2:18" x14ac:dyDescent="0.25">
      <c r="B1097" s="21">
        <v>1095</v>
      </c>
      <c r="C1097" s="21" t="s">
        <v>1229</v>
      </c>
      <c r="D1097" s="21" t="s">
        <v>136</v>
      </c>
      <c r="E1097">
        <f>FIND(",", tblPassengerNames[[#This Row],[Name]])</f>
        <v>6</v>
      </c>
      <c r="F1097">
        <f>FIND(".", tblPassengerNames[[#This Row],[Name]])</f>
        <v>11</v>
      </c>
      <c r="G1097" t="e">
        <f>FIND("(", tblPassengerNames[[#This Row],[Name]])</f>
        <v>#VALUE!</v>
      </c>
      <c r="H1097" t="e">
        <f>FIND(")", tblPassengerNames[[#This Row],[Name]])</f>
        <v>#VALUE!</v>
      </c>
      <c r="I1097">
        <f>IFERROR(tblPassengerNames[[#This Row],[OpenParPos]] - 2, LEN(tblPassengerNames[[#This Row],[Name]]))</f>
        <v>16</v>
      </c>
      <c r="J1097" t="str">
        <f>MID(tblPassengerNames[[#This Row],[Name]], tblPassengerNames[[#This Row],[DotPos]] + 2, tblPassengerNames[[#This Row],[EndOfConvFNPos]] - tblPassengerNames[[#This Row],[DotPos]] - 1)</f>
        <v>Mara</v>
      </c>
      <c r="K1097" t="e">
        <f>MID(tblPassengerNames[[#This Row],[Name]], tblPassengerNames[[#This Row],[OpenParPos]] + 1, tblPassengerNames[[#This Row],[CloseParPos]] - tblPassengerNames[[#This Row],[OpenParPos]] - 1)</f>
        <v>#VALUE!</v>
      </c>
      <c r="L1097" t="e">
        <f>IF(AND(LEFT(tblPassengerNames[[#This Row],[InParentheses]], 1) = "'", RIGHT(tblPassengerNames[[#This Row],[InParentheses]], 1) = "'"),
    #VALUE!,
    tblPassengerNames[[#This Row],[InParentheses]]
)</f>
        <v>#VALUE!</v>
      </c>
      <c r="M1097" t="e">
        <f>LEN(tblPassengerNames[[#This Row],[InParenthesesCleaned]]) - LEN(SUBSTITUTE(tblPassengerNames[[#This Row],[InParenthesesCleaned]], " ", ""))</f>
        <v>#VALUE!</v>
      </c>
      <c r="N1097" t="e">
        <f>FIND("@", SUBSTITUTE(tblPassengerNames[[#This Row],[InParenthesesCleaned]], " ", "@", tblPassengerNames[[#This Row],[P_NSpaces]]))</f>
        <v>#VALUE!</v>
      </c>
      <c r="O1097" t="e">
        <f>IF(tblPassengerNames[[#This Row],[P_NSpaces]] = 0,
    tblPassengerNames[[#This Row],[InParenthesesCleaned]],
    LEFT(tblPassengerNames[[#This Row],[InParenthesesCleaned]], tblPassengerNames[[#This Row],[P_FinalSpacePos]] - 1)
)</f>
        <v>#VALUE!</v>
      </c>
      <c r="P1097" t="str">
        <f>IFERROR(tblPassengerNames[[#This Row],[P_Forenames]], tblPassengerNames[[#This Row],[ConvForenames]])</f>
        <v>Mara</v>
      </c>
      <c r="Q1097" t="str">
        <f>MID(tblPassengerNames[[#This Row],[Name]], tblPassengerNames[[#This Row],[CommaPos]] + 2, tblPassengerNames[[#This Row],[DotPos]] - tblPassengerNames[[#This Row],[CommaPos]] - 1)</f>
        <v>Mrs.</v>
      </c>
      <c r="R1097" t="str">
        <f>LEFT(tblPassengerNames[[#This Row],[Name]], tblPassengerNames[[#This Row],[CommaPos]] - 1)</f>
        <v>Osman</v>
      </c>
    </row>
    <row r="1098" spans="2:18" x14ac:dyDescent="0.25">
      <c r="B1098" s="21">
        <v>1096</v>
      </c>
      <c r="C1098" s="21" t="s">
        <v>1230</v>
      </c>
      <c r="D1098" s="21" t="s">
        <v>136</v>
      </c>
      <c r="E1098">
        <f>FIND(",", tblPassengerNames[[#This Row],[Name]])</f>
        <v>11</v>
      </c>
      <c r="F1098">
        <f>FIND(".", tblPassengerNames[[#This Row],[Name]])</f>
        <v>17</v>
      </c>
      <c r="G1098" t="e">
        <f>FIND("(", tblPassengerNames[[#This Row],[Name]])</f>
        <v>#VALUE!</v>
      </c>
      <c r="H1098" t="e">
        <f>FIND(")", tblPassengerNames[[#This Row],[Name]])</f>
        <v>#VALUE!</v>
      </c>
      <c r="I1098">
        <f>IFERROR(tblPassengerNames[[#This Row],[OpenParPos]] - 2, LEN(tblPassengerNames[[#This Row],[Name]]))</f>
        <v>30</v>
      </c>
      <c r="J1098" t="str">
        <f>MID(tblPassengerNames[[#This Row],[Name]], tblPassengerNames[[#This Row],[DotPos]] + 2, tblPassengerNames[[#This Row],[EndOfConvFNPos]] - tblPassengerNames[[#This Row],[DotPos]] - 1)</f>
        <v>Bridget Mary</v>
      </c>
      <c r="K1098" t="e">
        <f>MID(tblPassengerNames[[#This Row],[Name]], tblPassengerNames[[#This Row],[OpenParPos]] + 1, tblPassengerNames[[#This Row],[CloseParPos]] - tblPassengerNames[[#This Row],[OpenParPos]] - 1)</f>
        <v>#VALUE!</v>
      </c>
      <c r="L1098" t="e">
        <f>IF(AND(LEFT(tblPassengerNames[[#This Row],[InParentheses]], 1) = "'", RIGHT(tblPassengerNames[[#This Row],[InParentheses]], 1) = "'"),
    #VALUE!,
    tblPassengerNames[[#This Row],[InParentheses]]
)</f>
        <v>#VALUE!</v>
      </c>
      <c r="M1098" t="e">
        <f>LEN(tblPassengerNames[[#This Row],[InParenthesesCleaned]]) - LEN(SUBSTITUTE(tblPassengerNames[[#This Row],[InParenthesesCleaned]], " ", ""))</f>
        <v>#VALUE!</v>
      </c>
      <c r="N1098" t="e">
        <f>FIND("@", SUBSTITUTE(tblPassengerNames[[#This Row],[InParenthesesCleaned]], " ", "@", tblPassengerNames[[#This Row],[P_NSpaces]]))</f>
        <v>#VALUE!</v>
      </c>
      <c r="O1098" t="e">
        <f>IF(tblPassengerNames[[#This Row],[P_NSpaces]] = 0,
    tblPassengerNames[[#This Row],[InParenthesesCleaned]],
    LEFT(tblPassengerNames[[#This Row],[InParenthesesCleaned]], tblPassengerNames[[#This Row],[P_FinalSpacePos]] - 1)
)</f>
        <v>#VALUE!</v>
      </c>
      <c r="P1098" t="str">
        <f>IFERROR(tblPassengerNames[[#This Row],[P_Forenames]], tblPassengerNames[[#This Row],[ConvForenames]])</f>
        <v>Bridget Mary</v>
      </c>
      <c r="Q1098" t="str">
        <f>MID(tblPassengerNames[[#This Row],[Name]], tblPassengerNames[[#This Row],[CommaPos]] + 2, tblPassengerNames[[#This Row],[DotPos]] - tblPassengerNames[[#This Row],[CommaPos]] - 1)</f>
        <v>Miss.</v>
      </c>
      <c r="R1098" t="str">
        <f>LEFT(tblPassengerNames[[#This Row],[Name]], tblPassengerNames[[#This Row],[CommaPos]] - 1)</f>
        <v>O'Sullivan</v>
      </c>
    </row>
    <row r="1099" spans="2:18" x14ac:dyDescent="0.25">
      <c r="B1099" s="21">
        <v>1097</v>
      </c>
      <c r="C1099" s="21" t="s">
        <v>1231</v>
      </c>
      <c r="D1099" s="21" t="s">
        <v>138</v>
      </c>
      <c r="E1099">
        <f>FIND(",", tblPassengerNames[[#This Row],[Name]])</f>
        <v>8</v>
      </c>
      <c r="F1099">
        <f>FIND(".", tblPassengerNames[[#This Row],[Name]])</f>
        <v>16</v>
      </c>
      <c r="G1099" t="e">
        <f>FIND("(", tblPassengerNames[[#This Row],[Name]])</f>
        <v>#VALUE!</v>
      </c>
      <c r="H1099" t="e">
        <f>FIND(")", tblPassengerNames[[#This Row],[Name]])</f>
        <v>#VALUE!</v>
      </c>
      <c r="I1099">
        <f>IFERROR(tblPassengerNames[[#This Row],[OpenParPos]] - 2, LEN(tblPassengerNames[[#This Row],[Name]]))</f>
        <v>30</v>
      </c>
      <c r="J1099" t="str">
        <f>MID(tblPassengerNames[[#This Row],[Name]], tblPassengerNames[[#This Row],[DotPos]] + 2, tblPassengerNames[[#This Row],[EndOfConvFNPos]] - tblPassengerNames[[#This Row],[DotPos]] - 1)</f>
        <v>Gosta Leonard</v>
      </c>
      <c r="K1099" t="e">
        <f>MID(tblPassengerNames[[#This Row],[Name]], tblPassengerNames[[#This Row],[OpenParPos]] + 1, tblPassengerNames[[#This Row],[CloseParPos]] - tblPassengerNames[[#This Row],[OpenParPos]] - 1)</f>
        <v>#VALUE!</v>
      </c>
      <c r="L1099" t="e">
        <f>IF(AND(LEFT(tblPassengerNames[[#This Row],[InParentheses]], 1) = "'", RIGHT(tblPassengerNames[[#This Row],[InParentheses]], 1) = "'"),
    #VALUE!,
    tblPassengerNames[[#This Row],[InParentheses]]
)</f>
        <v>#VALUE!</v>
      </c>
      <c r="M1099" t="e">
        <f>LEN(tblPassengerNames[[#This Row],[InParenthesesCleaned]]) - LEN(SUBSTITUTE(tblPassengerNames[[#This Row],[InParenthesesCleaned]], " ", ""))</f>
        <v>#VALUE!</v>
      </c>
      <c r="N1099" t="e">
        <f>FIND("@", SUBSTITUTE(tblPassengerNames[[#This Row],[InParenthesesCleaned]], " ", "@", tblPassengerNames[[#This Row],[P_NSpaces]]))</f>
        <v>#VALUE!</v>
      </c>
      <c r="O1099" t="e">
        <f>IF(tblPassengerNames[[#This Row],[P_NSpaces]] = 0,
    tblPassengerNames[[#This Row],[InParenthesesCleaned]],
    LEFT(tblPassengerNames[[#This Row],[InParenthesesCleaned]], tblPassengerNames[[#This Row],[P_FinalSpacePos]] - 1)
)</f>
        <v>#VALUE!</v>
      </c>
      <c r="P1099" t="str">
        <f>IFERROR(tblPassengerNames[[#This Row],[P_Forenames]], tblPassengerNames[[#This Row],[ConvForenames]])</f>
        <v>Gosta Leonard</v>
      </c>
      <c r="Q1099" t="str">
        <f>MID(tblPassengerNames[[#This Row],[Name]], tblPassengerNames[[#This Row],[CommaPos]] + 2, tblPassengerNames[[#This Row],[DotPos]] - tblPassengerNames[[#This Row],[CommaPos]] - 1)</f>
        <v>Master.</v>
      </c>
      <c r="R1099" t="str">
        <f>LEFT(tblPassengerNames[[#This Row],[Name]], tblPassengerNames[[#This Row],[CommaPos]] - 1)</f>
        <v>Palsson</v>
      </c>
    </row>
    <row r="1100" spans="2:18" x14ac:dyDescent="0.25">
      <c r="B1100" s="21">
        <v>1098</v>
      </c>
      <c r="C1100" s="21" t="s">
        <v>1232</v>
      </c>
      <c r="D1100" s="21" t="s">
        <v>138</v>
      </c>
      <c r="E1100">
        <f>FIND(",", tblPassengerNames[[#This Row],[Name]])</f>
        <v>8</v>
      </c>
      <c r="F1100">
        <f>FIND(".", tblPassengerNames[[#This Row],[Name]])</f>
        <v>16</v>
      </c>
      <c r="G1100" t="e">
        <f>FIND("(", tblPassengerNames[[#This Row],[Name]])</f>
        <v>#VALUE!</v>
      </c>
      <c r="H1100" t="e">
        <f>FIND(")", tblPassengerNames[[#This Row],[Name]])</f>
        <v>#VALUE!</v>
      </c>
      <c r="I1100">
        <f>IFERROR(tblPassengerNames[[#This Row],[OpenParPos]] - 2, LEN(tblPassengerNames[[#This Row],[Name]]))</f>
        <v>27</v>
      </c>
      <c r="J1100" t="str">
        <f>MID(tblPassengerNames[[#This Row],[Name]], tblPassengerNames[[#This Row],[DotPos]] + 2, tblPassengerNames[[#This Row],[EndOfConvFNPos]] - tblPassengerNames[[#This Row],[DotPos]] - 1)</f>
        <v>Paul Folke</v>
      </c>
      <c r="K1100" t="e">
        <f>MID(tblPassengerNames[[#This Row],[Name]], tblPassengerNames[[#This Row],[OpenParPos]] + 1, tblPassengerNames[[#This Row],[CloseParPos]] - tblPassengerNames[[#This Row],[OpenParPos]] - 1)</f>
        <v>#VALUE!</v>
      </c>
      <c r="L1100" t="e">
        <f>IF(AND(LEFT(tblPassengerNames[[#This Row],[InParentheses]], 1) = "'", RIGHT(tblPassengerNames[[#This Row],[InParentheses]], 1) = "'"),
    #VALUE!,
    tblPassengerNames[[#This Row],[InParentheses]]
)</f>
        <v>#VALUE!</v>
      </c>
      <c r="M1100" t="e">
        <f>LEN(tblPassengerNames[[#This Row],[InParenthesesCleaned]]) - LEN(SUBSTITUTE(tblPassengerNames[[#This Row],[InParenthesesCleaned]], " ", ""))</f>
        <v>#VALUE!</v>
      </c>
      <c r="N1100" t="e">
        <f>FIND("@", SUBSTITUTE(tblPassengerNames[[#This Row],[InParenthesesCleaned]], " ", "@", tblPassengerNames[[#This Row],[P_NSpaces]]))</f>
        <v>#VALUE!</v>
      </c>
      <c r="O1100" t="e">
        <f>IF(tblPassengerNames[[#This Row],[P_NSpaces]] = 0,
    tblPassengerNames[[#This Row],[InParenthesesCleaned]],
    LEFT(tblPassengerNames[[#This Row],[InParenthesesCleaned]], tblPassengerNames[[#This Row],[P_FinalSpacePos]] - 1)
)</f>
        <v>#VALUE!</v>
      </c>
      <c r="P1100" t="str">
        <f>IFERROR(tblPassengerNames[[#This Row],[P_Forenames]], tblPassengerNames[[#This Row],[ConvForenames]])</f>
        <v>Paul Folke</v>
      </c>
      <c r="Q1100" t="str">
        <f>MID(tblPassengerNames[[#This Row],[Name]], tblPassengerNames[[#This Row],[CommaPos]] + 2, tblPassengerNames[[#This Row],[DotPos]] - tblPassengerNames[[#This Row],[CommaPos]] - 1)</f>
        <v>Master.</v>
      </c>
      <c r="R1100" t="str">
        <f>LEFT(tblPassengerNames[[#This Row],[Name]], tblPassengerNames[[#This Row],[CommaPos]] - 1)</f>
        <v>Palsson</v>
      </c>
    </row>
    <row r="1101" spans="2:18" x14ac:dyDescent="0.25">
      <c r="B1101" s="21">
        <v>1099</v>
      </c>
      <c r="C1101" s="21" t="s">
        <v>1233</v>
      </c>
      <c r="D1101" s="21" t="s">
        <v>136</v>
      </c>
      <c r="E1101">
        <f>FIND(",", tblPassengerNames[[#This Row],[Name]])</f>
        <v>8</v>
      </c>
      <c r="F1101">
        <f>FIND(".", tblPassengerNames[[#This Row],[Name]])</f>
        <v>14</v>
      </c>
      <c r="G1101" t="e">
        <f>FIND("(", tblPassengerNames[[#This Row],[Name]])</f>
        <v>#VALUE!</v>
      </c>
      <c r="H1101" t="e">
        <f>FIND(")", tblPassengerNames[[#This Row],[Name]])</f>
        <v>#VALUE!</v>
      </c>
      <c r="I1101">
        <f>IFERROR(tblPassengerNames[[#This Row],[OpenParPos]] - 2, LEN(tblPassengerNames[[#This Row],[Name]]))</f>
        <v>26</v>
      </c>
      <c r="J1101" t="str">
        <f>MID(tblPassengerNames[[#This Row],[Name]], tblPassengerNames[[#This Row],[DotPos]] + 2, tblPassengerNames[[#This Row],[EndOfConvFNPos]] - tblPassengerNames[[#This Row],[DotPos]] - 1)</f>
        <v>Stina Viola</v>
      </c>
      <c r="K1101" t="e">
        <f>MID(tblPassengerNames[[#This Row],[Name]], tblPassengerNames[[#This Row],[OpenParPos]] + 1, tblPassengerNames[[#This Row],[CloseParPos]] - tblPassengerNames[[#This Row],[OpenParPos]] - 1)</f>
        <v>#VALUE!</v>
      </c>
      <c r="L1101" t="e">
        <f>IF(AND(LEFT(tblPassengerNames[[#This Row],[InParentheses]], 1) = "'", RIGHT(tblPassengerNames[[#This Row],[InParentheses]], 1) = "'"),
    #VALUE!,
    tblPassengerNames[[#This Row],[InParentheses]]
)</f>
        <v>#VALUE!</v>
      </c>
      <c r="M1101" t="e">
        <f>LEN(tblPassengerNames[[#This Row],[InParenthesesCleaned]]) - LEN(SUBSTITUTE(tblPassengerNames[[#This Row],[InParenthesesCleaned]], " ", ""))</f>
        <v>#VALUE!</v>
      </c>
      <c r="N1101" t="e">
        <f>FIND("@", SUBSTITUTE(tblPassengerNames[[#This Row],[InParenthesesCleaned]], " ", "@", tblPassengerNames[[#This Row],[P_NSpaces]]))</f>
        <v>#VALUE!</v>
      </c>
      <c r="O1101" t="e">
        <f>IF(tblPassengerNames[[#This Row],[P_NSpaces]] = 0,
    tblPassengerNames[[#This Row],[InParenthesesCleaned]],
    LEFT(tblPassengerNames[[#This Row],[InParenthesesCleaned]], tblPassengerNames[[#This Row],[P_FinalSpacePos]] - 1)
)</f>
        <v>#VALUE!</v>
      </c>
      <c r="P1101" t="str">
        <f>IFERROR(tblPassengerNames[[#This Row],[P_Forenames]], tblPassengerNames[[#This Row],[ConvForenames]])</f>
        <v>Stina Viola</v>
      </c>
      <c r="Q1101" t="str">
        <f>MID(tblPassengerNames[[#This Row],[Name]], tblPassengerNames[[#This Row],[CommaPos]] + 2, tblPassengerNames[[#This Row],[DotPos]] - tblPassengerNames[[#This Row],[CommaPos]] - 1)</f>
        <v>Miss.</v>
      </c>
      <c r="R1101" t="str">
        <f>LEFT(tblPassengerNames[[#This Row],[Name]], tblPassengerNames[[#This Row],[CommaPos]] - 1)</f>
        <v>Palsson</v>
      </c>
    </row>
    <row r="1102" spans="2:18" x14ac:dyDescent="0.25">
      <c r="B1102" s="21">
        <v>1100</v>
      </c>
      <c r="C1102" s="21" t="s">
        <v>1234</v>
      </c>
      <c r="D1102" s="21" t="s">
        <v>136</v>
      </c>
      <c r="E1102">
        <f>FIND(",", tblPassengerNames[[#This Row],[Name]])</f>
        <v>8</v>
      </c>
      <c r="F1102">
        <f>FIND(".", tblPassengerNames[[#This Row],[Name]])</f>
        <v>14</v>
      </c>
      <c r="G1102" t="e">
        <f>FIND("(", tblPassengerNames[[#This Row],[Name]])</f>
        <v>#VALUE!</v>
      </c>
      <c r="H1102" t="e">
        <f>FIND(")", tblPassengerNames[[#This Row],[Name]])</f>
        <v>#VALUE!</v>
      </c>
      <c r="I1102">
        <f>IFERROR(tblPassengerNames[[#This Row],[OpenParPos]] - 2, LEN(tblPassengerNames[[#This Row],[Name]]))</f>
        <v>29</v>
      </c>
      <c r="J1102" t="str">
        <f>MID(tblPassengerNames[[#This Row],[Name]], tblPassengerNames[[#This Row],[DotPos]] + 2, tblPassengerNames[[#This Row],[EndOfConvFNPos]] - tblPassengerNames[[#This Row],[DotPos]] - 1)</f>
        <v>Torborg Danira</v>
      </c>
      <c r="K1102" t="e">
        <f>MID(tblPassengerNames[[#This Row],[Name]], tblPassengerNames[[#This Row],[OpenParPos]] + 1, tblPassengerNames[[#This Row],[CloseParPos]] - tblPassengerNames[[#This Row],[OpenParPos]] - 1)</f>
        <v>#VALUE!</v>
      </c>
      <c r="L1102" t="e">
        <f>IF(AND(LEFT(tblPassengerNames[[#This Row],[InParentheses]], 1) = "'", RIGHT(tblPassengerNames[[#This Row],[InParentheses]], 1) = "'"),
    #VALUE!,
    tblPassengerNames[[#This Row],[InParentheses]]
)</f>
        <v>#VALUE!</v>
      </c>
      <c r="M1102" t="e">
        <f>LEN(tblPassengerNames[[#This Row],[InParenthesesCleaned]]) - LEN(SUBSTITUTE(tblPassengerNames[[#This Row],[InParenthesesCleaned]], " ", ""))</f>
        <v>#VALUE!</v>
      </c>
      <c r="N1102" t="e">
        <f>FIND("@", SUBSTITUTE(tblPassengerNames[[#This Row],[InParenthesesCleaned]], " ", "@", tblPassengerNames[[#This Row],[P_NSpaces]]))</f>
        <v>#VALUE!</v>
      </c>
      <c r="O1102" t="e">
        <f>IF(tblPassengerNames[[#This Row],[P_NSpaces]] = 0,
    tblPassengerNames[[#This Row],[InParenthesesCleaned]],
    LEFT(tblPassengerNames[[#This Row],[InParenthesesCleaned]], tblPassengerNames[[#This Row],[P_FinalSpacePos]] - 1)
)</f>
        <v>#VALUE!</v>
      </c>
      <c r="P1102" t="str">
        <f>IFERROR(tblPassengerNames[[#This Row],[P_Forenames]], tblPassengerNames[[#This Row],[ConvForenames]])</f>
        <v>Torborg Danira</v>
      </c>
      <c r="Q1102" t="str">
        <f>MID(tblPassengerNames[[#This Row],[Name]], tblPassengerNames[[#This Row],[CommaPos]] + 2, tblPassengerNames[[#This Row],[DotPos]] - tblPassengerNames[[#This Row],[CommaPos]] - 1)</f>
        <v>Miss.</v>
      </c>
      <c r="R1102" t="str">
        <f>LEFT(tblPassengerNames[[#This Row],[Name]], tblPassengerNames[[#This Row],[CommaPos]] - 1)</f>
        <v>Palsson</v>
      </c>
    </row>
    <row r="1103" spans="2:18" x14ac:dyDescent="0.25">
      <c r="B1103" s="21">
        <v>1101</v>
      </c>
      <c r="C1103" s="21" t="s">
        <v>1235</v>
      </c>
      <c r="D1103" s="21" t="s">
        <v>136</v>
      </c>
      <c r="E1103">
        <f>FIND(",", tblPassengerNames[[#This Row],[Name]])</f>
        <v>8</v>
      </c>
      <c r="F1103">
        <f>FIND(".", tblPassengerNames[[#This Row],[Name]])</f>
        <v>13</v>
      </c>
      <c r="G1103">
        <f>FIND("(", tblPassengerNames[[#This Row],[Name]])</f>
        <v>20</v>
      </c>
      <c r="H1103">
        <f>FIND(")", tblPassengerNames[[#This Row],[Name]])</f>
        <v>43</v>
      </c>
      <c r="I1103">
        <f>IFERROR(tblPassengerNames[[#This Row],[OpenParPos]] - 2, LEN(tblPassengerNames[[#This Row],[Name]]))</f>
        <v>18</v>
      </c>
      <c r="J1103" t="str">
        <f>MID(tblPassengerNames[[#This Row],[Name]], tblPassengerNames[[#This Row],[DotPos]] + 2, tblPassengerNames[[#This Row],[EndOfConvFNPos]] - tblPassengerNames[[#This Row],[DotPos]] - 1)</f>
        <v>Nils</v>
      </c>
      <c r="K1103" t="str">
        <f>MID(tblPassengerNames[[#This Row],[Name]], tblPassengerNames[[#This Row],[OpenParPos]] + 1, tblPassengerNames[[#This Row],[CloseParPos]] - tblPassengerNames[[#This Row],[OpenParPos]] - 1)</f>
        <v>Alma Cornelia Berglund</v>
      </c>
      <c r="L1103" t="str">
        <f>IF(AND(LEFT(tblPassengerNames[[#This Row],[InParentheses]], 1) = "'", RIGHT(tblPassengerNames[[#This Row],[InParentheses]], 1) = "'"),
    #VALUE!,
    tblPassengerNames[[#This Row],[InParentheses]]
)</f>
        <v>Alma Cornelia Berglund</v>
      </c>
      <c r="M1103">
        <f>LEN(tblPassengerNames[[#This Row],[InParenthesesCleaned]]) - LEN(SUBSTITUTE(tblPassengerNames[[#This Row],[InParenthesesCleaned]], " ", ""))</f>
        <v>2</v>
      </c>
      <c r="N1103">
        <f>FIND("@", SUBSTITUTE(tblPassengerNames[[#This Row],[InParenthesesCleaned]], " ", "@", tblPassengerNames[[#This Row],[P_NSpaces]]))</f>
        <v>14</v>
      </c>
      <c r="O1103" t="str">
        <f>IF(tblPassengerNames[[#This Row],[P_NSpaces]] = 0,
    tblPassengerNames[[#This Row],[InParenthesesCleaned]],
    LEFT(tblPassengerNames[[#This Row],[InParenthesesCleaned]], tblPassengerNames[[#This Row],[P_FinalSpacePos]] - 1)
)</f>
        <v>Alma Cornelia</v>
      </c>
      <c r="P1103" t="str">
        <f>IFERROR(tblPassengerNames[[#This Row],[P_Forenames]], tblPassengerNames[[#This Row],[ConvForenames]])</f>
        <v>Alma Cornelia</v>
      </c>
      <c r="Q1103" t="str">
        <f>MID(tblPassengerNames[[#This Row],[Name]], tblPassengerNames[[#This Row],[CommaPos]] + 2, tblPassengerNames[[#This Row],[DotPos]] - tblPassengerNames[[#This Row],[CommaPos]] - 1)</f>
        <v>Mrs.</v>
      </c>
      <c r="R1103" t="str">
        <f>LEFT(tblPassengerNames[[#This Row],[Name]], tblPassengerNames[[#This Row],[CommaPos]] - 1)</f>
        <v>Palsson</v>
      </c>
    </row>
    <row r="1104" spans="2:18" x14ac:dyDescent="0.25">
      <c r="B1104" s="21">
        <v>1102</v>
      </c>
      <c r="C1104" s="21" t="s">
        <v>1236</v>
      </c>
      <c r="D1104" s="21" t="s">
        <v>138</v>
      </c>
      <c r="E1104">
        <f>FIND(",", tblPassengerNames[[#This Row],[Name]])</f>
        <v>7</v>
      </c>
      <c r="F1104">
        <f>FIND(".", tblPassengerNames[[#This Row],[Name]])</f>
        <v>15</v>
      </c>
      <c r="G1104" t="e">
        <f>FIND("(", tblPassengerNames[[#This Row],[Name]])</f>
        <v>#VALUE!</v>
      </c>
      <c r="H1104" t="e">
        <f>FIND(")", tblPassengerNames[[#This Row],[Name]])</f>
        <v>#VALUE!</v>
      </c>
      <c r="I1104">
        <f>IFERROR(tblPassengerNames[[#This Row],[OpenParPos]] - 2, LEN(tblPassengerNames[[#This Row],[Name]]))</f>
        <v>28</v>
      </c>
      <c r="J1104" t="str">
        <f>MID(tblPassengerNames[[#This Row],[Name]], tblPassengerNames[[#This Row],[DotPos]] + 2, tblPassengerNames[[#This Row],[EndOfConvFNPos]] - tblPassengerNames[[#This Row],[DotPos]] - 1)</f>
        <v>Eino Viljami</v>
      </c>
      <c r="K1104" t="e">
        <f>MID(tblPassengerNames[[#This Row],[Name]], tblPassengerNames[[#This Row],[OpenParPos]] + 1, tblPassengerNames[[#This Row],[CloseParPos]] - tblPassengerNames[[#This Row],[OpenParPos]] - 1)</f>
        <v>#VALUE!</v>
      </c>
      <c r="L1104" t="e">
        <f>IF(AND(LEFT(tblPassengerNames[[#This Row],[InParentheses]], 1) = "'", RIGHT(tblPassengerNames[[#This Row],[InParentheses]], 1) = "'"),
    #VALUE!,
    tblPassengerNames[[#This Row],[InParentheses]]
)</f>
        <v>#VALUE!</v>
      </c>
      <c r="M1104" t="e">
        <f>LEN(tblPassengerNames[[#This Row],[InParenthesesCleaned]]) - LEN(SUBSTITUTE(tblPassengerNames[[#This Row],[InParenthesesCleaned]], " ", ""))</f>
        <v>#VALUE!</v>
      </c>
      <c r="N1104" t="e">
        <f>FIND("@", SUBSTITUTE(tblPassengerNames[[#This Row],[InParenthesesCleaned]], " ", "@", tblPassengerNames[[#This Row],[P_NSpaces]]))</f>
        <v>#VALUE!</v>
      </c>
      <c r="O1104" t="e">
        <f>IF(tblPassengerNames[[#This Row],[P_NSpaces]] = 0,
    tblPassengerNames[[#This Row],[InParenthesesCleaned]],
    LEFT(tblPassengerNames[[#This Row],[InParenthesesCleaned]], tblPassengerNames[[#This Row],[P_FinalSpacePos]] - 1)
)</f>
        <v>#VALUE!</v>
      </c>
      <c r="P1104" t="str">
        <f>IFERROR(tblPassengerNames[[#This Row],[P_Forenames]], tblPassengerNames[[#This Row],[ConvForenames]])</f>
        <v>Eino Viljami</v>
      </c>
      <c r="Q1104" t="str">
        <f>MID(tblPassengerNames[[#This Row],[Name]], tblPassengerNames[[#This Row],[CommaPos]] + 2, tblPassengerNames[[#This Row],[DotPos]] - tblPassengerNames[[#This Row],[CommaPos]] - 1)</f>
        <v>Master.</v>
      </c>
      <c r="R1104" t="str">
        <f>LEFT(tblPassengerNames[[#This Row],[Name]], tblPassengerNames[[#This Row],[CommaPos]] - 1)</f>
        <v>Panula</v>
      </c>
    </row>
    <row r="1105" spans="2:18" x14ac:dyDescent="0.25">
      <c r="B1105" s="21">
        <v>1103</v>
      </c>
      <c r="C1105" s="21" t="s">
        <v>1237</v>
      </c>
      <c r="D1105" s="21" t="s">
        <v>138</v>
      </c>
      <c r="E1105">
        <f>FIND(",", tblPassengerNames[[#This Row],[Name]])</f>
        <v>7</v>
      </c>
      <c r="F1105">
        <f>FIND(".", tblPassengerNames[[#This Row],[Name]])</f>
        <v>15</v>
      </c>
      <c r="G1105" t="e">
        <f>FIND("(", tblPassengerNames[[#This Row],[Name]])</f>
        <v>#VALUE!</v>
      </c>
      <c r="H1105" t="e">
        <f>FIND(")", tblPassengerNames[[#This Row],[Name]])</f>
        <v>#VALUE!</v>
      </c>
      <c r="I1105">
        <f>IFERROR(tblPassengerNames[[#This Row],[OpenParPos]] - 2, LEN(tblPassengerNames[[#This Row],[Name]]))</f>
        <v>26</v>
      </c>
      <c r="J1105" t="str">
        <f>MID(tblPassengerNames[[#This Row],[Name]], tblPassengerNames[[#This Row],[DotPos]] + 2, tblPassengerNames[[#This Row],[EndOfConvFNPos]] - tblPassengerNames[[#This Row],[DotPos]] - 1)</f>
        <v>Juha Niilo</v>
      </c>
      <c r="K1105" t="e">
        <f>MID(tblPassengerNames[[#This Row],[Name]], tblPassengerNames[[#This Row],[OpenParPos]] + 1, tblPassengerNames[[#This Row],[CloseParPos]] - tblPassengerNames[[#This Row],[OpenParPos]] - 1)</f>
        <v>#VALUE!</v>
      </c>
      <c r="L1105" t="e">
        <f>IF(AND(LEFT(tblPassengerNames[[#This Row],[InParentheses]], 1) = "'", RIGHT(tblPassengerNames[[#This Row],[InParentheses]], 1) = "'"),
    #VALUE!,
    tblPassengerNames[[#This Row],[InParentheses]]
)</f>
        <v>#VALUE!</v>
      </c>
      <c r="M1105" t="e">
        <f>LEN(tblPassengerNames[[#This Row],[InParenthesesCleaned]]) - LEN(SUBSTITUTE(tblPassengerNames[[#This Row],[InParenthesesCleaned]], " ", ""))</f>
        <v>#VALUE!</v>
      </c>
      <c r="N1105" t="e">
        <f>FIND("@", SUBSTITUTE(tblPassengerNames[[#This Row],[InParenthesesCleaned]], " ", "@", tblPassengerNames[[#This Row],[P_NSpaces]]))</f>
        <v>#VALUE!</v>
      </c>
      <c r="O1105" t="e">
        <f>IF(tblPassengerNames[[#This Row],[P_NSpaces]] = 0,
    tblPassengerNames[[#This Row],[InParenthesesCleaned]],
    LEFT(tblPassengerNames[[#This Row],[InParenthesesCleaned]], tblPassengerNames[[#This Row],[P_FinalSpacePos]] - 1)
)</f>
        <v>#VALUE!</v>
      </c>
      <c r="P1105" t="str">
        <f>IFERROR(tblPassengerNames[[#This Row],[P_Forenames]], tblPassengerNames[[#This Row],[ConvForenames]])</f>
        <v>Juha Niilo</v>
      </c>
      <c r="Q1105" t="str">
        <f>MID(tblPassengerNames[[#This Row],[Name]], tblPassengerNames[[#This Row],[CommaPos]] + 2, tblPassengerNames[[#This Row],[DotPos]] - tblPassengerNames[[#This Row],[CommaPos]] - 1)</f>
        <v>Master.</v>
      </c>
      <c r="R1105" t="str">
        <f>LEFT(tblPassengerNames[[#This Row],[Name]], tblPassengerNames[[#This Row],[CommaPos]] - 1)</f>
        <v>Panula</v>
      </c>
    </row>
    <row r="1106" spans="2:18" x14ac:dyDescent="0.25">
      <c r="B1106" s="21">
        <v>1104</v>
      </c>
      <c r="C1106" s="21" t="s">
        <v>1238</v>
      </c>
      <c r="D1106" s="21" t="s">
        <v>138</v>
      </c>
      <c r="E1106">
        <f>FIND(",", tblPassengerNames[[#This Row],[Name]])</f>
        <v>7</v>
      </c>
      <c r="F1106">
        <f>FIND(".", tblPassengerNames[[#This Row],[Name]])</f>
        <v>15</v>
      </c>
      <c r="G1106" t="e">
        <f>FIND("(", tblPassengerNames[[#This Row],[Name]])</f>
        <v>#VALUE!</v>
      </c>
      <c r="H1106" t="e">
        <f>FIND(")", tblPassengerNames[[#This Row],[Name]])</f>
        <v>#VALUE!</v>
      </c>
      <c r="I1106">
        <f>IFERROR(tblPassengerNames[[#This Row],[OpenParPos]] - 2, LEN(tblPassengerNames[[#This Row],[Name]]))</f>
        <v>28</v>
      </c>
      <c r="J1106" t="str">
        <f>MID(tblPassengerNames[[#This Row],[Name]], tblPassengerNames[[#This Row],[DotPos]] + 2, tblPassengerNames[[#This Row],[EndOfConvFNPos]] - tblPassengerNames[[#This Row],[DotPos]] - 1)</f>
        <v>Urho Abraham</v>
      </c>
      <c r="K1106" t="e">
        <f>MID(tblPassengerNames[[#This Row],[Name]], tblPassengerNames[[#This Row],[OpenParPos]] + 1, tblPassengerNames[[#This Row],[CloseParPos]] - tblPassengerNames[[#This Row],[OpenParPos]] - 1)</f>
        <v>#VALUE!</v>
      </c>
      <c r="L1106" t="e">
        <f>IF(AND(LEFT(tblPassengerNames[[#This Row],[InParentheses]], 1) = "'", RIGHT(tblPassengerNames[[#This Row],[InParentheses]], 1) = "'"),
    #VALUE!,
    tblPassengerNames[[#This Row],[InParentheses]]
)</f>
        <v>#VALUE!</v>
      </c>
      <c r="M1106" t="e">
        <f>LEN(tblPassengerNames[[#This Row],[InParenthesesCleaned]]) - LEN(SUBSTITUTE(tblPassengerNames[[#This Row],[InParenthesesCleaned]], " ", ""))</f>
        <v>#VALUE!</v>
      </c>
      <c r="N1106" t="e">
        <f>FIND("@", SUBSTITUTE(tblPassengerNames[[#This Row],[InParenthesesCleaned]], " ", "@", tblPassengerNames[[#This Row],[P_NSpaces]]))</f>
        <v>#VALUE!</v>
      </c>
      <c r="O1106" t="e">
        <f>IF(tblPassengerNames[[#This Row],[P_NSpaces]] = 0,
    tblPassengerNames[[#This Row],[InParenthesesCleaned]],
    LEFT(tblPassengerNames[[#This Row],[InParenthesesCleaned]], tblPassengerNames[[#This Row],[P_FinalSpacePos]] - 1)
)</f>
        <v>#VALUE!</v>
      </c>
      <c r="P1106" t="str">
        <f>IFERROR(tblPassengerNames[[#This Row],[P_Forenames]], tblPassengerNames[[#This Row],[ConvForenames]])</f>
        <v>Urho Abraham</v>
      </c>
      <c r="Q1106" t="str">
        <f>MID(tblPassengerNames[[#This Row],[Name]], tblPassengerNames[[#This Row],[CommaPos]] + 2, tblPassengerNames[[#This Row],[DotPos]] - tblPassengerNames[[#This Row],[CommaPos]] - 1)</f>
        <v>Master.</v>
      </c>
      <c r="R1106" t="str">
        <f>LEFT(tblPassengerNames[[#This Row],[Name]], tblPassengerNames[[#This Row],[CommaPos]] - 1)</f>
        <v>Panula</v>
      </c>
    </row>
    <row r="1107" spans="2:18" x14ac:dyDescent="0.25">
      <c r="B1107" s="21">
        <v>1105</v>
      </c>
      <c r="C1107" s="21" t="s">
        <v>1239</v>
      </c>
      <c r="D1107" s="21" t="s">
        <v>138</v>
      </c>
      <c r="E1107">
        <f>FIND(",", tblPassengerNames[[#This Row],[Name]])</f>
        <v>7</v>
      </c>
      <c r="F1107">
        <f>FIND(".", tblPassengerNames[[#This Row],[Name]])</f>
        <v>11</v>
      </c>
      <c r="G1107" t="e">
        <f>FIND("(", tblPassengerNames[[#This Row],[Name]])</f>
        <v>#VALUE!</v>
      </c>
      <c r="H1107" t="e">
        <f>FIND(")", tblPassengerNames[[#This Row],[Name]])</f>
        <v>#VALUE!</v>
      </c>
      <c r="I1107">
        <f>IFERROR(tblPassengerNames[[#This Row],[OpenParPos]] - 2, LEN(tblPassengerNames[[#This Row],[Name]]))</f>
        <v>25</v>
      </c>
      <c r="J1107" t="str">
        <f>MID(tblPassengerNames[[#This Row],[Name]], tblPassengerNames[[#This Row],[DotPos]] + 2, tblPassengerNames[[#This Row],[EndOfConvFNPos]] - tblPassengerNames[[#This Row],[DotPos]] - 1)</f>
        <v>Ernesti Arvid</v>
      </c>
      <c r="K1107" t="e">
        <f>MID(tblPassengerNames[[#This Row],[Name]], tblPassengerNames[[#This Row],[OpenParPos]] + 1, tblPassengerNames[[#This Row],[CloseParPos]] - tblPassengerNames[[#This Row],[OpenParPos]] - 1)</f>
        <v>#VALUE!</v>
      </c>
      <c r="L1107" t="e">
        <f>IF(AND(LEFT(tblPassengerNames[[#This Row],[InParentheses]], 1) = "'", RIGHT(tblPassengerNames[[#This Row],[InParentheses]], 1) = "'"),
    #VALUE!,
    tblPassengerNames[[#This Row],[InParentheses]]
)</f>
        <v>#VALUE!</v>
      </c>
      <c r="M1107" t="e">
        <f>LEN(tblPassengerNames[[#This Row],[InParenthesesCleaned]]) - LEN(SUBSTITUTE(tblPassengerNames[[#This Row],[InParenthesesCleaned]], " ", ""))</f>
        <v>#VALUE!</v>
      </c>
      <c r="N1107" t="e">
        <f>FIND("@", SUBSTITUTE(tblPassengerNames[[#This Row],[InParenthesesCleaned]], " ", "@", tblPassengerNames[[#This Row],[P_NSpaces]]))</f>
        <v>#VALUE!</v>
      </c>
      <c r="O1107" t="e">
        <f>IF(tblPassengerNames[[#This Row],[P_NSpaces]] = 0,
    tblPassengerNames[[#This Row],[InParenthesesCleaned]],
    LEFT(tblPassengerNames[[#This Row],[InParenthesesCleaned]], tblPassengerNames[[#This Row],[P_FinalSpacePos]] - 1)
)</f>
        <v>#VALUE!</v>
      </c>
      <c r="P1107" t="str">
        <f>IFERROR(tblPassengerNames[[#This Row],[P_Forenames]], tblPassengerNames[[#This Row],[ConvForenames]])</f>
        <v>Ernesti Arvid</v>
      </c>
      <c r="Q1107" t="str">
        <f>MID(tblPassengerNames[[#This Row],[Name]], tblPassengerNames[[#This Row],[CommaPos]] + 2, tblPassengerNames[[#This Row],[DotPos]] - tblPassengerNames[[#This Row],[CommaPos]] - 1)</f>
        <v>Mr.</v>
      </c>
      <c r="R1107" t="str">
        <f>LEFT(tblPassengerNames[[#This Row],[Name]], tblPassengerNames[[#This Row],[CommaPos]] - 1)</f>
        <v>Panula</v>
      </c>
    </row>
    <row r="1108" spans="2:18" x14ac:dyDescent="0.25">
      <c r="B1108" s="21">
        <v>1106</v>
      </c>
      <c r="C1108" s="21" t="s">
        <v>1240</v>
      </c>
      <c r="D1108" s="21" t="s">
        <v>138</v>
      </c>
      <c r="E1108">
        <f>FIND(",", tblPassengerNames[[#This Row],[Name]])</f>
        <v>7</v>
      </c>
      <c r="F1108">
        <f>FIND(".", tblPassengerNames[[#This Row],[Name]])</f>
        <v>11</v>
      </c>
      <c r="G1108" t="e">
        <f>FIND("(", tblPassengerNames[[#This Row],[Name]])</f>
        <v>#VALUE!</v>
      </c>
      <c r="H1108" t="e">
        <f>FIND(")", tblPassengerNames[[#This Row],[Name]])</f>
        <v>#VALUE!</v>
      </c>
      <c r="I1108">
        <f>IFERROR(tblPassengerNames[[#This Row],[OpenParPos]] - 2, LEN(tblPassengerNames[[#This Row],[Name]]))</f>
        <v>24</v>
      </c>
      <c r="J1108" t="str">
        <f>MID(tblPassengerNames[[#This Row],[Name]], tblPassengerNames[[#This Row],[DotPos]] + 2, tblPassengerNames[[#This Row],[EndOfConvFNPos]] - tblPassengerNames[[#This Row],[DotPos]] - 1)</f>
        <v>Jaako Arnold</v>
      </c>
      <c r="K1108" t="e">
        <f>MID(tblPassengerNames[[#This Row],[Name]], tblPassengerNames[[#This Row],[OpenParPos]] + 1, tblPassengerNames[[#This Row],[CloseParPos]] - tblPassengerNames[[#This Row],[OpenParPos]] - 1)</f>
        <v>#VALUE!</v>
      </c>
      <c r="L1108" t="e">
        <f>IF(AND(LEFT(tblPassengerNames[[#This Row],[InParentheses]], 1) = "'", RIGHT(tblPassengerNames[[#This Row],[InParentheses]], 1) = "'"),
    #VALUE!,
    tblPassengerNames[[#This Row],[InParentheses]]
)</f>
        <v>#VALUE!</v>
      </c>
      <c r="M1108" t="e">
        <f>LEN(tblPassengerNames[[#This Row],[InParenthesesCleaned]]) - LEN(SUBSTITUTE(tblPassengerNames[[#This Row],[InParenthesesCleaned]], " ", ""))</f>
        <v>#VALUE!</v>
      </c>
      <c r="N1108" t="e">
        <f>FIND("@", SUBSTITUTE(tblPassengerNames[[#This Row],[InParenthesesCleaned]], " ", "@", tblPassengerNames[[#This Row],[P_NSpaces]]))</f>
        <v>#VALUE!</v>
      </c>
      <c r="O1108" t="e">
        <f>IF(tblPassengerNames[[#This Row],[P_NSpaces]] = 0,
    tblPassengerNames[[#This Row],[InParenthesesCleaned]],
    LEFT(tblPassengerNames[[#This Row],[InParenthesesCleaned]], tblPassengerNames[[#This Row],[P_FinalSpacePos]] - 1)
)</f>
        <v>#VALUE!</v>
      </c>
      <c r="P1108" t="str">
        <f>IFERROR(tblPassengerNames[[#This Row],[P_Forenames]], tblPassengerNames[[#This Row],[ConvForenames]])</f>
        <v>Jaako Arnold</v>
      </c>
      <c r="Q1108" t="str">
        <f>MID(tblPassengerNames[[#This Row],[Name]], tblPassengerNames[[#This Row],[CommaPos]] + 2, tblPassengerNames[[#This Row],[DotPos]] - tblPassengerNames[[#This Row],[CommaPos]] - 1)</f>
        <v>Mr.</v>
      </c>
      <c r="R1108" t="str">
        <f>LEFT(tblPassengerNames[[#This Row],[Name]], tblPassengerNames[[#This Row],[CommaPos]] - 1)</f>
        <v>Panula</v>
      </c>
    </row>
    <row r="1109" spans="2:18" x14ac:dyDescent="0.25">
      <c r="B1109" s="21">
        <v>1107</v>
      </c>
      <c r="C1109" s="21" t="s">
        <v>1241</v>
      </c>
      <c r="D1109" s="21" t="s">
        <v>136</v>
      </c>
      <c r="E1109">
        <f>FIND(",", tblPassengerNames[[#This Row],[Name]])</f>
        <v>7</v>
      </c>
      <c r="F1109">
        <f>FIND(".", tblPassengerNames[[#This Row],[Name]])</f>
        <v>12</v>
      </c>
      <c r="G1109">
        <f>FIND("(", tblPassengerNames[[#This Row],[Name]])</f>
        <v>19</v>
      </c>
      <c r="H1109">
        <f>FIND(")", tblPassengerNames[[#This Row],[Name]])</f>
        <v>38</v>
      </c>
      <c r="I1109">
        <f>IFERROR(tblPassengerNames[[#This Row],[OpenParPos]] - 2, LEN(tblPassengerNames[[#This Row],[Name]]))</f>
        <v>17</v>
      </c>
      <c r="J1109" t="str">
        <f>MID(tblPassengerNames[[#This Row],[Name]], tblPassengerNames[[#This Row],[DotPos]] + 2, tblPassengerNames[[#This Row],[EndOfConvFNPos]] - tblPassengerNames[[#This Row],[DotPos]] - 1)</f>
        <v>Juha</v>
      </c>
      <c r="K1109" t="str">
        <f>MID(tblPassengerNames[[#This Row],[Name]], tblPassengerNames[[#This Row],[OpenParPos]] + 1, tblPassengerNames[[#This Row],[CloseParPos]] - tblPassengerNames[[#This Row],[OpenParPos]] - 1)</f>
        <v>Maria Emilia Ojala</v>
      </c>
      <c r="L1109" t="str">
        <f>IF(AND(LEFT(tblPassengerNames[[#This Row],[InParentheses]], 1) = "'", RIGHT(tblPassengerNames[[#This Row],[InParentheses]], 1) = "'"),
    #VALUE!,
    tblPassengerNames[[#This Row],[InParentheses]]
)</f>
        <v>Maria Emilia Ojala</v>
      </c>
      <c r="M1109">
        <f>LEN(tblPassengerNames[[#This Row],[InParenthesesCleaned]]) - LEN(SUBSTITUTE(tblPassengerNames[[#This Row],[InParenthesesCleaned]], " ", ""))</f>
        <v>2</v>
      </c>
      <c r="N1109">
        <f>FIND("@", SUBSTITUTE(tblPassengerNames[[#This Row],[InParenthesesCleaned]], " ", "@", tblPassengerNames[[#This Row],[P_NSpaces]]))</f>
        <v>13</v>
      </c>
      <c r="O1109" t="str">
        <f>IF(tblPassengerNames[[#This Row],[P_NSpaces]] = 0,
    tblPassengerNames[[#This Row],[InParenthesesCleaned]],
    LEFT(tblPassengerNames[[#This Row],[InParenthesesCleaned]], tblPassengerNames[[#This Row],[P_FinalSpacePos]] - 1)
)</f>
        <v>Maria Emilia</v>
      </c>
      <c r="P1109" t="str">
        <f>IFERROR(tblPassengerNames[[#This Row],[P_Forenames]], tblPassengerNames[[#This Row],[ConvForenames]])</f>
        <v>Maria Emilia</v>
      </c>
      <c r="Q1109" t="str">
        <f>MID(tblPassengerNames[[#This Row],[Name]], tblPassengerNames[[#This Row],[CommaPos]] + 2, tblPassengerNames[[#This Row],[DotPos]] - tblPassengerNames[[#This Row],[CommaPos]] - 1)</f>
        <v>Mrs.</v>
      </c>
      <c r="R1109" t="str">
        <f>LEFT(tblPassengerNames[[#This Row],[Name]], tblPassengerNames[[#This Row],[CommaPos]] - 1)</f>
        <v>Panula</v>
      </c>
    </row>
    <row r="1110" spans="2:18" x14ac:dyDescent="0.25">
      <c r="B1110" s="21">
        <v>1108</v>
      </c>
      <c r="C1110" s="21" t="s">
        <v>1242</v>
      </c>
      <c r="D1110" s="21" t="s">
        <v>138</v>
      </c>
      <c r="E1110">
        <f>FIND(",", tblPassengerNames[[#This Row],[Name]])</f>
        <v>6</v>
      </c>
      <c r="F1110">
        <f>FIND(".", tblPassengerNames[[#This Row],[Name]])</f>
        <v>10</v>
      </c>
      <c r="G1110" t="e">
        <f>FIND("(", tblPassengerNames[[#This Row],[Name]])</f>
        <v>#VALUE!</v>
      </c>
      <c r="H1110" t="e">
        <f>FIND(")", tblPassengerNames[[#This Row],[Name]])</f>
        <v>#VALUE!</v>
      </c>
      <c r="I1110">
        <f>IFERROR(tblPassengerNames[[#This Row],[OpenParPos]] - 2, LEN(tblPassengerNames[[#This Row],[Name]]))</f>
        <v>16</v>
      </c>
      <c r="J1110" t="str">
        <f>MID(tblPassengerNames[[#This Row],[Name]], tblPassengerNames[[#This Row],[DotPos]] + 2, tblPassengerNames[[#This Row],[EndOfConvFNPos]] - tblPassengerNames[[#This Row],[DotPos]] - 1)</f>
        <v>Jakob</v>
      </c>
      <c r="K1110" t="e">
        <f>MID(tblPassengerNames[[#This Row],[Name]], tblPassengerNames[[#This Row],[OpenParPos]] + 1, tblPassengerNames[[#This Row],[CloseParPos]] - tblPassengerNames[[#This Row],[OpenParPos]] - 1)</f>
        <v>#VALUE!</v>
      </c>
      <c r="L1110" t="e">
        <f>IF(AND(LEFT(tblPassengerNames[[#This Row],[InParentheses]], 1) = "'", RIGHT(tblPassengerNames[[#This Row],[InParentheses]], 1) = "'"),
    #VALUE!,
    tblPassengerNames[[#This Row],[InParentheses]]
)</f>
        <v>#VALUE!</v>
      </c>
      <c r="M1110" t="e">
        <f>LEN(tblPassengerNames[[#This Row],[InParenthesesCleaned]]) - LEN(SUBSTITUTE(tblPassengerNames[[#This Row],[InParenthesesCleaned]], " ", ""))</f>
        <v>#VALUE!</v>
      </c>
      <c r="N1110" t="e">
        <f>FIND("@", SUBSTITUTE(tblPassengerNames[[#This Row],[InParenthesesCleaned]], " ", "@", tblPassengerNames[[#This Row],[P_NSpaces]]))</f>
        <v>#VALUE!</v>
      </c>
      <c r="O1110" t="e">
        <f>IF(tblPassengerNames[[#This Row],[P_NSpaces]] = 0,
    tblPassengerNames[[#This Row],[InParenthesesCleaned]],
    LEFT(tblPassengerNames[[#This Row],[InParenthesesCleaned]], tblPassengerNames[[#This Row],[P_FinalSpacePos]] - 1)
)</f>
        <v>#VALUE!</v>
      </c>
      <c r="P1110" t="str">
        <f>IFERROR(tblPassengerNames[[#This Row],[P_Forenames]], tblPassengerNames[[#This Row],[ConvForenames]])</f>
        <v>Jakob</v>
      </c>
      <c r="Q1110" t="str">
        <f>MID(tblPassengerNames[[#This Row],[Name]], tblPassengerNames[[#This Row],[CommaPos]] + 2, tblPassengerNames[[#This Row],[DotPos]] - tblPassengerNames[[#This Row],[CommaPos]] - 1)</f>
        <v>Mr.</v>
      </c>
      <c r="R1110" t="str">
        <f>LEFT(tblPassengerNames[[#This Row],[Name]], tblPassengerNames[[#This Row],[CommaPos]] - 1)</f>
        <v>Pasic</v>
      </c>
    </row>
    <row r="1111" spans="2:18" x14ac:dyDescent="0.25">
      <c r="B1111" s="21">
        <v>1109</v>
      </c>
      <c r="C1111" s="21" t="s">
        <v>1243</v>
      </c>
      <c r="D1111" s="21" t="s">
        <v>138</v>
      </c>
      <c r="E1111">
        <f>FIND(",", tblPassengerNames[[#This Row],[Name]])</f>
        <v>9</v>
      </c>
      <c r="F1111">
        <f>FIND(".", tblPassengerNames[[#This Row],[Name]])</f>
        <v>13</v>
      </c>
      <c r="G1111" t="e">
        <f>FIND("(", tblPassengerNames[[#This Row],[Name]])</f>
        <v>#VALUE!</v>
      </c>
      <c r="H1111" t="e">
        <f>FIND(")", tblPassengerNames[[#This Row],[Name]])</f>
        <v>#VALUE!</v>
      </c>
      <c r="I1111">
        <f>IFERROR(tblPassengerNames[[#This Row],[OpenParPos]] - 2, LEN(tblPassengerNames[[#This Row],[Name]]))</f>
        <v>20</v>
      </c>
      <c r="J1111" t="str">
        <f>MID(tblPassengerNames[[#This Row],[Name]], tblPassengerNames[[#This Row],[DotPos]] + 2, tblPassengerNames[[#This Row],[EndOfConvFNPos]] - tblPassengerNames[[#This Row],[DotPos]] - 1)</f>
        <v>George</v>
      </c>
      <c r="K1111" t="e">
        <f>MID(tblPassengerNames[[#This Row],[Name]], tblPassengerNames[[#This Row],[OpenParPos]] + 1, tblPassengerNames[[#This Row],[CloseParPos]] - tblPassengerNames[[#This Row],[OpenParPos]] - 1)</f>
        <v>#VALUE!</v>
      </c>
      <c r="L1111" t="e">
        <f>IF(AND(LEFT(tblPassengerNames[[#This Row],[InParentheses]], 1) = "'", RIGHT(tblPassengerNames[[#This Row],[InParentheses]], 1) = "'"),
    #VALUE!,
    tblPassengerNames[[#This Row],[InParentheses]]
)</f>
        <v>#VALUE!</v>
      </c>
      <c r="M1111" t="e">
        <f>LEN(tblPassengerNames[[#This Row],[InParenthesesCleaned]]) - LEN(SUBSTITUTE(tblPassengerNames[[#This Row],[InParenthesesCleaned]], " ", ""))</f>
        <v>#VALUE!</v>
      </c>
      <c r="N1111" t="e">
        <f>FIND("@", SUBSTITUTE(tblPassengerNames[[#This Row],[InParenthesesCleaned]], " ", "@", tblPassengerNames[[#This Row],[P_NSpaces]]))</f>
        <v>#VALUE!</v>
      </c>
      <c r="O1111" t="e">
        <f>IF(tblPassengerNames[[#This Row],[P_NSpaces]] = 0,
    tblPassengerNames[[#This Row],[InParenthesesCleaned]],
    LEFT(tblPassengerNames[[#This Row],[InParenthesesCleaned]], tblPassengerNames[[#This Row],[P_FinalSpacePos]] - 1)
)</f>
        <v>#VALUE!</v>
      </c>
      <c r="P1111" t="str">
        <f>IFERROR(tblPassengerNames[[#This Row],[P_Forenames]], tblPassengerNames[[#This Row],[ConvForenames]])</f>
        <v>George</v>
      </c>
      <c r="Q1111" t="str">
        <f>MID(tblPassengerNames[[#This Row],[Name]], tblPassengerNames[[#This Row],[CommaPos]] + 2, tblPassengerNames[[#This Row],[DotPos]] - tblPassengerNames[[#This Row],[CommaPos]] - 1)</f>
        <v>Mr.</v>
      </c>
      <c r="R1111" t="str">
        <f>LEFT(tblPassengerNames[[#This Row],[Name]], tblPassengerNames[[#This Row],[CommaPos]] - 1)</f>
        <v>Patchett</v>
      </c>
    </row>
    <row r="1112" spans="2:18" x14ac:dyDescent="0.25">
      <c r="B1112" s="21">
        <v>1110</v>
      </c>
      <c r="C1112" s="21" t="s">
        <v>1244</v>
      </c>
      <c r="D1112" s="21" t="s">
        <v>138</v>
      </c>
      <c r="E1112">
        <f>FIND(",", tblPassengerNames[[#This Row],[Name]])</f>
        <v>8</v>
      </c>
      <c r="F1112">
        <f>FIND(".", tblPassengerNames[[#This Row],[Name]])</f>
        <v>12</v>
      </c>
      <c r="G1112" t="e">
        <f>FIND("(", tblPassengerNames[[#This Row],[Name]])</f>
        <v>#VALUE!</v>
      </c>
      <c r="H1112" t="e">
        <f>FIND(")", tblPassengerNames[[#This Row],[Name]])</f>
        <v>#VALUE!</v>
      </c>
      <c r="I1112">
        <f>IFERROR(tblPassengerNames[[#This Row],[OpenParPos]] - 2, LEN(tblPassengerNames[[#This Row],[Name]]))</f>
        <v>19</v>
      </c>
      <c r="J1112" t="str">
        <f>MID(tblPassengerNames[[#This Row],[Name]], tblPassengerNames[[#This Row],[DotPos]] + 2, tblPassengerNames[[#This Row],[EndOfConvFNPos]] - tblPassengerNames[[#This Row],[DotPos]] - 1)</f>
        <v>Uscher</v>
      </c>
      <c r="K1112" t="e">
        <f>MID(tblPassengerNames[[#This Row],[Name]], tblPassengerNames[[#This Row],[OpenParPos]] + 1, tblPassengerNames[[#This Row],[CloseParPos]] - tblPassengerNames[[#This Row],[OpenParPos]] - 1)</f>
        <v>#VALUE!</v>
      </c>
      <c r="L1112" t="e">
        <f>IF(AND(LEFT(tblPassengerNames[[#This Row],[InParentheses]], 1) = "'", RIGHT(tblPassengerNames[[#This Row],[InParentheses]], 1) = "'"),
    #VALUE!,
    tblPassengerNames[[#This Row],[InParentheses]]
)</f>
        <v>#VALUE!</v>
      </c>
      <c r="M1112" t="e">
        <f>LEN(tblPassengerNames[[#This Row],[InParenthesesCleaned]]) - LEN(SUBSTITUTE(tblPassengerNames[[#This Row],[InParenthesesCleaned]], " ", ""))</f>
        <v>#VALUE!</v>
      </c>
      <c r="N1112" t="e">
        <f>FIND("@", SUBSTITUTE(tblPassengerNames[[#This Row],[InParenthesesCleaned]], " ", "@", tblPassengerNames[[#This Row],[P_NSpaces]]))</f>
        <v>#VALUE!</v>
      </c>
      <c r="O1112" t="e">
        <f>IF(tblPassengerNames[[#This Row],[P_NSpaces]] = 0,
    tblPassengerNames[[#This Row],[InParenthesesCleaned]],
    LEFT(tblPassengerNames[[#This Row],[InParenthesesCleaned]], tblPassengerNames[[#This Row],[P_FinalSpacePos]] - 1)
)</f>
        <v>#VALUE!</v>
      </c>
      <c r="P1112" t="str">
        <f>IFERROR(tblPassengerNames[[#This Row],[P_Forenames]], tblPassengerNames[[#This Row],[ConvForenames]])</f>
        <v>Uscher</v>
      </c>
      <c r="Q1112" t="str">
        <f>MID(tblPassengerNames[[#This Row],[Name]], tblPassengerNames[[#This Row],[CommaPos]] + 2, tblPassengerNames[[#This Row],[DotPos]] - tblPassengerNames[[#This Row],[CommaPos]] - 1)</f>
        <v>Mr.</v>
      </c>
      <c r="R1112" t="str">
        <f>LEFT(tblPassengerNames[[#This Row],[Name]], tblPassengerNames[[#This Row],[CommaPos]] - 1)</f>
        <v>Paulner</v>
      </c>
    </row>
    <row r="1113" spans="2:18" x14ac:dyDescent="0.25">
      <c r="B1113" s="21">
        <v>1111</v>
      </c>
      <c r="C1113" s="21" t="s">
        <v>1245</v>
      </c>
      <c r="D1113" s="21" t="s">
        <v>138</v>
      </c>
      <c r="E1113">
        <f>FIND(",", tblPassengerNames[[#This Row],[Name]])</f>
        <v>9</v>
      </c>
      <c r="F1113">
        <f>FIND(".", tblPassengerNames[[#This Row],[Name]])</f>
        <v>13</v>
      </c>
      <c r="G1113" t="e">
        <f>FIND("(", tblPassengerNames[[#This Row],[Name]])</f>
        <v>#VALUE!</v>
      </c>
      <c r="H1113" t="e">
        <f>FIND(")", tblPassengerNames[[#This Row],[Name]])</f>
        <v>#VALUE!</v>
      </c>
      <c r="I1113">
        <f>IFERROR(tblPassengerNames[[#This Row],[OpenParPos]] - 2, LEN(tblPassengerNames[[#This Row],[Name]]))</f>
        <v>19</v>
      </c>
      <c r="J1113" t="str">
        <f>MID(tblPassengerNames[[#This Row],[Name]], tblPassengerNames[[#This Row],[DotPos]] + 2, tblPassengerNames[[#This Row],[EndOfConvFNPos]] - tblPassengerNames[[#This Row],[DotPos]] - 1)</f>
        <v>Stefo</v>
      </c>
      <c r="K1113" t="e">
        <f>MID(tblPassengerNames[[#This Row],[Name]], tblPassengerNames[[#This Row],[OpenParPos]] + 1, tblPassengerNames[[#This Row],[CloseParPos]] - tblPassengerNames[[#This Row],[OpenParPos]] - 1)</f>
        <v>#VALUE!</v>
      </c>
      <c r="L1113" t="e">
        <f>IF(AND(LEFT(tblPassengerNames[[#This Row],[InParentheses]], 1) = "'", RIGHT(tblPassengerNames[[#This Row],[InParentheses]], 1) = "'"),
    #VALUE!,
    tblPassengerNames[[#This Row],[InParentheses]]
)</f>
        <v>#VALUE!</v>
      </c>
      <c r="M1113" t="e">
        <f>LEN(tblPassengerNames[[#This Row],[InParenthesesCleaned]]) - LEN(SUBSTITUTE(tblPassengerNames[[#This Row],[InParenthesesCleaned]], " ", ""))</f>
        <v>#VALUE!</v>
      </c>
      <c r="N1113" t="e">
        <f>FIND("@", SUBSTITUTE(tblPassengerNames[[#This Row],[InParenthesesCleaned]], " ", "@", tblPassengerNames[[#This Row],[P_NSpaces]]))</f>
        <v>#VALUE!</v>
      </c>
      <c r="O1113" t="e">
        <f>IF(tblPassengerNames[[#This Row],[P_NSpaces]] = 0,
    tblPassengerNames[[#This Row],[InParenthesesCleaned]],
    LEFT(tblPassengerNames[[#This Row],[InParenthesesCleaned]], tblPassengerNames[[#This Row],[P_FinalSpacePos]] - 1)
)</f>
        <v>#VALUE!</v>
      </c>
      <c r="P1113" t="str">
        <f>IFERROR(tblPassengerNames[[#This Row],[P_Forenames]], tblPassengerNames[[#This Row],[ConvForenames]])</f>
        <v>Stefo</v>
      </c>
      <c r="Q1113" t="str">
        <f>MID(tblPassengerNames[[#This Row],[Name]], tblPassengerNames[[#This Row],[CommaPos]] + 2, tblPassengerNames[[#This Row],[DotPos]] - tblPassengerNames[[#This Row],[CommaPos]] - 1)</f>
        <v>Mr.</v>
      </c>
      <c r="R1113" t="str">
        <f>LEFT(tblPassengerNames[[#This Row],[Name]], tblPassengerNames[[#This Row],[CommaPos]] - 1)</f>
        <v>Pavlovic</v>
      </c>
    </row>
    <row r="1114" spans="2:18" x14ac:dyDescent="0.25">
      <c r="B1114" s="21">
        <v>1112</v>
      </c>
      <c r="C1114" s="21" t="s">
        <v>1246</v>
      </c>
      <c r="D1114" s="21" t="s">
        <v>138</v>
      </c>
      <c r="E1114">
        <f>FIND(",", tblPassengerNames[[#This Row],[Name]])</f>
        <v>8</v>
      </c>
      <c r="F1114">
        <f>FIND(".", tblPassengerNames[[#This Row],[Name]])</f>
        <v>16</v>
      </c>
      <c r="G1114" t="e">
        <f>FIND("(", tblPassengerNames[[#This Row],[Name]])</f>
        <v>#VALUE!</v>
      </c>
      <c r="H1114" t="e">
        <f>FIND(")", tblPassengerNames[[#This Row],[Name]])</f>
        <v>#VALUE!</v>
      </c>
      <c r="I1114">
        <f>IFERROR(tblPassengerNames[[#This Row],[OpenParPos]] - 2, LEN(tblPassengerNames[[#This Row],[Name]]))</f>
        <v>30</v>
      </c>
      <c r="J1114" t="str">
        <f>MID(tblPassengerNames[[#This Row],[Name]], tblPassengerNames[[#This Row],[DotPos]] + 2, tblPassengerNames[[#This Row],[EndOfConvFNPos]] - tblPassengerNames[[#This Row],[DotPos]] - 1)</f>
        <v>Alfred Edward</v>
      </c>
      <c r="K1114" t="e">
        <f>MID(tblPassengerNames[[#This Row],[Name]], tblPassengerNames[[#This Row],[OpenParPos]] + 1, tblPassengerNames[[#This Row],[CloseParPos]] - tblPassengerNames[[#This Row],[OpenParPos]] - 1)</f>
        <v>#VALUE!</v>
      </c>
      <c r="L1114" t="e">
        <f>IF(AND(LEFT(tblPassengerNames[[#This Row],[InParentheses]], 1) = "'", RIGHT(tblPassengerNames[[#This Row],[InParentheses]], 1) = "'"),
    #VALUE!,
    tblPassengerNames[[#This Row],[InParentheses]]
)</f>
        <v>#VALUE!</v>
      </c>
      <c r="M1114" t="e">
        <f>LEN(tblPassengerNames[[#This Row],[InParenthesesCleaned]]) - LEN(SUBSTITUTE(tblPassengerNames[[#This Row],[InParenthesesCleaned]], " ", ""))</f>
        <v>#VALUE!</v>
      </c>
      <c r="N1114" t="e">
        <f>FIND("@", SUBSTITUTE(tblPassengerNames[[#This Row],[InParenthesesCleaned]], " ", "@", tblPassengerNames[[#This Row],[P_NSpaces]]))</f>
        <v>#VALUE!</v>
      </c>
      <c r="O1114" t="e">
        <f>IF(tblPassengerNames[[#This Row],[P_NSpaces]] = 0,
    tblPassengerNames[[#This Row],[InParenthesesCleaned]],
    LEFT(tblPassengerNames[[#This Row],[InParenthesesCleaned]], tblPassengerNames[[#This Row],[P_FinalSpacePos]] - 1)
)</f>
        <v>#VALUE!</v>
      </c>
      <c r="P1114" t="str">
        <f>IFERROR(tblPassengerNames[[#This Row],[P_Forenames]], tblPassengerNames[[#This Row],[ConvForenames]])</f>
        <v>Alfred Edward</v>
      </c>
      <c r="Q1114" t="str">
        <f>MID(tblPassengerNames[[#This Row],[Name]], tblPassengerNames[[#This Row],[CommaPos]] + 2, tblPassengerNames[[#This Row],[DotPos]] - tblPassengerNames[[#This Row],[CommaPos]] - 1)</f>
        <v>Master.</v>
      </c>
      <c r="R1114" t="str">
        <f>LEFT(tblPassengerNames[[#This Row],[Name]], tblPassengerNames[[#This Row],[CommaPos]] - 1)</f>
        <v>Peacock</v>
      </c>
    </row>
    <row r="1115" spans="2:18" x14ac:dyDescent="0.25">
      <c r="B1115" s="21">
        <v>1113</v>
      </c>
      <c r="C1115" s="21" t="s">
        <v>1247</v>
      </c>
      <c r="D1115" s="21" t="s">
        <v>136</v>
      </c>
      <c r="E1115">
        <f>FIND(",", tblPassengerNames[[#This Row],[Name]])</f>
        <v>8</v>
      </c>
      <c r="F1115">
        <f>FIND(".", tblPassengerNames[[#This Row],[Name]])</f>
        <v>14</v>
      </c>
      <c r="G1115" t="e">
        <f>FIND("(", tblPassengerNames[[#This Row],[Name]])</f>
        <v>#VALUE!</v>
      </c>
      <c r="H1115" t="e">
        <f>FIND(")", tblPassengerNames[[#This Row],[Name]])</f>
        <v>#VALUE!</v>
      </c>
      <c r="I1115">
        <f>IFERROR(tblPassengerNames[[#This Row],[OpenParPos]] - 2, LEN(tblPassengerNames[[#This Row],[Name]]))</f>
        <v>25</v>
      </c>
      <c r="J1115" t="str">
        <f>MID(tblPassengerNames[[#This Row],[Name]], tblPassengerNames[[#This Row],[DotPos]] + 2, tblPassengerNames[[#This Row],[EndOfConvFNPos]] - tblPassengerNames[[#This Row],[DotPos]] - 1)</f>
        <v>Treasteall</v>
      </c>
      <c r="K1115" t="e">
        <f>MID(tblPassengerNames[[#This Row],[Name]], tblPassengerNames[[#This Row],[OpenParPos]] + 1, tblPassengerNames[[#This Row],[CloseParPos]] - tblPassengerNames[[#This Row],[OpenParPos]] - 1)</f>
        <v>#VALUE!</v>
      </c>
      <c r="L1115" t="e">
        <f>IF(AND(LEFT(tblPassengerNames[[#This Row],[InParentheses]], 1) = "'", RIGHT(tblPassengerNames[[#This Row],[InParentheses]], 1) = "'"),
    #VALUE!,
    tblPassengerNames[[#This Row],[InParentheses]]
)</f>
        <v>#VALUE!</v>
      </c>
      <c r="M1115" t="e">
        <f>LEN(tblPassengerNames[[#This Row],[InParenthesesCleaned]]) - LEN(SUBSTITUTE(tblPassengerNames[[#This Row],[InParenthesesCleaned]], " ", ""))</f>
        <v>#VALUE!</v>
      </c>
      <c r="N1115" t="e">
        <f>FIND("@", SUBSTITUTE(tblPassengerNames[[#This Row],[InParenthesesCleaned]], " ", "@", tblPassengerNames[[#This Row],[P_NSpaces]]))</f>
        <v>#VALUE!</v>
      </c>
      <c r="O1115" t="e">
        <f>IF(tblPassengerNames[[#This Row],[P_NSpaces]] = 0,
    tblPassengerNames[[#This Row],[InParenthesesCleaned]],
    LEFT(tblPassengerNames[[#This Row],[InParenthesesCleaned]], tblPassengerNames[[#This Row],[P_FinalSpacePos]] - 1)
)</f>
        <v>#VALUE!</v>
      </c>
      <c r="P1115" t="str">
        <f>IFERROR(tblPassengerNames[[#This Row],[P_Forenames]], tblPassengerNames[[#This Row],[ConvForenames]])</f>
        <v>Treasteall</v>
      </c>
      <c r="Q1115" t="str">
        <f>MID(tblPassengerNames[[#This Row],[Name]], tblPassengerNames[[#This Row],[CommaPos]] + 2, tblPassengerNames[[#This Row],[DotPos]] - tblPassengerNames[[#This Row],[CommaPos]] - 1)</f>
        <v>Miss.</v>
      </c>
      <c r="R1115" t="str">
        <f>LEFT(tblPassengerNames[[#This Row],[Name]], tblPassengerNames[[#This Row],[CommaPos]] - 1)</f>
        <v>Peacock</v>
      </c>
    </row>
    <row r="1116" spans="2:18" x14ac:dyDescent="0.25">
      <c r="B1116" s="21">
        <v>1114</v>
      </c>
      <c r="C1116" s="21" t="s">
        <v>1248</v>
      </c>
      <c r="D1116" s="21" t="s">
        <v>136</v>
      </c>
      <c r="E1116">
        <f>FIND(",", tblPassengerNames[[#This Row],[Name]])</f>
        <v>8</v>
      </c>
      <c r="F1116">
        <f>FIND(".", tblPassengerNames[[#This Row],[Name]])</f>
        <v>13</v>
      </c>
      <c r="G1116">
        <f>FIND("(", tblPassengerNames[[#This Row],[Name]])</f>
        <v>24</v>
      </c>
      <c r="H1116">
        <f>FIND(")", tblPassengerNames[[#This Row],[Name]])</f>
        <v>35</v>
      </c>
      <c r="I1116">
        <f>IFERROR(tblPassengerNames[[#This Row],[OpenParPos]] - 2, LEN(tblPassengerNames[[#This Row],[Name]]))</f>
        <v>22</v>
      </c>
      <c r="J1116" t="str">
        <f>MID(tblPassengerNames[[#This Row],[Name]], tblPassengerNames[[#This Row],[DotPos]] + 2, tblPassengerNames[[#This Row],[EndOfConvFNPos]] - tblPassengerNames[[#This Row],[DotPos]] - 1)</f>
        <v>Benjamin</v>
      </c>
      <c r="K1116" t="str">
        <f>MID(tblPassengerNames[[#This Row],[Name]], tblPassengerNames[[#This Row],[OpenParPos]] + 1, tblPassengerNames[[#This Row],[CloseParPos]] - tblPassengerNames[[#This Row],[OpenParPos]] - 1)</f>
        <v>Edith Nile</v>
      </c>
      <c r="L1116" t="str">
        <f>IF(AND(LEFT(tblPassengerNames[[#This Row],[InParentheses]], 1) = "'", RIGHT(tblPassengerNames[[#This Row],[InParentheses]], 1) = "'"),
    #VALUE!,
    tblPassengerNames[[#This Row],[InParentheses]]
)</f>
        <v>Edith Nile</v>
      </c>
      <c r="M1116">
        <f>LEN(tblPassengerNames[[#This Row],[InParenthesesCleaned]]) - LEN(SUBSTITUTE(tblPassengerNames[[#This Row],[InParenthesesCleaned]], " ", ""))</f>
        <v>1</v>
      </c>
      <c r="N1116">
        <f>FIND("@", SUBSTITUTE(tblPassengerNames[[#This Row],[InParenthesesCleaned]], " ", "@", tblPassengerNames[[#This Row],[P_NSpaces]]))</f>
        <v>6</v>
      </c>
      <c r="O1116" t="str">
        <f>IF(tblPassengerNames[[#This Row],[P_NSpaces]] = 0,
    tblPassengerNames[[#This Row],[InParenthesesCleaned]],
    LEFT(tblPassengerNames[[#This Row],[InParenthesesCleaned]], tblPassengerNames[[#This Row],[P_FinalSpacePos]] - 1)
)</f>
        <v>Edith</v>
      </c>
      <c r="P1116" t="str">
        <f>IFERROR(tblPassengerNames[[#This Row],[P_Forenames]], tblPassengerNames[[#This Row],[ConvForenames]])</f>
        <v>Edith</v>
      </c>
      <c r="Q1116" t="str">
        <f>MID(tblPassengerNames[[#This Row],[Name]], tblPassengerNames[[#This Row],[CommaPos]] + 2, tblPassengerNames[[#This Row],[DotPos]] - tblPassengerNames[[#This Row],[CommaPos]] - 1)</f>
        <v>Mrs.</v>
      </c>
      <c r="R1116" t="str">
        <f>LEFT(tblPassengerNames[[#This Row],[Name]], tblPassengerNames[[#This Row],[CommaPos]] - 1)</f>
        <v>Peacock</v>
      </c>
    </row>
    <row r="1117" spans="2:18" x14ac:dyDescent="0.25">
      <c r="B1117" s="21">
        <v>1115</v>
      </c>
      <c r="C1117" s="21" t="s">
        <v>1249</v>
      </c>
      <c r="D1117" s="21" t="s">
        <v>138</v>
      </c>
      <c r="E1117">
        <f>FIND(",", tblPassengerNames[[#This Row],[Name]])</f>
        <v>7</v>
      </c>
      <c r="F1117">
        <f>FIND(".", tblPassengerNames[[#This Row],[Name]])</f>
        <v>11</v>
      </c>
      <c r="G1117" t="e">
        <f>FIND("(", tblPassengerNames[[#This Row],[Name]])</f>
        <v>#VALUE!</v>
      </c>
      <c r="H1117" t="e">
        <f>FIND(")", tblPassengerNames[[#This Row],[Name]])</f>
        <v>#VALUE!</v>
      </c>
      <c r="I1117">
        <f>IFERROR(tblPassengerNames[[#This Row],[OpenParPos]] - 2, LEN(tblPassengerNames[[#This Row],[Name]]))</f>
        <v>18</v>
      </c>
      <c r="J1117" t="str">
        <f>MID(tblPassengerNames[[#This Row],[Name]], tblPassengerNames[[#This Row],[DotPos]] + 2, tblPassengerNames[[#This Row],[EndOfConvFNPos]] - tblPassengerNames[[#This Row],[DotPos]] - 1)</f>
        <v>Ernest</v>
      </c>
      <c r="K1117" t="e">
        <f>MID(tblPassengerNames[[#This Row],[Name]], tblPassengerNames[[#This Row],[OpenParPos]] + 1, tblPassengerNames[[#This Row],[CloseParPos]] - tblPassengerNames[[#This Row],[OpenParPos]] - 1)</f>
        <v>#VALUE!</v>
      </c>
      <c r="L1117" t="e">
        <f>IF(AND(LEFT(tblPassengerNames[[#This Row],[InParentheses]], 1) = "'", RIGHT(tblPassengerNames[[#This Row],[InParentheses]], 1) = "'"),
    #VALUE!,
    tblPassengerNames[[#This Row],[InParentheses]]
)</f>
        <v>#VALUE!</v>
      </c>
      <c r="M1117" t="e">
        <f>LEN(tblPassengerNames[[#This Row],[InParenthesesCleaned]]) - LEN(SUBSTITUTE(tblPassengerNames[[#This Row],[InParenthesesCleaned]], " ", ""))</f>
        <v>#VALUE!</v>
      </c>
      <c r="N1117" t="e">
        <f>FIND("@", SUBSTITUTE(tblPassengerNames[[#This Row],[InParenthesesCleaned]], " ", "@", tblPassengerNames[[#This Row],[P_NSpaces]]))</f>
        <v>#VALUE!</v>
      </c>
      <c r="O1117" t="e">
        <f>IF(tblPassengerNames[[#This Row],[P_NSpaces]] = 0,
    tblPassengerNames[[#This Row],[InParenthesesCleaned]],
    LEFT(tblPassengerNames[[#This Row],[InParenthesesCleaned]], tblPassengerNames[[#This Row],[P_FinalSpacePos]] - 1)
)</f>
        <v>#VALUE!</v>
      </c>
      <c r="P1117" t="str">
        <f>IFERROR(tblPassengerNames[[#This Row],[P_Forenames]], tblPassengerNames[[#This Row],[ConvForenames]])</f>
        <v>Ernest</v>
      </c>
      <c r="Q1117" t="str">
        <f>MID(tblPassengerNames[[#This Row],[Name]], tblPassengerNames[[#This Row],[CommaPos]] + 2, tblPassengerNames[[#This Row],[DotPos]] - tblPassengerNames[[#This Row],[CommaPos]] - 1)</f>
        <v>Mr.</v>
      </c>
      <c r="R1117" t="str">
        <f>LEFT(tblPassengerNames[[#This Row],[Name]], tblPassengerNames[[#This Row],[CommaPos]] - 1)</f>
        <v>Pearce</v>
      </c>
    </row>
    <row r="1118" spans="2:18" x14ac:dyDescent="0.25">
      <c r="B1118" s="21">
        <v>1116</v>
      </c>
      <c r="C1118" s="21" t="s">
        <v>1250</v>
      </c>
      <c r="D1118" s="21" t="s">
        <v>138</v>
      </c>
      <c r="E1118">
        <f>FIND(",", tblPassengerNames[[#This Row],[Name]])</f>
        <v>9</v>
      </c>
      <c r="F1118">
        <f>FIND(".", tblPassengerNames[[#This Row],[Name]])</f>
        <v>13</v>
      </c>
      <c r="G1118" t="e">
        <f>FIND("(", tblPassengerNames[[#This Row],[Name]])</f>
        <v>#VALUE!</v>
      </c>
      <c r="H1118" t="e">
        <f>FIND(")", tblPassengerNames[[#This Row],[Name]])</f>
        <v>#VALUE!</v>
      </c>
      <c r="I1118">
        <f>IFERROR(tblPassengerNames[[#This Row],[OpenParPos]] - 2, LEN(tblPassengerNames[[#This Row],[Name]]))</f>
        <v>18</v>
      </c>
      <c r="J1118" t="str">
        <f>MID(tblPassengerNames[[#This Row],[Name]], tblPassengerNames[[#This Row],[DotPos]] + 2, tblPassengerNames[[#This Row],[EndOfConvFNPos]] - tblPassengerNames[[#This Row],[DotPos]] - 1)</f>
        <v>Olaf</v>
      </c>
      <c r="K1118" t="e">
        <f>MID(tblPassengerNames[[#This Row],[Name]], tblPassengerNames[[#This Row],[OpenParPos]] + 1, tblPassengerNames[[#This Row],[CloseParPos]] - tblPassengerNames[[#This Row],[OpenParPos]] - 1)</f>
        <v>#VALUE!</v>
      </c>
      <c r="L1118" t="e">
        <f>IF(AND(LEFT(tblPassengerNames[[#This Row],[InParentheses]], 1) = "'", RIGHT(tblPassengerNames[[#This Row],[InParentheses]], 1) = "'"),
    #VALUE!,
    tblPassengerNames[[#This Row],[InParentheses]]
)</f>
        <v>#VALUE!</v>
      </c>
      <c r="M1118" t="e">
        <f>LEN(tblPassengerNames[[#This Row],[InParenthesesCleaned]]) - LEN(SUBSTITUTE(tblPassengerNames[[#This Row],[InParenthesesCleaned]], " ", ""))</f>
        <v>#VALUE!</v>
      </c>
      <c r="N1118" t="e">
        <f>FIND("@", SUBSTITUTE(tblPassengerNames[[#This Row],[InParenthesesCleaned]], " ", "@", tblPassengerNames[[#This Row],[P_NSpaces]]))</f>
        <v>#VALUE!</v>
      </c>
      <c r="O1118" t="e">
        <f>IF(tblPassengerNames[[#This Row],[P_NSpaces]] = 0,
    tblPassengerNames[[#This Row],[InParenthesesCleaned]],
    LEFT(tblPassengerNames[[#This Row],[InParenthesesCleaned]], tblPassengerNames[[#This Row],[P_FinalSpacePos]] - 1)
)</f>
        <v>#VALUE!</v>
      </c>
      <c r="P1118" t="str">
        <f>IFERROR(tblPassengerNames[[#This Row],[P_Forenames]], tblPassengerNames[[#This Row],[ConvForenames]])</f>
        <v>Olaf</v>
      </c>
      <c r="Q1118" t="str">
        <f>MID(tblPassengerNames[[#This Row],[Name]], tblPassengerNames[[#This Row],[CommaPos]] + 2, tblPassengerNames[[#This Row],[DotPos]] - tblPassengerNames[[#This Row],[CommaPos]] - 1)</f>
        <v>Mr.</v>
      </c>
      <c r="R1118" t="str">
        <f>LEFT(tblPassengerNames[[#This Row],[Name]], tblPassengerNames[[#This Row],[CommaPos]] - 1)</f>
        <v>Pedersen</v>
      </c>
    </row>
    <row r="1119" spans="2:18" x14ac:dyDescent="0.25">
      <c r="B1119" s="21">
        <v>1117</v>
      </c>
      <c r="C1119" s="21" t="s">
        <v>1251</v>
      </c>
      <c r="D1119" s="21" t="s">
        <v>138</v>
      </c>
      <c r="E1119">
        <f>FIND(",", tblPassengerNames[[#This Row],[Name]])</f>
        <v>8</v>
      </c>
      <c r="F1119">
        <f>FIND(".", tblPassengerNames[[#This Row],[Name]])</f>
        <v>12</v>
      </c>
      <c r="G1119" t="e">
        <f>FIND("(", tblPassengerNames[[#This Row],[Name]])</f>
        <v>#VALUE!</v>
      </c>
      <c r="H1119" t="e">
        <f>FIND(")", tblPassengerNames[[#This Row],[Name]])</f>
        <v>#VALUE!</v>
      </c>
      <c r="I1119">
        <f>IFERROR(tblPassengerNames[[#This Row],[OpenParPos]] - 2, LEN(tblPassengerNames[[#This Row],[Name]]))</f>
        <v>19</v>
      </c>
      <c r="J1119" t="str">
        <f>MID(tblPassengerNames[[#This Row],[Name]], tblPassengerNames[[#This Row],[DotPos]] + 2, tblPassengerNames[[#This Row],[EndOfConvFNPos]] - tblPassengerNames[[#This Row],[DotPos]] - 1)</f>
        <v>Joseph</v>
      </c>
      <c r="K1119" t="e">
        <f>MID(tblPassengerNames[[#This Row],[Name]], tblPassengerNames[[#This Row],[OpenParPos]] + 1, tblPassengerNames[[#This Row],[CloseParPos]] - tblPassengerNames[[#This Row],[OpenParPos]] - 1)</f>
        <v>#VALUE!</v>
      </c>
      <c r="L1119" t="e">
        <f>IF(AND(LEFT(tblPassengerNames[[#This Row],[InParentheses]], 1) = "'", RIGHT(tblPassengerNames[[#This Row],[InParentheses]], 1) = "'"),
    #VALUE!,
    tblPassengerNames[[#This Row],[InParentheses]]
)</f>
        <v>#VALUE!</v>
      </c>
      <c r="M1119" t="e">
        <f>LEN(tblPassengerNames[[#This Row],[InParenthesesCleaned]]) - LEN(SUBSTITUTE(tblPassengerNames[[#This Row],[InParenthesesCleaned]], " ", ""))</f>
        <v>#VALUE!</v>
      </c>
      <c r="N1119" t="e">
        <f>FIND("@", SUBSTITUTE(tblPassengerNames[[#This Row],[InParenthesesCleaned]], " ", "@", tblPassengerNames[[#This Row],[P_NSpaces]]))</f>
        <v>#VALUE!</v>
      </c>
      <c r="O1119" t="e">
        <f>IF(tblPassengerNames[[#This Row],[P_NSpaces]] = 0,
    tblPassengerNames[[#This Row],[InParenthesesCleaned]],
    LEFT(tblPassengerNames[[#This Row],[InParenthesesCleaned]], tblPassengerNames[[#This Row],[P_FinalSpacePos]] - 1)
)</f>
        <v>#VALUE!</v>
      </c>
      <c r="P1119" t="str">
        <f>IFERROR(tblPassengerNames[[#This Row],[P_Forenames]], tblPassengerNames[[#This Row],[ConvForenames]])</f>
        <v>Joseph</v>
      </c>
      <c r="Q1119" t="str">
        <f>MID(tblPassengerNames[[#This Row],[Name]], tblPassengerNames[[#This Row],[CommaPos]] + 2, tblPassengerNames[[#This Row],[DotPos]] - tblPassengerNames[[#This Row],[CommaPos]] - 1)</f>
        <v>Mr.</v>
      </c>
      <c r="R1119" t="str">
        <f>LEFT(tblPassengerNames[[#This Row],[Name]], tblPassengerNames[[#This Row],[CommaPos]] - 1)</f>
        <v>Peduzzi</v>
      </c>
    </row>
    <row r="1120" spans="2:18" x14ac:dyDescent="0.25">
      <c r="B1120" s="21">
        <v>1118</v>
      </c>
      <c r="C1120" s="21" t="s">
        <v>1252</v>
      </c>
      <c r="D1120" s="21" t="s">
        <v>138</v>
      </c>
      <c r="E1120">
        <f>FIND(",", tblPassengerNames[[#This Row],[Name]])</f>
        <v>10</v>
      </c>
      <c r="F1120">
        <f>FIND(".", tblPassengerNames[[#This Row],[Name]])</f>
        <v>14</v>
      </c>
      <c r="G1120" t="e">
        <f>FIND("(", tblPassengerNames[[#This Row],[Name]])</f>
        <v>#VALUE!</v>
      </c>
      <c r="H1120" t="e">
        <f>FIND(")", tblPassengerNames[[#This Row],[Name]])</f>
        <v>#VALUE!</v>
      </c>
      <c r="I1120">
        <f>IFERROR(tblPassengerNames[[#This Row],[OpenParPos]] - 2, LEN(tblPassengerNames[[#This Row],[Name]]))</f>
        <v>21</v>
      </c>
      <c r="J1120" t="str">
        <f>MID(tblPassengerNames[[#This Row],[Name]], tblPassengerNames[[#This Row],[DotPos]] + 2, tblPassengerNames[[#This Row],[EndOfConvFNPos]] - tblPassengerNames[[#This Row],[DotPos]] - 1)</f>
        <v>Edvard</v>
      </c>
      <c r="K1120" t="e">
        <f>MID(tblPassengerNames[[#This Row],[Name]], tblPassengerNames[[#This Row],[OpenParPos]] + 1, tblPassengerNames[[#This Row],[CloseParPos]] - tblPassengerNames[[#This Row],[OpenParPos]] - 1)</f>
        <v>#VALUE!</v>
      </c>
      <c r="L1120" t="e">
        <f>IF(AND(LEFT(tblPassengerNames[[#This Row],[InParentheses]], 1) = "'", RIGHT(tblPassengerNames[[#This Row],[InParentheses]], 1) = "'"),
    #VALUE!,
    tblPassengerNames[[#This Row],[InParentheses]]
)</f>
        <v>#VALUE!</v>
      </c>
      <c r="M1120" t="e">
        <f>LEN(tblPassengerNames[[#This Row],[InParenthesesCleaned]]) - LEN(SUBSTITUTE(tblPassengerNames[[#This Row],[InParenthesesCleaned]], " ", ""))</f>
        <v>#VALUE!</v>
      </c>
      <c r="N1120" t="e">
        <f>FIND("@", SUBSTITUTE(tblPassengerNames[[#This Row],[InParenthesesCleaned]], " ", "@", tblPassengerNames[[#This Row],[P_NSpaces]]))</f>
        <v>#VALUE!</v>
      </c>
      <c r="O1120" t="e">
        <f>IF(tblPassengerNames[[#This Row],[P_NSpaces]] = 0,
    tblPassengerNames[[#This Row],[InParenthesesCleaned]],
    LEFT(tblPassengerNames[[#This Row],[InParenthesesCleaned]], tblPassengerNames[[#This Row],[P_FinalSpacePos]] - 1)
)</f>
        <v>#VALUE!</v>
      </c>
      <c r="P1120" t="str">
        <f>IFERROR(tblPassengerNames[[#This Row],[P_Forenames]], tblPassengerNames[[#This Row],[ConvForenames]])</f>
        <v>Edvard</v>
      </c>
      <c r="Q1120" t="str">
        <f>MID(tblPassengerNames[[#This Row],[Name]], tblPassengerNames[[#This Row],[CommaPos]] + 2, tblPassengerNames[[#This Row],[DotPos]] - tblPassengerNames[[#This Row],[CommaPos]] - 1)</f>
        <v>Mr.</v>
      </c>
      <c r="R1120" t="str">
        <f>LEFT(tblPassengerNames[[#This Row],[Name]], tblPassengerNames[[#This Row],[CommaPos]] - 1)</f>
        <v>Pekoniemi</v>
      </c>
    </row>
    <row r="1121" spans="2:18" x14ac:dyDescent="0.25">
      <c r="B1121" s="21">
        <v>1119</v>
      </c>
      <c r="C1121" s="21" t="s">
        <v>1253</v>
      </c>
      <c r="D1121" s="21" t="s">
        <v>138</v>
      </c>
      <c r="E1121">
        <f>FIND(",", tblPassengerNames[[#This Row],[Name]])</f>
        <v>10</v>
      </c>
      <c r="F1121">
        <f>FIND(".", tblPassengerNames[[#This Row],[Name]])</f>
        <v>14</v>
      </c>
      <c r="G1121" t="e">
        <f>FIND("(", tblPassengerNames[[#This Row],[Name]])</f>
        <v>#VALUE!</v>
      </c>
      <c r="H1121" t="e">
        <f>FIND(")", tblPassengerNames[[#This Row],[Name]])</f>
        <v>#VALUE!</v>
      </c>
      <c r="I1121">
        <f>IFERROR(tblPassengerNames[[#This Row],[OpenParPos]] - 2, LEN(tblPassengerNames[[#This Row],[Name]]))</f>
        <v>31</v>
      </c>
      <c r="J1121" t="str">
        <f>MID(tblPassengerNames[[#This Row],[Name]], tblPassengerNames[[#This Row],[DotPos]] + 2, tblPassengerNames[[#This Row],[EndOfConvFNPos]] - tblPassengerNames[[#This Row],[DotPos]] - 1)</f>
        <v>Nikolai Johannes</v>
      </c>
      <c r="K1121" t="e">
        <f>MID(tblPassengerNames[[#This Row],[Name]], tblPassengerNames[[#This Row],[OpenParPos]] + 1, tblPassengerNames[[#This Row],[CloseParPos]] - tblPassengerNames[[#This Row],[OpenParPos]] - 1)</f>
        <v>#VALUE!</v>
      </c>
      <c r="L1121" t="e">
        <f>IF(AND(LEFT(tblPassengerNames[[#This Row],[InParentheses]], 1) = "'", RIGHT(tblPassengerNames[[#This Row],[InParentheses]], 1) = "'"),
    #VALUE!,
    tblPassengerNames[[#This Row],[InParentheses]]
)</f>
        <v>#VALUE!</v>
      </c>
      <c r="M1121" t="e">
        <f>LEN(tblPassengerNames[[#This Row],[InParenthesesCleaned]]) - LEN(SUBSTITUTE(tblPassengerNames[[#This Row],[InParenthesesCleaned]], " ", ""))</f>
        <v>#VALUE!</v>
      </c>
      <c r="N1121" t="e">
        <f>FIND("@", SUBSTITUTE(tblPassengerNames[[#This Row],[InParenthesesCleaned]], " ", "@", tblPassengerNames[[#This Row],[P_NSpaces]]))</f>
        <v>#VALUE!</v>
      </c>
      <c r="O1121" t="e">
        <f>IF(tblPassengerNames[[#This Row],[P_NSpaces]] = 0,
    tblPassengerNames[[#This Row],[InParenthesesCleaned]],
    LEFT(tblPassengerNames[[#This Row],[InParenthesesCleaned]], tblPassengerNames[[#This Row],[P_FinalSpacePos]] - 1)
)</f>
        <v>#VALUE!</v>
      </c>
      <c r="P1121" t="str">
        <f>IFERROR(tblPassengerNames[[#This Row],[P_Forenames]], tblPassengerNames[[#This Row],[ConvForenames]])</f>
        <v>Nikolai Johannes</v>
      </c>
      <c r="Q1121" t="str">
        <f>MID(tblPassengerNames[[#This Row],[Name]], tblPassengerNames[[#This Row],[CommaPos]] + 2, tblPassengerNames[[#This Row],[DotPos]] - tblPassengerNames[[#This Row],[CommaPos]] - 1)</f>
        <v>Mr.</v>
      </c>
      <c r="R1121" t="str">
        <f>LEFT(tblPassengerNames[[#This Row],[Name]], tblPassengerNames[[#This Row],[CommaPos]] - 1)</f>
        <v>Peltomaki</v>
      </c>
    </row>
    <row r="1122" spans="2:18" x14ac:dyDescent="0.25">
      <c r="B1122" s="21">
        <v>1120</v>
      </c>
      <c r="C1122" s="21" t="s">
        <v>1254</v>
      </c>
      <c r="D1122" s="21" t="s">
        <v>138</v>
      </c>
      <c r="E1122">
        <f>FIND(",", tblPassengerNames[[#This Row],[Name]])</f>
        <v>7</v>
      </c>
      <c r="F1122">
        <f>FIND(".", tblPassengerNames[[#This Row],[Name]])</f>
        <v>11</v>
      </c>
      <c r="G1122" t="e">
        <f>FIND("(", tblPassengerNames[[#This Row],[Name]])</f>
        <v>#VALUE!</v>
      </c>
      <c r="H1122" t="e">
        <f>FIND(")", tblPassengerNames[[#This Row],[Name]])</f>
        <v>#VALUE!</v>
      </c>
      <c r="I1122">
        <f>IFERROR(tblPassengerNames[[#This Row],[OpenParPos]] - 2, LEN(tblPassengerNames[[#This Row],[Name]]))</f>
        <v>22</v>
      </c>
      <c r="J1122" t="str">
        <f>MID(tblPassengerNames[[#This Row],[Name]], tblPassengerNames[[#This Row],[DotPos]] + 2, tblPassengerNames[[#This Row],[EndOfConvFNPos]] - tblPassengerNames[[#This Row],[DotPos]] - 1)</f>
        <v>John Henry</v>
      </c>
      <c r="K1122" t="e">
        <f>MID(tblPassengerNames[[#This Row],[Name]], tblPassengerNames[[#This Row],[OpenParPos]] + 1, tblPassengerNames[[#This Row],[CloseParPos]] - tblPassengerNames[[#This Row],[OpenParPos]] - 1)</f>
        <v>#VALUE!</v>
      </c>
      <c r="L1122" t="e">
        <f>IF(AND(LEFT(tblPassengerNames[[#This Row],[InParentheses]], 1) = "'", RIGHT(tblPassengerNames[[#This Row],[InParentheses]], 1) = "'"),
    #VALUE!,
    tblPassengerNames[[#This Row],[InParentheses]]
)</f>
        <v>#VALUE!</v>
      </c>
      <c r="M1122" t="e">
        <f>LEN(tblPassengerNames[[#This Row],[InParenthesesCleaned]]) - LEN(SUBSTITUTE(tblPassengerNames[[#This Row],[InParenthesesCleaned]], " ", ""))</f>
        <v>#VALUE!</v>
      </c>
      <c r="N1122" t="e">
        <f>FIND("@", SUBSTITUTE(tblPassengerNames[[#This Row],[InParenthesesCleaned]], " ", "@", tblPassengerNames[[#This Row],[P_NSpaces]]))</f>
        <v>#VALUE!</v>
      </c>
      <c r="O1122" t="e">
        <f>IF(tblPassengerNames[[#This Row],[P_NSpaces]] = 0,
    tblPassengerNames[[#This Row],[InParenthesesCleaned]],
    LEFT(tblPassengerNames[[#This Row],[InParenthesesCleaned]], tblPassengerNames[[#This Row],[P_FinalSpacePos]] - 1)
)</f>
        <v>#VALUE!</v>
      </c>
      <c r="P1122" t="str">
        <f>IFERROR(tblPassengerNames[[#This Row],[P_Forenames]], tblPassengerNames[[#This Row],[ConvForenames]])</f>
        <v>John Henry</v>
      </c>
      <c r="Q1122" t="str">
        <f>MID(tblPassengerNames[[#This Row],[Name]], tblPassengerNames[[#This Row],[CommaPos]] + 2, tblPassengerNames[[#This Row],[DotPos]] - tblPassengerNames[[#This Row],[CommaPos]] - 1)</f>
        <v>Mr.</v>
      </c>
      <c r="R1122" t="str">
        <f>LEFT(tblPassengerNames[[#This Row],[Name]], tblPassengerNames[[#This Row],[CommaPos]] - 1)</f>
        <v>Perkin</v>
      </c>
    </row>
    <row r="1123" spans="2:18" x14ac:dyDescent="0.25">
      <c r="B1123" s="21">
        <v>1121</v>
      </c>
      <c r="C1123" s="21" t="s">
        <v>1255</v>
      </c>
      <c r="D1123" s="21" t="s">
        <v>138</v>
      </c>
      <c r="E1123">
        <f>FIND(",", tblPassengerNames[[#This Row],[Name]])</f>
        <v>8</v>
      </c>
      <c r="F1123">
        <f>FIND(".", tblPassengerNames[[#This Row],[Name]])</f>
        <v>12</v>
      </c>
      <c r="G1123" t="e">
        <f>FIND("(", tblPassengerNames[[#This Row],[Name]])</f>
        <v>#VALUE!</v>
      </c>
      <c r="H1123" t="e">
        <f>FIND(")", tblPassengerNames[[#This Row],[Name]])</f>
        <v>#VALUE!</v>
      </c>
      <c r="I1123">
        <f>IFERROR(tblPassengerNames[[#This Row],[OpenParPos]] - 2, LEN(tblPassengerNames[[#This Row],[Name]]))</f>
        <v>24</v>
      </c>
      <c r="J1123" t="str">
        <f>MID(tblPassengerNames[[#This Row],[Name]], tblPassengerNames[[#This Row],[DotPos]] + 2, tblPassengerNames[[#This Row],[EndOfConvFNPos]] - tblPassengerNames[[#This Row],[DotPos]] - 1)</f>
        <v>Ernst Ulrik</v>
      </c>
      <c r="K1123" t="e">
        <f>MID(tblPassengerNames[[#This Row],[Name]], tblPassengerNames[[#This Row],[OpenParPos]] + 1, tblPassengerNames[[#This Row],[CloseParPos]] - tblPassengerNames[[#This Row],[OpenParPos]] - 1)</f>
        <v>#VALUE!</v>
      </c>
      <c r="L1123" t="e">
        <f>IF(AND(LEFT(tblPassengerNames[[#This Row],[InParentheses]], 1) = "'", RIGHT(tblPassengerNames[[#This Row],[InParentheses]], 1) = "'"),
    #VALUE!,
    tblPassengerNames[[#This Row],[InParentheses]]
)</f>
        <v>#VALUE!</v>
      </c>
      <c r="M1123" t="e">
        <f>LEN(tblPassengerNames[[#This Row],[InParenthesesCleaned]]) - LEN(SUBSTITUTE(tblPassengerNames[[#This Row],[InParenthesesCleaned]], " ", ""))</f>
        <v>#VALUE!</v>
      </c>
      <c r="N1123" t="e">
        <f>FIND("@", SUBSTITUTE(tblPassengerNames[[#This Row],[InParenthesesCleaned]], " ", "@", tblPassengerNames[[#This Row],[P_NSpaces]]))</f>
        <v>#VALUE!</v>
      </c>
      <c r="O1123" t="e">
        <f>IF(tblPassengerNames[[#This Row],[P_NSpaces]] = 0,
    tblPassengerNames[[#This Row],[InParenthesesCleaned]],
    LEFT(tblPassengerNames[[#This Row],[InParenthesesCleaned]], tblPassengerNames[[#This Row],[P_FinalSpacePos]] - 1)
)</f>
        <v>#VALUE!</v>
      </c>
      <c r="P1123" t="str">
        <f>IFERROR(tblPassengerNames[[#This Row],[P_Forenames]], tblPassengerNames[[#This Row],[ConvForenames]])</f>
        <v>Ernst Ulrik</v>
      </c>
      <c r="Q1123" t="str">
        <f>MID(tblPassengerNames[[#This Row],[Name]], tblPassengerNames[[#This Row],[CommaPos]] + 2, tblPassengerNames[[#This Row],[DotPos]] - tblPassengerNames[[#This Row],[CommaPos]] - 1)</f>
        <v>Mr.</v>
      </c>
      <c r="R1123" t="str">
        <f>LEFT(tblPassengerNames[[#This Row],[Name]], tblPassengerNames[[#This Row],[CommaPos]] - 1)</f>
        <v>Persson</v>
      </c>
    </row>
    <row r="1124" spans="2:18" x14ac:dyDescent="0.25">
      <c r="B1124" s="21">
        <v>1122</v>
      </c>
      <c r="C1124" s="21" t="s">
        <v>1256</v>
      </c>
      <c r="D1124" s="21" t="s">
        <v>138</v>
      </c>
      <c r="E1124">
        <f>FIND(",", tblPassengerNames[[#This Row],[Name]])</f>
        <v>6</v>
      </c>
      <c r="F1124">
        <f>FIND(".", tblPassengerNames[[#This Row],[Name]])</f>
        <v>14</v>
      </c>
      <c r="G1124" t="e">
        <f>FIND("(", tblPassengerNames[[#This Row],[Name]])</f>
        <v>#VALUE!</v>
      </c>
      <c r="H1124" t="e">
        <f>FIND(")", tblPassengerNames[[#This Row],[Name]])</f>
        <v>#VALUE!</v>
      </c>
      <c r="I1124">
        <f>IFERROR(tblPassengerNames[[#This Row],[OpenParPos]] - 2, LEN(tblPassengerNames[[#This Row],[Name]]))</f>
        <v>24</v>
      </c>
      <c r="J1124" t="str">
        <f>MID(tblPassengerNames[[#This Row],[Name]], tblPassengerNames[[#This Row],[DotPos]] + 2, tblPassengerNames[[#This Row],[EndOfConvFNPos]] - tblPassengerNames[[#This Row],[DotPos]] - 1)</f>
        <v>Michael J</v>
      </c>
      <c r="K1124" t="e">
        <f>MID(tblPassengerNames[[#This Row],[Name]], tblPassengerNames[[#This Row],[OpenParPos]] + 1, tblPassengerNames[[#This Row],[CloseParPos]] - tblPassengerNames[[#This Row],[OpenParPos]] - 1)</f>
        <v>#VALUE!</v>
      </c>
      <c r="L1124" t="e">
        <f>IF(AND(LEFT(tblPassengerNames[[#This Row],[InParentheses]], 1) = "'", RIGHT(tblPassengerNames[[#This Row],[InParentheses]], 1) = "'"),
    #VALUE!,
    tblPassengerNames[[#This Row],[InParentheses]]
)</f>
        <v>#VALUE!</v>
      </c>
      <c r="M1124" t="e">
        <f>LEN(tblPassengerNames[[#This Row],[InParenthesesCleaned]]) - LEN(SUBSTITUTE(tblPassengerNames[[#This Row],[InParenthesesCleaned]], " ", ""))</f>
        <v>#VALUE!</v>
      </c>
      <c r="N1124" t="e">
        <f>FIND("@", SUBSTITUTE(tblPassengerNames[[#This Row],[InParenthesesCleaned]], " ", "@", tblPassengerNames[[#This Row],[P_NSpaces]]))</f>
        <v>#VALUE!</v>
      </c>
      <c r="O1124" t="e">
        <f>IF(tblPassengerNames[[#This Row],[P_NSpaces]] = 0,
    tblPassengerNames[[#This Row],[InParenthesesCleaned]],
    LEFT(tblPassengerNames[[#This Row],[InParenthesesCleaned]], tblPassengerNames[[#This Row],[P_FinalSpacePos]] - 1)
)</f>
        <v>#VALUE!</v>
      </c>
      <c r="P1124" t="str">
        <f>IFERROR(tblPassengerNames[[#This Row],[P_Forenames]], tblPassengerNames[[#This Row],[ConvForenames]])</f>
        <v>Michael J</v>
      </c>
      <c r="Q1124" t="str">
        <f>MID(tblPassengerNames[[#This Row],[Name]], tblPassengerNames[[#This Row],[CommaPos]] + 2, tblPassengerNames[[#This Row],[DotPos]] - tblPassengerNames[[#This Row],[CommaPos]] - 1)</f>
        <v>Master.</v>
      </c>
      <c r="R1124" t="str">
        <f>LEFT(tblPassengerNames[[#This Row],[Name]], tblPassengerNames[[#This Row],[CommaPos]] - 1)</f>
        <v>Peter</v>
      </c>
    </row>
    <row r="1125" spans="2:18" x14ac:dyDescent="0.25">
      <c r="B1125" s="21">
        <v>1123</v>
      </c>
      <c r="C1125" s="21" t="s">
        <v>1257</v>
      </c>
      <c r="D1125" s="21" t="s">
        <v>136</v>
      </c>
      <c r="E1125">
        <f>FIND(",", tblPassengerNames[[#This Row],[Name]])</f>
        <v>6</v>
      </c>
      <c r="F1125">
        <f>FIND(".", tblPassengerNames[[#This Row],[Name]])</f>
        <v>12</v>
      </c>
      <c r="G1125" t="e">
        <f>FIND("(", tblPassengerNames[[#This Row],[Name]])</f>
        <v>#VALUE!</v>
      </c>
      <c r="H1125" t="e">
        <f>FIND(")", tblPassengerNames[[#This Row],[Name]])</f>
        <v>#VALUE!</v>
      </c>
      <c r="I1125">
        <f>IFERROR(tblPassengerNames[[#This Row],[OpenParPos]] - 2, LEN(tblPassengerNames[[#This Row],[Name]]))</f>
        <v>17</v>
      </c>
      <c r="J1125" t="str">
        <f>MID(tblPassengerNames[[#This Row],[Name]], tblPassengerNames[[#This Row],[DotPos]] + 2, tblPassengerNames[[#This Row],[EndOfConvFNPos]] - tblPassengerNames[[#This Row],[DotPos]] - 1)</f>
        <v>Anna</v>
      </c>
      <c r="K1125" t="e">
        <f>MID(tblPassengerNames[[#This Row],[Name]], tblPassengerNames[[#This Row],[OpenParPos]] + 1, tblPassengerNames[[#This Row],[CloseParPos]] - tblPassengerNames[[#This Row],[OpenParPos]] - 1)</f>
        <v>#VALUE!</v>
      </c>
      <c r="L1125" t="e">
        <f>IF(AND(LEFT(tblPassengerNames[[#This Row],[InParentheses]], 1) = "'", RIGHT(tblPassengerNames[[#This Row],[InParentheses]], 1) = "'"),
    #VALUE!,
    tblPassengerNames[[#This Row],[InParentheses]]
)</f>
        <v>#VALUE!</v>
      </c>
      <c r="M1125" t="e">
        <f>LEN(tblPassengerNames[[#This Row],[InParenthesesCleaned]]) - LEN(SUBSTITUTE(tblPassengerNames[[#This Row],[InParenthesesCleaned]], " ", ""))</f>
        <v>#VALUE!</v>
      </c>
      <c r="N1125" t="e">
        <f>FIND("@", SUBSTITUTE(tblPassengerNames[[#This Row],[InParenthesesCleaned]], " ", "@", tblPassengerNames[[#This Row],[P_NSpaces]]))</f>
        <v>#VALUE!</v>
      </c>
      <c r="O1125" t="e">
        <f>IF(tblPassengerNames[[#This Row],[P_NSpaces]] = 0,
    tblPassengerNames[[#This Row],[InParenthesesCleaned]],
    LEFT(tblPassengerNames[[#This Row],[InParenthesesCleaned]], tblPassengerNames[[#This Row],[P_FinalSpacePos]] - 1)
)</f>
        <v>#VALUE!</v>
      </c>
      <c r="P1125" t="str">
        <f>IFERROR(tblPassengerNames[[#This Row],[P_Forenames]], tblPassengerNames[[#This Row],[ConvForenames]])</f>
        <v>Anna</v>
      </c>
      <c r="Q1125" t="str">
        <f>MID(tblPassengerNames[[#This Row],[Name]], tblPassengerNames[[#This Row],[CommaPos]] + 2, tblPassengerNames[[#This Row],[DotPos]] - tblPassengerNames[[#This Row],[CommaPos]] - 1)</f>
        <v>Miss.</v>
      </c>
      <c r="R1125" t="str">
        <f>LEFT(tblPassengerNames[[#This Row],[Name]], tblPassengerNames[[#This Row],[CommaPos]] - 1)</f>
        <v>Peter</v>
      </c>
    </row>
    <row r="1126" spans="2:18" x14ac:dyDescent="0.25">
      <c r="B1126" s="21">
        <v>1124</v>
      </c>
      <c r="C1126" s="21" t="s">
        <v>1258</v>
      </c>
      <c r="D1126" s="21" t="s">
        <v>136</v>
      </c>
      <c r="E1126">
        <f>FIND(",", tblPassengerNames[[#This Row],[Name]])</f>
        <v>6</v>
      </c>
      <c r="F1126">
        <f>FIND(".", tblPassengerNames[[#This Row],[Name]])</f>
        <v>11</v>
      </c>
      <c r="G1126">
        <f>FIND("(", tblPassengerNames[[#This Row],[Name]])</f>
        <v>23</v>
      </c>
      <c r="H1126">
        <f>FIND(")", tblPassengerNames[[#This Row],[Name]])</f>
        <v>38</v>
      </c>
      <c r="I1126">
        <f>IFERROR(tblPassengerNames[[#This Row],[OpenParPos]] - 2, LEN(tblPassengerNames[[#This Row],[Name]]))</f>
        <v>21</v>
      </c>
      <c r="J1126" t="str">
        <f>MID(tblPassengerNames[[#This Row],[Name]], tblPassengerNames[[#This Row],[DotPos]] + 2, tblPassengerNames[[#This Row],[EndOfConvFNPos]] - tblPassengerNames[[#This Row],[DotPos]] - 1)</f>
        <v>Catherine</v>
      </c>
      <c r="K1126" t="str">
        <f>MID(tblPassengerNames[[#This Row],[Name]], tblPassengerNames[[#This Row],[OpenParPos]] + 1, tblPassengerNames[[#This Row],[CloseParPos]] - tblPassengerNames[[#This Row],[OpenParPos]] - 1)</f>
        <v>Catherine Rizk</v>
      </c>
      <c r="L1126" t="str">
        <f>IF(AND(LEFT(tblPassengerNames[[#This Row],[InParentheses]], 1) = "'", RIGHT(tblPassengerNames[[#This Row],[InParentheses]], 1) = "'"),
    #VALUE!,
    tblPassengerNames[[#This Row],[InParentheses]]
)</f>
        <v>Catherine Rizk</v>
      </c>
      <c r="M1126">
        <f>LEN(tblPassengerNames[[#This Row],[InParenthesesCleaned]]) - LEN(SUBSTITUTE(tblPassengerNames[[#This Row],[InParenthesesCleaned]], " ", ""))</f>
        <v>1</v>
      </c>
      <c r="N1126">
        <f>FIND("@", SUBSTITUTE(tblPassengerNames[[#This Row],[InParenthesesCleaned]], " ", "@", tblPassengerNames[[#This Row],[P_NSpaces]]))</f>
        <v>10</v>
      </c>
      <c r="O1126" t="str">
        <f>IF(tblPassengerNames[[#This Row],[P_NSpaces]] = 0,
    tblPassengerNames[[#This Row],[InParenthesesCleaned]],
    LEFT(tblPassengerNames[[#This Row],[InParenthesesCleaned]], tblPassengerNames[[#This Row],[P_FinalSpacePos]] - 1)
)</f>
        <v>Catherine</v>
      </c>
      <c r="P1126" t="str">
        <f>IFERROR(tblPassengerNames[[#This Row],[P_Forenames]], tblPassengerNames[[#This Row],[ConvForenames]])</f>
        <v>Catherine</v>
      </c>
      <c r="Q1126" t="str">
        <f>MID(tblPassengerNames[[#This Row],[Name]], tblPassengerNames[[#This Row],[CommaPos]] + 2, tblPassengerNames[[#This Row],[DotPos]] - tblPassengerNames[[#This Row],[CommaPos]] - 1)</f>
        <v>Mrs.</v>
      </c>
      <c r="R1126" t="str">
        <f>LEFT(tblPassengerNames[[#This Row],[Name]], tblPassengerNames[[#This Row],[CommaPos]] - 1)</f>
        <v>Peter</v>
      </c>
    </row>
    <row r="1127" spans="2:18" x14ac:dyDescent="0.25">
      <c r="B1127" s="21">
        <v>1125</v>
      </c>
      <c r="C1127" s="21" t="s">
        <v>1259</v>
      </c>
      <c r="D1127" s="21" t="s">
        <v>136</v>
      </c>
      <c r="E1127">
        <f>FIND(",", tblPassengerNames[[#This Row],[Name]])</f>
        <v>7</v>
      </c>
      <c r="F1127">
        <f>FIND(".", tblPassengerNames[[#This Row],[Name]])</f>
        <v>13</v>
      </c>
      <c r="G1127" t="e">
        <f>FIND("(", tblPassengerNames[[#This Row],[Name]])</f>
        <v>#VALUE!</v>
      </c>
      <c r="H1127" t="e">
        <f>FIND(")", tblPassengerNames[[#This Row],[Name]])</f>
        <v>#VALUE!</v>
      </c>
      <c r="I1127">
        <f>IFERROR(tblPassengerNames[[#This Row],[OpenParPos]] - 2, LEN(tblPassengerNames[[#This Row],[Name]]))</f>
        <v>19</v>
      </c>
      <c r="J1127" t="str">
        <f>MID(tblPassengerNames[[#This Row],[Name]], tblPassengerNames[[#This Row],[DotPos]] + 2, tblPassengerNames[[#This Row],[EndOfConvFNPos]] - tblPassengerNames[[#This Row],[DotPos]] - 1)</f>
        <v>Katie</v>
      </c>
      <c r="K1127" t="e">
        <f>MID(tblPassengerNames[[#This Row],[Name]], tblPassengerNames[[#This Row],[OpenParPos]] + 1, tblPassengerNames[[#This Row],[CloseParPos]] - tblPassengerNames[[#This Row],[OpenParPos]] - 1)</f>
        <v>#VALUE!</v>
      </c>
      <c r="L1127" t="e">
        <f>IF(AND(LEFT(tblPassengerNames[[#This Row],[InParentheses]], 1) = "'", RIGHT(tblPassengerNames[[#This Row],[InParentheses]], 1) = "'"),
    #VALUE!,
    tblPassengerNames[[#This Row],[InParentheses]]
)</f>
        <v>#VALUE!</v>
      </c>
      <c r="M1127" t="e">
        <f>LEN(tblPassengerNames[[#This Row],[InParenthesesCleaned]]) - LEN(SUBSTITUTE(tblPassengerNames[[#This Row],[InParenthesesCleaned]], " ", ""))</f>
        <v>#VALUE!</v>
      </c>
      <c r="N1127" t="e">
        <f>FIND("@", SUBSTITUTE(tblPassengerNames[[#This Row],[InParenthesesCleaned]], " ", "@", tblPassengerNames[[#This Row],[P_NSpaces]]))</f>
        <v>#VALUE!</v>
      </c>
      <c r="O1127" t="e">
        <f>IF(tblPassengerNames[[#This Row],[P_NSpaces]] = 0,
    tblPassengerNames[[#This Row],[InParenthesesCleaned]],
    LEFT(tblPassengerNames[[#This Row],[InParenthesesCleaned]], tblPassengerNames[[#This Row],[P_FinalSpacePos]] - 1)
)</f>
        <v>#VALUE!</v>
      </c>
      <c r="P1127" t="str">
        <f>IFERROR(tblPassengerNames[[#This Row],[P_Forenames]], tblPassengerNames[[#This Row],[ConvForenames]])</f>
        <v>Katie</v>
      </c>
      <c r="Q1127" t="str">
        <f>MID(tblPassengerNames[[#This Row],[Name]], tblPassengerNames[[#This Row],[CommaPos]] + 2, tblPassengerNames[[#This Row],[DotPos]] - tblPassengerNames[[#This Row],[CommaPos]] - 1)</f>
        <v>Miss.</v>
      </c>
      <c r="R1127" t="str">
        <f>LEFT(tblPassengerNames[[#This Row],[Name]], tblPassengerNames[[#This Row],[CommaPos]] - 1)</f>
        <v>Peters</v>
      </c>
    </row>
    <row r="1128" spans="2:18" x14ac:dyDescent="0.25">
      <c r="B1128" s="21">
        <v>1126</v>
      </c>
      <c r="C1128" s="21" t="s">
        <v>1260</v>
      </c>
      <c r="D1128" s="21" t="s">
        <v>138</v>
      </c>
      <c r="E1128">
        <f>FIND(",", tblPassengerNames[[#This Row],[Name]])</f>
        <v>9</v>
      </c>
      <c r="F1128">
        <f>FIND(".", tblPassengerNames[[#This Row],[Name]])</f>
        <v>13</v>
      </c>
      <c r="G1128" t="e">
        <f>FIND("(", tblPassengerNames[[#This Row],[Name]])</f>
        <v>#VALUE!</v>
      </c>
      <c r="H1128" t="e">
        <f>FIND(")", tblPassengerNames[[#This Row],[Name]])</f>
        <v>#VALUE!</v>
      </c>
      <c r="I1128">
        <f>IFERROR(tblPassengerNames[[#This Row],[OpenParPos]] - 2, LEN(tblPassengerNames[[#This Row],[Name]]))</f>
        <v>20</v>
      </c>
      <c r="J1128" t="str">
        <f>MID(tblPassengerNames[[#This Row],[Name]], tblPassengerNames[[#This Row],[DotPos]] + 2, tblPassengerNames[[#This Row],[EndOfConvFNPos]] - tblPassengerNames[[#This Row],[DotPos]] - 1)</f>
        <v>Marius</v>
      </c>
      <c r="K1128" t="e">
        <f>MID(tblPassengerNames[[#This Row],[Name]], tblPassengerNames[[#This Row],[OpenParPos]] + 1, tblPassengerNames[[#This Row],[CloseParPos]] - tblPassengerNames[[#This Row],[OpenParPos]] - 1)</f>
        <v>#VALUE!</v>
      </c>
      <c r="L1128" t="e">
        <f>IF(AND(LEFT(tblPassengerNames[[#This Row],[InParentheses]], 1) = "'", RIGHT(tblPassengerNames[[#This Row],[InParentheses]], 1) = "'"),
    #VALUE!,
    tblPassengerNames[[#This Row],[InParentheses]]
)</f>
        <v>#VALUE!</v>
      </c>
      <c r="M1128" t="e">
        <f>LEN(tblPassengerNames[[#This Row],[InParenthesesCleaned]]) - LEN(SUBSTITUTE(tblPassengerNames[[#This Row],[InParenthesesCleaned]], " ", ""))</f>
        <v>#VALUE!</v>
      </c>
      <c r="N1128" t="e">
        <f>FIND("@", SUBSTITUTE(tblPassengerNames[[#This Row],[InParenthesesCleaned]], " ", "@", tblPassengerNames[[#This Row],[P_NSpaces]]))</f>
        <v>#VALUE!</v>
      </c>
      <c r="O1128" t="e">
        <f>IF(tblPassengerNames[[#This Row],[P_NSpaces]] = 0,
    tblPassengerNames[[#This Row],[InParenthesesCleaned]],
    LEFT(tblPassengerNames[[#This Row],[InParenthesesCleaned]], tblPassengerNames[[#This Row],[P_FinalSpacePos]] - 1)
)</f>
        <v>#VALUE!</v>
      </c>
      <c r="P1128" t="str">
        <f>IFERROR(tblPassengerNames[[#This Row],[P_Forenames]], tblPassengerNames[[#This Row],[ConvForenames]])</f>
        <v>Marius</v>
      </c>
      <c r="Q1128" t="str">
        <f>MID(tblPassengerNames[[#This Row],[Name]], tblPassengerNames[[#This Row],[CommaPos]] + 2, tblPassengerNames[[#This Row],[DotPos]] - tblPassengerNames[[#This Row],[CommaPos]] - 1)</f>
        <v>Mr.</v>
      </c>
      <c r="R1128" t="str">
        <f>LEFT(tblPassengerNames[[#This Row],[Name]], tblPassengerNames[[#This Row],[CommaPos]] - 1)</f>
        <v>Petersen</v>
      </c>
    </row>
    <row r="1129" spans="2:18" x14ac:dyDescent="0.25">
      <c r="B1129" s="21">
        <v>1127</v>
      </c>
      <c r="C1129" s="21" t="s">
        <v>1261</v>
      </c>
      <c r="D1129" s="21" t="s">
        <v>136</v>
      </c>
      <c r="E1129">
        <f>FIND(",", tblPassengerNames[[#This Row],[Name]])</f>
        <v>9</v>
      </c>
      <c r="F1129">
        <f>FIND(".", tblPassengerNames[[#This Row],[Name]])</f>
        <v>15</v>
      </c>
      <c r="G1129" t="e">
        <f>FIND("(", tblPassengerNames[[#This Row],[Name]])</f>
        <v>#VALUE!</v>
      </c>
      <c r="H1129" t="e">
        <f>FIND(")", tblPassengerNames[[#This Row],[Name]])</f>
        <v>#VALUE!</v>
      </c>
      <c r="I1129">
        <f>IFERROR(tblPassengerNames[[#This Row],[OpenParPos]] - 2, LEN(tblPassengerNames[[#This Row],[Name]]))</f>
        <v>23</v>
      </c>
      <c r="J1129" t="str">
        <f>MID(tblPassengerNames[[#This Row],[Name]], tblPassengerNames[[#This Row],[DotPos]] + 2, tblPassengerNames[[#This Row],[EndOfConvFNPos]] - tblPassengerNames[[#This Row],[DotPos]] - 1)</f>
        <v>Matilda</v>
      </c>
      <c r="K1129" t="e">
        <f>MID(tblPassengerNames[[#This Row],[Name]], tblPassengerNames[[#This Row],[OpenParPos]] + 1, tblPassengerNames[[#This Row],[CloseParPos]] - tblPassengerNames[[#This Row],[OpenParPos]] - 1)</f>
        <v>#VALUE!</v>
      </c>
      <c r="L1129" t="e">
        <f>IF(AND(LEFT(tblPassengerNames[[#This Row],[InParentheses]], 1) = "'", RIGHT(tblPassengerNames[[#This Row],[InParentheses]], 1) = "'"),
    #VALUE!,
    tblPassengerNames[[#This Row],[InParentheses]]
)</f>
        <v>#VALUE!</v>
      </c>
      <c r="M1129" t="e">
        <f>LEN(tblPassengerNames[[#This Row],[InParenthesesCleaned]]) - LEN(SUBSTITUTE(tblPassengerNames[[#This Row],[InParenthesesCleaned]], " ", ""))</f>
        <v>#VALUE!</v>
      </c>
      <c r="N1129" t="e">
        <f>FIND("@", SUBSTITUTE(tblPassengerNames[[#This Row],[InParenthesesCleaned]], " ", "@", tblPassengerNames[[#This Row],[P_NSpaces]]))</f>
        <v>#VALUE!</v>
      </c>
      <c r="O1129" t="e">
        <f>IF(tblPassengerNames[[#This Row],[P_NSpaces]] = 0,
    tblPassengerNames[[#This Row],[InParenthesesCleaned]],
    LEFT(tblPassengerNames[[#This Row],[InParenthesesCleaned]], tblPassengerNames[[#This Row],[P_FinalSpacePos]] - 1)
)</f>
        <v>#VALUE!</v>
      </c>
      <c r="P1129" t="str">
        <f>IFERROR(tblPassengerNames[[#This Row],[P_Forenames]], tblPassengerNames[[#This Row],[ConvForenames]])</f>
        <v>Matilda</v>
      </c>
      <c r="Q1129" t="str">
        <f>MID(tblPassengerNames[[#This Row],[Name]], tblPassengerNames[[#This Row],[CommaPos]] + 2, tblPassengerNames[[#This Row],[DotPos]] - tblPassengerNames[[#This Row],[CommaPos]] - 1)</f>
        <v>Miss.</v>
      </c>
      <c r="R1129" t="str">
        <f>LEFT(tblPassengerNames[[#This Row],[Name]], tblPassengerNames[[#This Row],[CommaPos]] - 1)</f>
        <v>Petranec</v>
      </c>
    </row>
    <row r="1130" spans="2:18" x14ac:dyDescent="0.25">
      <c r="B1130" s="21">
        <v>1128</v>
      </c>
      <c r="C1130" s="21" t="s">
        <v>1262</v>
      </c>
      <c r="D1130" s="21" t="s">
        <v>138</v>
      </c>
      <c r="E1130">
        <f>FIND(",", tblPassengerNames[[#This Row],[Name]])</f>
        <v>8</v>
      </c>
      <c r="F1130">
        <f>FIND(".", tblPassengerNames[[#This Row],[Name]])</f>
        <v>12</v>
      </c>
      <c r="G1130" t="e">
        <f>FIND("(", tblPassengerNames[[#This Row],[Name]])</f>
        <v>#VALUE!</v>
      </c>
      <c r="H1130" t="e">
        <f>FIND(")", tblPassengerNames[[#This Row],[Name]])</f>
        <v>#VALUE!</v>
      </c>
      <c r="I1130">
        <f>IFERROR(tblPassengerNames[[#This Row],[OpenParPos]] - 2, LEN(tblPassengerNames[[#This Row],[Name]]))</f>
        <v>20</v>
      </c>
      <c r="J1130" t="str">
        <f>MID(tblPassengerNames[[#This Row],[Name]], tblPassengerNames[[#This Row],[DotPos]] + 2, tblPassengerNames[[#This Row],[EndOfConvFNPos]] - tblPassengerNames[[#This Row],[DotPos]] - 1)</f>
        <v>Nedelio</v>
      </c>
      <c r="K1130" t="e">
        <f>MID(tblPassengerNames[[#This Row],[Name]], tblPassengerNames[[#This Row],[OpenParPos]] + 1, tblPassengerNames[[#This Row],[CloseParPos]] - tblPassengerNames[[#This Row],[OpenParPos]] - 1)</f>
        <v>#VALUE!</v>
      </c>
      <c r="L1130" t="e">
        <f>IF(AND(LEFT(tblPassengerNames[[#This Row],[InParentheses]], 1) = "'", RIGHT(tblPassengerNames[[#This Row],[InParentheses]], 1) = "'"),
    #VALUE!,
    tblPassengerNames[[#This Row],[InParentheses]]
)</f>
        <v>#VALUE!</v>
      </c>
      <c r="M1130" t="e">
        <f>LEN(tblPassengerNames[[#This Row],[InParenthesesCleaned]]) - LEN(SUBSTITUTE(tblPassengerNames[[#This Row],[InParenthesesCleaned]], " ", ""))</f>
        <v>#VALUE!</v>
      </c>
      <c r="N1130" t="e">
        <f>FIND("@", SUBSTITUTE(tblPassengerNames[[#This Row],[InParenthesesCleaned]], " ", "@", tblPassengerNames[[#This Row],[P_NSpaces]]))</f>
        <v>#VALUE!</v>
      </c>
      <c r="O1130" t="e">
        <f>IF(tblPassengerNames[[#This Row],[P_NSpaces]] = 0,
    tblPassengerNames[[#This Row],[InParenthesesCleaned]],
    LEFT(tblPassengerNames[[#This Row],[InParenthesesCleaned]], tblPassengerNames[[#This Row],[P_FinalSpacePos]] - 1)
)</f>
        <v>#VALUE!</v>
      </c>
      <c r="P1130" t="str">
        <f>IFERROR(tblPassengerNames[[#This Row],[P_Forenames]], tblPassengerNames[[#This Row],[ConvForenames]])</f>
        <v>Nedelio</v>
      </c>
      <c r="Q1130" t="str">
        <f>MID(tblPassengerNames[[#This Row],[Name]], tblPassengerNames[[#This Row],[CommaPos]] + 2, tblPassengerNames[[#This Row],[DotPos]] - tblPassengerNames[[#This Row],[CommaPos]] - 1)</f>
        <v>Mr.</v>
      </c>
      <c r="R1130" t="str">
        <f>LEFT(tblPassengerNames[[#This Row],[Name]], tblPassengerNames[[#This Row],[CommaPos]] - 1)</f>
        <v>Petroff</v>
      </c>
    </row>
    <row r="1131" spans="2:18" x14ac:dyDescent="0.25">
      <c r="B1131" s="21">
        <v>1129</v>
      </c>
      <c r="C1131" s="21" t="s">
        <v>1263</v>
      </c>
      <c r="D1131" s="21" t="s">
        <v>138</v>
      </c>
      <c r="E1131">
        <f>FIND(",", tblPassengerNames[[#This Row],[Name]])</f>
        <v>8</v>
      </c>
      <c r="F1131">
        <f>FIND(".", tblPassengerNames[[#This Row],[Name]])</f>
        <v>12</v>
      </c>
      <c r="G1131">
        <f>FIND("(", tblPassengerNames[[#This Row],[Name]])</f>
        <v>22</v>
      </c>
      <c r="H1131">
        <f>FIND(")", tblPassengerNames[[#This Row],[Name]])</f>
        <v>32</v>
      </c>
      <c r="I1131">
        <f>IFERROR(tblPassengerNames[[#This Row],[OpenParPos]] - 2, LEN(tblPassengerNames[[#This Row],[Name]]))</f>
        <v>20</v>
      </c>
      <c r="J1131" t="str">
        <f>MID(tblPassengerNames[[#This Row],[Name]], tblPassengerNames[[#This Row],[DotPos]] + 2, tblPassengerNames[[#This Row],[EndOfConvFNPos]] - tblPassengerNames[[#This Row],[DotPos]] - 1)</f>
        <v>Pastcho</v>
      </c>
      <c r="K1131" t="str">
        <f>MID(tblPassengerNames[[#This Row],[Name]], tblPassengerNames[[#This Row],[OpenParPos]] + 1, tblPassengerNames[[#This Row],[CloseParPos]] - tblPassengerNames[[#This Row],[OpenParPos]] - 1)</f>
        <v>'Pentcho'</v>
      </c>
      <c r="L1131" t="e">
        <f>IF(AND(LEFT(tblPassengerNames[[#This Row],[InParentheses]], 1) = "'", RIGHT(tblPassengerNames[[#This Row],[InParentheses]], 1) = "'"),
    #VALUE!,
    tblPassengerNames[[#This Row],[InParentheses]]
)</f>
        <v>#VALUE!</v>
      </c>
      <c r="M1131" t="e">
        <f>LEN(tblPassengerNames[[#This Row],[InParenthesesCleaned]]) - LEN(SUBSTITUTE(tblPassengerNames[[#This Row],[InParenthesesCleaned]], " ", ""))</f>
        <v>#VALUE!</v>
      </c>
      <c r="N1131" t="e">
        <f>FIND("@", SUBSTITUTE(tblPassengerNames[[#This Row],[InParenthesesCleaned]], " ", "@", tblPassengerNames[[#This Row],[P_NSpaces]]))</f>
        <v>#VALUE!</v>
      </c>
      <c r="O1131" t="e">
        <f>IF(tblPassengerNames[[#This Row],[P_NSpaces]] = 0,
    tblPassengerNames[[#This Row],[InParenthesesCleaned]],
    LEFT(tblPassengerNames[[#This Row],[InParenthesesCleaned]], tblPassengerNames[[#This Row],[P_FinalSpacePos]] - 1)
)</f>
        <v>#VALUE!</v>
      </c>
      <c r="P1131" t="str">
        <f>IFERROR(tblPassengerNames[[#This Row],[P_Forenames]], tblPassengerNames[[#This Row],[ConvForenames]])</f>
        <v>Pastcho</v>
      </c>
      <c r="Q1131" t="str">
        <f>MID(tblPassengerNames[[#This Row],[Name]], tblPassengerNames[[#This Row],[CommaPos]] + 2, tblPassengerNames[[#This Row],[DotPos]] - tblPassengerNames[[#This Row],[CommaPos]] - 1)</f>
        <v>Mr.</v>
      </c>
      <c r="R1131" t="str">
        <f>LEFT(tblPassengerNames[[#This Row],[Name]], tblPassengerNames[[#This Row],[CommaPos]] - 1)</f>
        <v>Petroff</v>
      </c>
    </row>
    <row r="1132" spans="2:18" x14ac:dyDescent="0.25">
      <c r="B1132" s="21">
        <v>1130</v>
      </c>
      <c r="C1132" s="21" t="s">
        <v>1264</v>
      </c>
      <c r="D1132" s="21" t="s">
        <v>138</v>
      </c>
      <c r="E1132">
        <f>FIND(",", tblPassengerNames[[#This Row],[Name]])</f>
        <v>10</v>
      </c>
      <c r="F1132">
        <f>FIND(".", tblPassengerNames[[#This Row],[Name]])</f>
        <v>14</v>
      </c>
      <c r="G1132" t="e">
        <f>FIND("(", tblPassengerNames[[#This Row],[Name]])</f>
        <v>#VALUE!</v>
      </c>
      <c r="H1132" t="e">
        <f>FIND(")", tblPassengerNames[[#This Row],[Name]])</f>
        <v>#VALUE!</v>
      </c>
      <c r="I1132">
        <f>IFERROR(tblPassengerNames[[#This Row],[OpenParPos]] - 2, LEN(tblPassengerNames[[#This Row],[Name]]))</f>
        <v>25</v>
      </c>
      <c r="J1132" t="str">
        <f>MID(tblPassengerNames[[#This Row],[Name]], tblPassengerNames[[#This Row],[DotPos]] + 2, tblPassengerNames[[#This Row],[EndOfConvFNPos]] - tblPassengerNames[[#This Row],[DotPos]] - 1)</f>
        <v>Johan Emil</v>
      </c>
      <c r="K1132" t="e">
        <f>MID(tblPassengerNames[[#This Row],[Name]], tblPassengerNames[[#This Row],[OpenParPos]] + 1, tblPassengerNames[[#This Row],[CloseParPos]] - tblPassengerNames[[#This Row],[OpenParPos]] - 1)</f>
        <v>#VALUE!</v>
      </c>
      <c r="L1132" t="e">
        <f>IF(AND(LEFT(tblPassengerNames[[#This Row],[InParentheses]], 1) = "'", RIGHT(tblPassengerNames[[#This Row],[InParentheses]], 1) = "'"),
    #VALUE!,
    tblPassengerNames[[#This Row],[InParentheses]]
)</f>
        <v>#VALUE!</v>
      </c>
      <c r="M1132" t="e">
        <f>LEN(tblPassengerNames[[#This Row],[InParenthesesCleaned]]) - LEN(SUBSTITUTE(tblPassengerNames[[#This Row],[InParenthesesCleaned]], " ", ""))</f>
        <v>#VALUE!</v>
      </c>
      <c r="N1132" t="e">
        <f>FIND("@", SUBSTITUTE(tblPassengerNames[[#This Row],[InParenthesesCleaned]], " ", "@", tblPassengerNames[[#This Row],[P_NSpaces]]))</f>
        <v>#VALUE!</v>
      </c>
      <c r="O1132" t="e">
        <f>IF(tblPassengerNames[[#This Row],[P_NSpaces]] = 0,
    tblPassengerNames[[#This Row],[InParenthesesCleaned]],
    LEFT(tblPassengerNames[[#This Row],[InParenthesesCleaned]], tblPassengerNames[[#This Row],[P_FinalSpacePos]] - 1)
)</f>
        <v>#VALUE!</v>
      </c>
      <c r="P1132" t="str">
        <f>IFERROR(tblPassengerNames[[#This Row],[P_Forenames]], tblPassengerNames[[#This Row],[ConvForenames]])</f>
        <v>Johan Emil</v>
      </c>
      <c r="Q1132" t="str">
        <f>MID(tblPassengerNames[[#This Row],[Name]], tblPassengerNames[[#This Row],[CommaPos]] + 2, tblPassengerNames[[#This Row],[DotPos]] - tblPassengerNames[[#This Row],[CommaPos]] - 1)</f>
        <v>Mr.</v>
      </c>
      <c r="R1132" t="str">
        <f>LEFT(tblPassengerNames[[#This Row],[Name]], tblPassengerNames[[#This Row],[CommaPos]] - 1)</f>
        <v>Petterson</v>
      </c>
    </row>
    <row r="1133" spans="2:18" x14ac:dyDescent="0.25">
      <c r="B1133" s="21">
        <v>1131</v>
      </c>
      <c r="C1133" s="21" t="s">
        <v>1265</v>
      </c>
      <c r="D1133" s="21" t="s">
        <v>136</v>
      </c>
      <c r="E1133">
        <f>FIND(",", tblPassengerNames[[#This Row],[Name]])</f>
        <v>11</v>
      </c>
      <c r="F1133">
        <f>FIND(".", tblPassengerNames[[#This Row],[Name]])</f>
        <v>17</v>
      </c>
      <c r="G1133" t="e">
        <f>FIND("(", tblPassengerNames[[#This Row],[Name]])</f>
        <v>#VALUE!</v>
      </c>
      <c r="H1133" t="e">
        <f>FIND(")", tblPassengerNames[[#This Row],[Name]])</f>
        <v>#VALUE!</v>
      </c>
      <c r="I1133">
        <f>IFERROR(tblPassengerNames[[#This Row],[OpenParPos]] - 2, LEN(tblPassengerNames[[#This Row],[Name]]))</f>
        <v>31</v>
      </c>
      <c r="J1133" t="str">
        <f>MID(tblPassengerNames[[#This Row],[Name]], tblPassengerNames[[#This Row],[DotPos]] + 2, tblPassengerNames[[#This Row],[EndOfConvFNPos]] - tblPassengerNames[[#This Row],[DotPos]] - 1)</f>
        <v>Ellen Natalia</v>
      </c>
      <c r="K1133" t="e">
        <f>MID(tblPassengerNames[[#This Row],[Name]], tblPassengerNames[[#This Row],[OpenParPos]] + 1, tblPassengerNames[[#This Row],[CloseParPos]] - tblPassengerNames[[#This Row],[OpenParPos]] - 1)</f>
        <v>#VALUE!</v>
      </c>
      <c r="L1133" t="e">
        <f>IF(AND(LEFT(tblPassengerNames[[#This Row],[InParentheses]], 1) = "'", RIGHT(tblPassengerNames[[#This Row],[InParentheses]], 1) = "'"),
    #VALUE!,
    tblPassengerNames[[#This Row],[InParentheses]]
)</f>
        <v>#VALUE!</v>
      </c>
      <c r="M1133" t="e">
        <f>LEN(tblPassengerNames[[#This Row],[InParenthesesCleaned]]) - LEN(SUBSTITUTE(tblPassengerNames[[#This Row],[InParenthesesCleaned]], " ", ""))</f>
        <v>#VALUE!</v>
      </c>
      <c r="N1133" t="e">
        <f>FIND("@", SUBSTITUTE(tblPassengerNames[[#This Row],[InParenthesesCleaned]], " ", "@", tblPassengerNames[[#This Row],[P_NSpaces]]))</f>
        <v>#VALUE!</v>
      </c>
      <c r="O1133" t="e">
        <f>IF(tblPassengerNames[[#This Row],[P_NSpaces]] = 0,
    tblPassengerNames[[#This Row],[InParenthesesCleaned]],
    LEFT(tblPassengerNames[[#This Row],[InParenthesesCleaned]], tblPassengerNames[[#This Row],[P_FinalSpacePos]] - 1)
)</f>
        <v>#VALUE!</v>
      </c>
      <c r="P1133" t="str">
        <f>IFERROR(tblPassengerNames[[#This Row],[P_Forenames]], tblPassengerNames[[#This Row],[ConvForenames]])</f>
        <v>Ellen Natalia</v>
      </c>
      <c r="Q1133" t="str">
        <f>MID(tblPassengerNames[[#This Row],[Name]], tblPassengerNames[[#This Row],[CommaPos]] + 2, tblPassengerNames[[#This Row],[DotPos]] - tblPassengerNames[[#This Row],[CommaPos]] - 1)</f>
        <v>Miss.</v>
      </c>
      <c r="R1133" t="str">
        <f>LEFT(tblPassengerNames[[#This Row],[Name]], tblPassengerNames[[#This Row],[CommaPos]] - 1)</f>
        <v>Pettersson</v>
      </c>
    </row>
    <row r="1134" spans="2:18" x14ac:dyDescent="0.25">
      <c r="B1134" s="21">
        <v>1132</v>
      </c>
      <c r="C1134" s="21" t="s">
        <v>1266</v>
      </c>
      <c r="D1134" s="21" t="s">
        <v>138</v>
      </c>
      <c r="E1134">
        <f>FIND(",", tblPassengerNames[[#This Row],[Name]])</f>
        <v>8</v>
      </c>
      <c r="F1134">
        <f>FIND(".", tblPassengerNames[[#This Row],[Name]])</f>
        <v>12</v>
      </c>
      <c r="G1134">
        <f>FIND("(", tblPassengerNames[[#This Row],[Name]])</f>
        <v>19</v>
      </c>
      <c r="H1134">
        <f>FIND(")", tblPassengerNames[[#This Row],[Name]])</f>
        <v>34</v>
      </c>
      <c r="I1134">
        <f>IFERROR(tblPassengerNames[[#This Row],[OpenParPos]] - 2, LEN(tblPassengerNames[[#This Row],[Name]]))</f>
        <v>17</v>
      </c>
      <c r="J1134" t="str">
        <f>MID(tblPassengerNames[[#This Row],[Name]], tblPassengerNames[[#This Row],[DotPos]] + 2, tblPassengerNames[[#This Row],[EndOfConvFNPos]] - tblPassengerNames[[#This Row],[DotPos]] - 1)</f>
        <v>Berk</v>
      </c>
      <c r="K1134" t="str">
        <f>MID(tblPassengerNames[[#This Row],[Name]], tblPassengerNames[[#This Row],[OpenParPos]] + 1, tblPassengerNames[[#This Row],[CloseParPos]] - tblPassengerNames[[#This Row],[OpenParPos]] - 1)</f>
        <v>Berk Trembisky</v>
      </c>
      <c r="L1134" t="str">
        <f>IF(AND(LEFT(tblPassengerNames[[#This Row],[InParentheses]], 1) = "'", RIGHT(tblPassengerNames[[#This Row],[InParentheses]], 1) = "'"),
    #VALUE!,
    tblPassengerNames[[#This Row],[InParentheses]]
)</f>
        <v>Berk Trembisky</v>
      </c>
      <c r="M1134">
        <f>LEN(tblPassengerNames[[#This Row],[InParenthesesCleaned]]) - LEN(SUBSTITUTE(tblPassengerNames[[#This Row],[InParenthesesCleaned]], " ", ""))</f>
        <v>1</v>
      </c>
      <c r="N1134">
        <f>FIND("@", SUBSTITUTE(tblPassengerNames[[#This Row],[InParenthesesCleaned]], " ", "@", tblPassengerNames[[#This Row],[P_NSpaces]]))</f>
        <v>5</v>
      </c>
      <c r="O1134" t="str">
        <f>IF(tblPassengerNames[[#This Row],[P_NSpaces]] = 0,
    tblPassengerNames[[#This Row],[InParenthesesCleaned]],
    LEFT(tblPassengerNames[[#This Row],[InParenthesesCleaned]], tblPassengerNames[[#This Row],[P_FinalSpacePos]] - 1)
)</f>
        <v>Berk</v>
      </c>
      <c r="P1134" t="str">
        <f>IFERROR(tblPassengerNames[[#This Row],[P_Forenames]], tblPassengerNames[[#This Row],[ConvForenames]])</f>
        <v>Berk</v>
      </c>
      <c r="Q1134" t="str">
        <f>MID(tblPassengerNames[[#This Row],[Name]], tblPassengerNames[[#This Row],[CommaPos]] + 2, tblPassengerNames[[#This Row],[DotPos]] - tblPassengerNames[[#This Row],[CommaPos]] - 1)</f>
        <v>Mr.</v>
      </c>
      <c r="R1134" t="str">
        <f>LEFT(tblPassengerNames[[#This Row],[Name]], tblPassengerNames[[#This Row],[CommaPos]] - 1)</f>
        <v>Pickard</v>
      </c>
    </row>
    <row r="1135" spans="2:18" x14ac:dyDescent="0.25">
      <c r="B1135" s="21">
        <v>1133</v>
      </c>
      <c r="C1135" s="21" t="s">
        <v>1267</v>
      </c>
      <c r="D1135" s="21" t="s">
        <v>138</v>
      </c>
      <c r="E1135">
        <f>FIND(",", tblPassengerNames[[#This Row],[Name]])</f>
        <v>12</v>
      </c>
      <c r="F1135">
        <f>FIND(".", tblPassengerNames[[#This Row],[Name]])</f>
        <v>16</v>
      </c>
      <c r="G1135" t="e">
        <f>FIND("(", tblPassengerNames[[#This Row],[Name]])</f>
        <v>#VALUE!</v>
      </c>
      <c r="H1135" t="e">
        <f>FIND(")", tblPassengerNames[[#This Row],[Name]])</f>
        <v>#VALUE!</v>
      </c>
      <c r="I1135">
        <f>IFERROR(tblPassengerNames[[#This Row],[OpenParPos]] - 2, LEN(tblPassengerNames[[#This Row],[Name]]))</f>
        <v>22</v>
      </c>
      <c r="J1135" t="str">
        <f>MID(tblPassengerNames[[#This Row],[Name]], tblPassengerNames[[#This Row],[DotPos]] + 2, tblPassengerNames[[#This Row],[EndOfConvFNPos]] - tblPassengerNames[[#This Row],[DotPos]] - 1)</f>
        <v>Vasil</v>
      </c>
      <c r="K1135" t="e">
        <f>MID(tblPassengerNames[[#This Row],[Name]], tblPassengerNames[[#This Row],[OpenParPos]] + 1, tblPassengerNames[[#This Row],[CloseParPos]] - tblPassengerNames[[#This Row],[OpenParPos]] - 1)</f>
        <v>#VALUE!</v>
      </c>
      <c r="L1135" t="e">
        <f>IF(AND(LEFT(tblPassengerNames[[#This Row],[InParentheses]], 1) = "'", RIGHT(tblPassengerNames[[#This Row],[InParentheses]], 1) = "'"),
    #VALUE!,
    tblPassengerNames[[#This Row],[InParentheses]]
)</f>
        <v>#VALUE!</v>
      </c>
      <c r="M1135" t="e">
        <f>LEN(tblPassengerNames[[#This Row],[InParenthesesCleaned]]) - LEN(SUBSTITUTE(tblPassengerNames[[#This Row],[InParenthesesCleaned]], " ", ""))</f>
        <v>#VALUE!</v>
      </c>
      <c r="N1135" t="e">
        <f>FIND("@", SUBSTITUTE(tblPassengerNames[[#This Row],[InParenthesesCleaned]], " ", "@", tblPassengerNames[[#This Row],[P_NSpaces]]))</f>
        <v>#VALUE!</v>
      </c>
      <c r="O1135" t="e">
        <f>IF(tblPassengerNames[[#This Row],[P_NSpaces]] = 0,
    tblPassengerNames[[#This Row],[InParenthesesCleaned]],
    LEFT(tblPassengerNames[[#This Row],[InParenthesesCleaned]], tblPassengerNames[[#This Row],[P_FinalSpacePos]] - 1)
)</f>
        <v>#VALUE!</v>
      </c>
      <c r="P1135" t="str">
        <f>IFERROR(tblPassengerNames[[#This Row],[P_Forenames]], tblPassengerNames[[#This Row],[ConvForenames]])</f>
        <v>Vasil</v>
      </c>
      <c r="Q1135" t="str">
        <f>MID(tblPassengerNames[[#This Row],[Name]], tblPassengerNames[[#This Row],[CommaPos]] + 2, tblPassengerNames[[#This Row],[DotPos]] - tblPassengerNames[[#This Row],[CommaPos]] - 1)</f>
        <v>Mr.</v>
      </c>
      <c r="R1135" t="str">
        <f>LEFT(tblPassengerNames[[#This Row],[Name]], tblPassengerNames[[#This Row],[CommaPos]] - 1)</f>
        <v>Plotcharsky</v>
      </c>
    </row>
    <row r="1136" spans="2:18" x14ac:dyDescent="0.25">
      <c r="B1136" s="21">
        <v>1134</v>
      </c>
      <c r="C1136" s="21" t="s">
        <v>1268</v>
      </c>
      <c r="D1136" s="21" t="s">
        <v>138</v>
      </c>
      <c r="E1136">
        <f>FIND(",", tblPassengerNames[[#This Row],[Name]])</f>
        <v>8</v>
      </c>
      <c r="F1136">
        <f>FIND(".", tblPassengerNames[[#This Row],[Name]])</f>
        <v>12</v>
      </c>
      <c r="G1136" t="e">
        <f>FIND("(", tblPassengerNames[[#This Row],[Name]])</f>
        <v>#VALUE!</v>
      </c>
      <c r="H1136" t="e">
        <f>FIND(")", tblPassengerNames[[#This Row],[Name]])</f>
        <v>#VALUE!</v>
      </c>
      <c r="I1136">
        <f>IFERROR(tblPassengerNames[[#This Row],[OpenParPos]] - 2, LEN(tblPassengerNames[[#This Row],[Name]]))</f>
        <v>17</v>
      </c>
      <c r="J1136" t="str">
        <f>MID(tblPassengerNames[[#This Row],[Name]], tblPassengerNames[[#This Row],[DotPos]] + 2, tblPassengerNames[[#This Row],[EndOfConvFNPos]] - tblPassengerNames[[#This Row],[DotPos]] - 1)</f>
        <v>Mate</v>
      </c>
      <c r="K1136" t="e">
        <f>MID(tblPassengerNames[[#This Row],[Name]], tblPassengerNames[[#This Row],[OpenParPos]] + 1, tblPassengerNames[[#This Row],[CloseParPos]] - tblPassengerNames[[#This Row],[OpenParPos]] - 1)</f>
        <v>#VALUE!</v>
      </c>
      <c r="L1136" t="e">
        <f>IF(AND(LEFT(tblPassengerNames[[#This Row],[InParentheses]], 1) = "'", RIGHT(tblPassengerNames[[#This Row],[InParentheses]], 1) = "'"),
    #VALUE!,
    tblPassengerNames[[#This Row],[InParentheses]]
)</f>
        <v>#VALUE!</v>
      </c>
      <c r="M1136" t="e">
        <f>LEN(tblPassengerNames[[#This Row],[InParenthesesCleaned]]) - LEN(SUBSTITUTE(tblPassengerNames[[#This Row],[InParenthesesCleaned]], " ", ""))</f>
        <v>#VALUE!</v>
      </c>
      <c r="N1136" t="e">
        <f>FIND("@", SUBSTITUTE(tblPassengerNames[[#This Row],[InParenthesesCleaned]], " ", "@", tblPassengerNames[[#This Row],[P_NSpaces]]))</f>
        <v>#VALUE!</v>
      </c>
      <c r="O1136" t="e">
        <f>IF(tblPassengerNames[[#This Row],[P_NSpaces]] = 0,
    tblPassengerNames[[#This Row],[InParenthesesCleaned]],
    LEFT(tblPassengerNames[[#This Row],[InParenthesesCleaned]], tblPassengerNames[[#This Row],[P_FinalSpacePos]] - 1)
)</f>
        <v>#VALUE!</v>
      </c>
      <c r="P1136" t="str">
        <f>IFERROR(tblPassengerNames[[#This Row],[P_Forenames]], tblPassengerNames[[#This Row],[ConvForenames]])</f>
        <v>Mate</v>
      </c>
      <c r="Q1136" t="str">
        <f>MID(tblPassengerNames[[#This Row],[Name]], tblPassengerNames[[#This Row],[CommaPos]] + 2, tblPassengerNames[[#This Row],[DotPos]] - tblPassengerNames[[#This Row],[CommaPos]] - 1)</f>
        <v>Mr.</v>
      </c>
      <c r="R1136" t="str">
        <f>LEFT(tblPassengerNames[[#This Row],[Name]], tblPassengerNames[[#This Row],[CommaPos]] - 1)</f>
        <v>Pokrnic</v>
      </c>
    </row>
    <row r="1137" spans="2:18" x14ac:dyDescent="0.25">
      <c r="B1137" s="21">
        <v>1135</v>
      </c>
      <c r="C1137" s="21" t="s">
        <v>1269</v>
      </c>
      <c r="D1137" s="21" t="s">
        <v>138</v>
      </c>
      <c r="E1137">
        <f>FIND(",", tblPassengerNames[[#This Row],[Name]])</f>
        <v>8</v>
      </c>
      <c r="F1137">
        <f>FIND(".", tblPassengerNames[[#This Row],[Name]])</f>
        <v>12</v>
      </c>
      <c r="G1137" t="e">
        <f>FIND("(", tblPassengerNames[[#This Row],[Name]])</f>
        <v>#VALUE!</v>
      </c>
      <c r="H1137" t="e">
        <f>FIND(")", tblPassengerNames[[#This Row],[Name]])</f>
        <v>#VALUE!</v>
      </c>
      <c r="I1137">
        <f>IFERROR(tblPassengerNames[[#This Row],[OpenParPos]] - 2, LEN(tblPassengerNames[[#This Row],[Name]]))</f>
        <v>17</v>
      </c>
      <c r="J1137" t="str">
        <f>MID(tblPassengerNames[[#This Row],[Name]], tblPassengerNames[[#This Row],[DotPos]] + 2, tblPassengerNames[[#This Row],[EndOfConvFNPos]] - tblPassengerNames[[#This Row],[DotPos]] - 1)</f>
        <v>Tome</v>
      </c>
      <c r="K1137" t="e">
        <f>MID(tblPassengerNames[[#This Row],[Name]], tblPassengerNames[[#This Row],[OpenParPos]] + 1, tblPassengerNames[[#This Row],[CloseParPos]] - tblPassengerNames[[#This Row],[OpenParPos]] - 1)</f>
        <v>#VALUE!</v>
      </c>
      <c r="L1137" t="e">
        <f>IF(AND(LEFT(tblPassengerNames[[#This Row],[InParentheses]], 1) = "'", RIGHT(tblPassengerNames[[#This Row],[InParentheses]], 1) = "'"),
    #VALUE!,
    tblPassengerNames[[#This Row],[InParentheses]]
)</f>
        <v>#VALUE!</v>
      </c>
      <c r="M1137" t="e">
        <f>LEN(tblPassengerNames[[#This Row],[InParenthesesCleaned]]) - LEN(SUBSTITUTE(tblPassengerNames[[#This Row],[InParenthesesCleaned]], " ", ""))</f>
        <v>#VALUE!</v>
      </c>
      <c r="N1137" t="e">
        <f>FIND("@", SUBSTITUTE(tblPassengerNames[[#This Row],[InParenthesesCleaned]], " ", "@", tblPassengerNames[[#This Row],[P_NSpaces]]))</f>
        <v>#VALUE!</v>
      </c>
      <c r="O1137" t="e">
        <f>IF(tblPassengerNames[[#This Row],[P_NSpaces]] = 0,
    tblPassengerNames[[#This Row],[InParenthesesCleaned]],
    LEFT(tblPassengerNames[[#This Row],[InParenthesesCleaned]], tblPassengerNames[[#This Row],[P_FinalSpacePos]] - 1)
)</f>
        <v>#VALUE!</v>
      </c>
      <c r="P1137" t="str">
        <f>IFERROR(tblPassengerNames[[#This Row],[P_Forenames]], tblPassengerNames[[#This Row],[ConvForenames]])</f>
        <v>Tome</v>
      </c>
      <c r="Q1137" t="str">
        <f>MID(tblPassengerNames[[#This Row],[Name]], tblPassengerNames[[#This Row],[CommaPos]] + 2, tblPassengerNames[[#This Row],[DotPos]] - tblPassengerNames[[#This Row],[CommaPos]] - 1)</f>
        <v>Mr.</v>
      </c>
      <c r="R1137" t="str">
        <f>LEFT(tblPassengerNames[[#This Row],[Name]], tblPassengerNames[[#This Row],[CommaPos]] - 1)</f>
        <v>Pokrnic</v>
      </c>
    </row>
    <row r="1138" spans="2:18" x14ac:dyDescent="0.25">
      <c r="B1138" s="21">
        <v>1136</v>
      </c>
      <c r="C1138" s="21" t="s">
        <v>1270</v>
      </c>
      <c r="D1138" s="21" t="s">
        <v>138</v>
      </c>
      <c r="E1138">
        <f>FIND(",", tblPassengerNames[[#This Row],[Name]])</f>
        <v>7</v>
      </c>
      <c r="F1138">
        <f>FIND(".", tblPassengerNames[[#This Row],[Name]])</f>
        <v>11</v>
      </c>
      <c r="G1138" t="e">
        <f>FIND("(", tblPassengerNames[[#This Row],[Name]])</f>
        <v>#VALUE!</v>
      </c>
      <c r="H1138" t="e">
        <f>FIND(")", tblPassengerNames[[#This Row],[Name]])</f>
        <v>#VALUE!</v>
      </c>
      <c r="I1138">
        <f>IFERROR(tblPassengerNames[[#This Row],[OpenParPos]] - 2, LEN(tblPassengerNames[[#This Row],[Name]]))</f>
        <v>21</v>
      </c>
      <c r="J1138" t="str">
        <f>MID(tblPassengerNames[[#This Row],[Name]], tblPassengerNames[[#This Row],[DotPos]] + 2, tblPassengerNames[[#This Row],[EndOfConvFNPos]] - tblPassengerNames[[#This Row],[DotPos]] - 1)</f>
        <v>Alexander</v>
      </c>
      <c r="K1138" t="e">
        <f>MID(tblPassengerNames[[#This Row],[Name]], tblPassengerNames[[#This Row],[OpenParPos]] + 1, tblPassengerNames[[#This Row],[CloseParPos]] - tblPassengerNames[[#This Row],[OpenParPos]] - 1)</f>
        <v>#VALUE!</v>
      </c>
      <c r="L1138" t="e">
        <f>IF(AND(LEFT(tblPassengerNames[[#This Row],[InParentheses]], 1) = "'", RIGHT(tblPassengerNames[[#This Row],[InParentheses]], 1) = "'"),
    #VALUE!,
    tblPassengerNames[[#This Row],[InParentheses]]
)</f>
        <v>#VALUE!</v>
      </c>
      <c r="M1138" t="e">
        <f>LEN(tblPassengerNames[[#This Row],[InParenthesesCleaned]]) - LEN(SUBSTITUTE(tblPassengerNames[[#This Row],[InParenthesesCleaned]], " ", ""))</f>
        <v>#VALUE!</v>
      </c>
      <c r="N1138" t="e">
        <f>FIND("@", SUBSTITUTE(tblPassengerNames[[#This Row],[InParenthesesCleaned]], " ", "@", tblPassengerNames[[#This Row],[P_NSpaces]]))</f>
        <v>#VALUE!</v>
      </c>
      <c r="O1138" t="e">
        <f>IF(tblPassengerNames[[#This Row],[P_NSpaces]] = 0,
    tblPassengerNames[[#This Row],[InParenthesesCleaned]],
    LEFT(tblPassengerNames[[#This Row],[InParenthesesCleaned]], tblPassengerNames[[#This Row],[P_FinalSpacePos]] - 1)
)</f>
        <v>#VALUE!</v>
      </c>
      <c r="P1138" t="str">
        <f>IFERROR(tblPassengerNames[[#This Row],[P_Forenames]], tblPassengerNames[[#This Row],[ConvForenames]])</f>
        <v>Alexander</v>
      </c>
      <c r="Q1138" t="str">
        <f>MID(tblPassengerNames[[#This Row],[Name]], tblPassengerNames[[#This Row],[CommaPos]] + 2, tblPassengerNames[[#This Row],[DotPos]] - tblPassengerNames[[#This Row],[CommaPos]] - 1)</f>
        <v>Mr.</v>
      </c>
      <c r="R1138" t="str">
        <f>LEFT(tblPassengerNames[[#This Row],[Name]], tblPassengerNames[[#This Row],[CommaPos]] - 1)</f>
        <v>Radeff</v>
      </c>
    </row>
    <row r="1139" spans="2:18" x14ac:dyDescent="0.25">
      <c r="B1139" s="21">
        <v>1137</v>
      </c>
      <c r="C1139" s="21" t="s">
        <v>1271</v>
      </c>
      <c r="D1139" s="21" t="s">
        <v>136</v>
      </c>
      <c r="E1139">
        <f>FIND(",", tblPassengerNames[[#This Row],[Name]])</f>
        <v>10</v>
      </c>
      <c r="F1139">
        <f>FIND(".", tblPassengerNames[[#This Row],[Name]])</f>
        <v>15</v>
      </c>
      <c r="G1139">
        <f>FIND("(", tblPassengerNames[[#This Row],[Name]])</f>
        <v>17</v>
      </c>
      <c r="H1139">
        <f>FIND(")", tblPassengerNames[[#This Row],[Name]])</f>
        <v>39</v>
      </c>
      <c r="I1139">
        <f>IFERROR(tblPassengerNames[[#This Row],[OpenParPos]] - 2, LEN(tblPassengerNames[[#This Row],[Name]]))</f>
        <v>15</v>
      </c>
      <c r="J1139" t="e">
        <f>MID(tblPassengerNames[[#This Row],[Name]], tblPassengerNames[[#This Row],[DotPos]] + 2, tblPassengerNames[[#This Row],[EndOfConvFNPos]] - tblPassengerNames[[#This Row],[DotPos]] - 1)</f>
        <v>#VALUE!</v>
      </c>
      <c r="K1139" t="str">
        <f>MID(tblPassengerNames[[#This Row],[Name]], tblPassengerNames[[#This Row],[OpenParPos]] + 1, tblPassengerNames[[#This Row],[CloseParPos]] - tblPassengerNames[[#This Row],[OpenParPos]] - 1)</f>
        <v>Lena Jacobsen Solvang</v>
      </c>
      <c r="L1139" t="str">
        <f>IF(AND(LEFT(tblPassengerNames[[#This Row],[InParentheses]], 1) = "'", RIGHT(tblPassengerNames[[#This Row],[InParentheses]], 1) = "'"),
    #VALUE!,
    tblPassengerNames[[#This Row],[InParentheses]]
)</f>
        <v>Lena Jacobsen Solvang</v>
      </c>
      <c r="M1139">
        <f>LEN(tblPassengerNames[[#This Row],[InParenthesesCleaned]]) - LEN(SUBSTITUTE(tblPassengerNames[[#This Row],[InParenthesesCleaned]], " ", ""))</f>
        <v>2</v>
      </c>
      <c r="N1139">
        <f>FIND("@", SUBSTITUTE(tblPassengerNames[[#This Row],[InParenthesesCleaned]], " ", "@", tblPassengerNames[[#This Row],[P_NSpaces]]))</f>
        <v>14</v>
      </c>
      <c r="O1139" t="str">
        <f>IF(tblPassengerNames[[#This Row],[P_NSpaces]] = 0,
    tblPassengerNames[[#This Row],[InParenthesesCleaned]],
    LEFT(tblPassengerNames[[#This Row],[InParenthesesCleaned]], tblPassengerNames[[#This Row],[P_FinalSpacePos]] - 1)
)</f>
        <v>Lena Jacobsen</v>
      </c>
      <c r="P1139" t="str">
        <f>IFERROR(tblPassengerNames[[#This Row],[P_Forenames]], tblPassengerNames[[#This Row],[ConvForenames]])</f>
        <v>Lena Jacobsen</v>
      </c>
      <c r="Q1139" t="str">
        <f>MID(tblPassengerNames[[#This Row],[Name]], tblPassengerNames[[#This Row],[CommaPos]] + 2, tblPassengerNames[[#This Row],[DotPos]] - tblPassengerNames[[#This Row],[CommaPos]] - 1)</f>
        <v>Mrs.</v>
      </c>
      <c r="R1139" t="str">
        <f>LEFT(tblPassengerNames[[#This Row],[Name]], tblPassengerNames[[#This Row],[CommaPos]] - 1)</f>
        <v>Rasmussen</v>
      </c>
    </row>
    <row r="1140" spans="2:18" x14ac:dyDescent="0.25">
      <c r="B1140" s="21">
        <v>1138</v>
      </c>
      <c r="C1140" s="21" t="s">
        <v>1272</v>
      </c>
      <c r="D1140" s="21" t="s">
        <v>138</v>
      </c>
      <c r="E1140">
        <f>FIND(",", tblPassengerNames[[#This Row],[Name]])</f>
        <v>5</v>
      </c>
      <c r="F1140">
        <f>FIND(".", tblPassengerNames[[#This Row],[Name]])</f>
        <v>9</v>
      </c>
      <c r="G1140" t="e">
        <f>FIND("(", tblPassengerNames[[#This Row],[Name]])</f>
        <v>#VALUE!</v>
      </c>
      <c r="H1140" t="e">
        <f>FIND(")", tblPassengerNames[[#This Row],[Name]])</f>
        <v>#VALUE!</v>
      </c>
      <c r="I1140">
        <f>IFERROR(tblPassengerNames[[#This Row],[OpenParPos]] - 2, LEN(tblPassengerNames[[#This Row],[Name]]))</f>
        <v>16</v>
      </c>
      <c r="J1140" t="str">
        <f>MID(tblPassengerNames[[#This Row],[Name]], tblPassengerNames[[#This Row],[DotPos]] + 2, tblPassengerNames[[#This Row],[EndOfConvFNPos]] - tblPassengerNames[[#This Row],[DotPos]] - 1)</f>
        <v>Raihed</v>
      </c>
      <c r="K1140" t="e">
        <f>MID(tblPassengerNames[[#This Row],[Name]], tblPassengerNames[[#This Row],[OpenParPos]] + 1, tblPassengerNames[[#This Row],[CloseParPos]] - tblPassengerNames[[#This Row],[OpenParPos]] - 1)</f>
        <v>#VALUE!</v>
      </c>
      <c r="L1140" t="e">
        <f>IF(AND(LEFT(tblPassengerNames[[#This Row],[InParentheses]], 1) = "'", RIGHT(tblPassengerNames[[#This Row],[InParentheses]], 1) = "'"),
    #VALUE!,
    tblPassengerNames[[#This Row],[InParentheses]]
)</f>
        <v>#VALUE!</v>
      </c>
      <c r="M1140" t="e">
        <f>LEN(tblPassengerNames[[#This Row],[InParenthesesCleaned]]) - LEN(SUBSTITUTE(tblPassengerNames[[#This Row],[InParenthesesCleaned]], " ", ""))</f>
        <v>#VALUE!</v>
      </c>
      <c r="N1140" t="e">
        <f>FIND("@", SUBSTITUTE(tblPassengerNames[[#This Row],[InParenthesesCleaned]], " ", "@", tblPassengerNames[[#This Row],[P_NSpaces]]))</f>
        <v>#VALUE!</v>
      </c>
      <c r="O1140" t="e">
        <f>IF(tblPassengerNames[[#This Row],[P_NSpaces]] = 0,
    tblPassengerNames[[#This Row],[InParenthesesCleaned]],
    LEFT(tblPassengerNames[[#This Row],[InParenthesesCleaned]], tblPassengerNames[[#This Row],[P_FinalSpacePos]] - 1)
)</f>
        <v>#VALUE!</v>
      </c>
      <c r="P1140" t="str">
        <f>IFERROR(tblPassengerNames[[#This Row],[P_Forenames]], tblPassengerNames[[#This Row],[ConvForenames]])</f>
        <v>Raihed</v>
      </c>
      <c r="Q1140" t="str">
        <f>MID(tblPassengerNames[[#This Row],[Name]], tblPassengerNames[[#This Row],[CommaPos]] + 2, tblPassengerNames[[#This Row],[DotPos]] - tblPassengerNames[[#This Row],[CommaPos]] - 1)</f>
        <v>Mr.</v>
      </c>
      <c r="R1140" t="str">
        <f>LEFT(tblPassengerNames[[#This Row],[Name]], tblPassengerNames[[#This Row],[CommaPos]] - 1)</f>
        <v>Razi</v>
      </c>
    </row>
    <row r="1141" spans="2:18" x14ac:dyDescent="0.25">
      <c r="B1141" s="21">
        <v>1139</v>
      </c>
      <c r="C1141" s="21" t="s">
        <v>1273</v>
      </c>
      <c r="D1141" s="21" t="s">
        <v>138</v>
      </c>
      <c r="E1141">
        <f>FIND(",", tblPassengerNames[[#This Row],[Name]])</f>
        <v>5</v>
      </c>
      <c r="F1141">
        <f>FIND(".", tblPassengerNames[[#This Row],[Name]])</f>
        <v>9</v>
      </c>
      <c r="G1141" t="e">
        <f>FIND("(", tblPassengerNames[[#This Row],[Name]])</f>
        <v>#VALUE!</v>
      </c>
      <c r="H1141" t="e">
        <f>FIND(")", tblPassengerNames[[#This Row],[Name]])</f>
        <v>#VALUE!</v>
      </c>
      <c r="I1141">
        <f>IFERROR(tblPassengerNames[[#This Row],[OpenParPos]] - 2, LEN(tblPassengerNames[[#This Row],[Name]]))</f>
        <v>22</v>
      </c>
      <c r="J1141" t="str">
        <f>MID(tblPassengerNames[[#This Row],[Name]], tblPassengerNames[[#This Row],[DotPos]] + 2, tblPassengerNames[[#This Row],[EndOfConvFNPos]] - tblPassengerNames[[#This Row],[DotPos]] - 1)</f>
        <v>James George</v>
      </c>
      <c r="K1141" t="e">
        <f>MID(tblPassengerNames[[#This Row],[Name]], tblPassengerNames[[#This Row],[OpenParPos]] + 1, tblPassengerNames[[#This Row],[CloseParPos]] - tblPassengerNames[[#This Row],[OpenParPos]] - 1)</f>
        <v>#VALUE!</v>
      </c>
      <c r="L1141" t="e">
        <f>IF(AND(LEFT(tblPassengerNames[[#This Row],[InParentheses]], 1) = "'", RIGHT(tblPassengerNames[[#This Row],[InParentheses]], 1) = "'"),
    #VALUE!,
    tblPassengerNames[[#This Row],[InParentheses]]
)</f>
        <v>#VALUE!</v>
      </c>
      <c r="M1141" t="e">
        <f>LEN(tblPassengerNames[[#This Row],[InParenthesesCleaned]]) - LEN(SUBSTITUTE(tblPassengerNames[[#This Row],[InParenthesesCleaned]], " ", ""))</f>
        <v>#VALUE!</v>
      </c>
      <c r="N1141" t="e">
        <f>FIND("@", SUBSTITUTE(tblPassengerNames[[#This Row],[InParenthesesCleaned]], " ", "@", tblPassengerNames[[#This Row],[P_NSpaces]]))</f>
        <v>#VALUE!</v>
      </c>
      <c r="O1141" t="e">
        <f>IF(tblPassengerNames[[#This Row],[P_NSpaces]] = 0,
    tblPassengerNames[[#This Row],[InParenthesesCleaned]],
    LEFT(tblPassengerNames[[#This Row],[InParenthesesCleaned]], tblPassengerNames[[#This Row],[P_FinalSpacePos]] - 1)
)</f>
        <v>#VALUE!</v>
      </c>
      <c r="P1141" t="str">
        <f>IFERROR(tblPassengerNames[[#This Row],[P_Forenames]], tblPassengerNames[[#This Row],[ConvForenames]])</f>
        <v>James George</v>
      </c>
      <c r="Q1141" t="str">
        <f>MID(tblPassengerNames[[#This Row],[Name]], tblPassengerNames[[#This Row],[CommaPos]] + 2, tblPassengerNames[[#This Row],[DotPos]] - tblPassengerNames[[#This Row],[CommaPos]] - 1)</f>
        <v>Mr.</v>
      </c>
      <c r="R1141" t="str">
        <f>LEFT(tblPassengerNames[[#This Row],[Name]], tblPassengerNames[[#This Row],[CommaPos]] - 1)</f>
        <v>Reed</v>
      </c>
    </row>
    <row r="1142" spans="2:18" x14ac:dyDescent="0.25">
      <c r="B1142" s="21">
        <v>1140</v>
      </c>
      <c r="C1142" s="21" t="s">
        <v>1274</v>
      </c>
      <c r="D1142" s="21" t="s">
        <v>138</v>
      </c>
      <c r="E1142">
        <f>FIND(",", tblPassengerNames[[#This Row],[Name]])</f>
        <v>6</v>
      </c>
      <c r="F1142">
        <f>FIND(".", tblPassengerNames[[#This Row],[Name]])</f>
        <v>10</v>
      </c>
      <c r="G1142" t="e">
        <f>FIND("(", tblPassengerNames[[#This Row],[Name]])</f>
        <v>#VALUE!</v>
      </c>
      <c r="H1142" t="e">
        <f>FIND(")", tblPassengerNames[[#This Row],[Name]])</f>
        <v>#VALUE!</v>
      </c>
      <c r="I1142">
        <f>IFERROR(tblPassengerNames[[#This Row],[OpenParPos]] - 2, LEN(tblPassengerNames[[#This Row],[Name]]))</f>
        <v>15</v>
      </c>
      <c r="J1142" t="str">
        <f>MID(tblPassengerNames[[#This Row],[Name]], tblPassengerNames[[#This Row],[DotPos]] + 2, tblPassengerNames[[#This Row],[EndOfConvFNPos]] - tblPassengerNames[[#This Row],[DotPos]] - 1)</f>
        <v>Tido</v>
      </c>
      <c r="K1142" t="e">
        <f>MID(tblPassengerNames[[#This Row],[Name]], tblPassengerNames[[#This Row],[OpenParPos]] + 1, tblPassengerNames[[#This Row],[CloseParPos]] - tblPassengerNames[[#This Row],[OpenParPos]] - 1)</f>
        <v>#VALUE!</v>
      </c>
      <c r="L1142" t="e">
        <f>IF(AND(LEFT(tblPassengerNames[[#This Row],[InParentheses]], 1) = "'", RIGHT(tblPassengerNames[[#This Row],[InParentheses]], 1) = "'"),
    #VALUE!,
    tblPassengerNames[[#This Row],[InParentheses]]
)</f>
        <v>#VALUE!</v>
      </c>
      <c r="M1142" t="e">
        <f>LEN(tblPassengerNames[[#This Row],[InParenthesesCleaned]]) - LEN(SUBSTITUTE(tblPassengerNames[[#This Row],[InParenthesesCleaned]], " ", ""))</f>
        <v>#VALUE!</v>
      </c>
      <c r="N1142" t="e">
        <f>FIND("@", SUBSTITUTE(tblPassengerNames[[#This Row],[InParenthesesCleaned]], " ", "@", tblPassengerNames[[#This Row],[P_NSpaces]]))</f>
        <v>#VALUE!</v>
      </c>
      <c r="O1142" t="e">
        <f>IF(tblPassengerNames[[#This Row],[P_NSpaces]] = 0,
    tblPassengerNames[[#This Row],[InParenthesesCleaned]],
    LEFT(tblPassengerNames[[#This Row],[InParenthesesCleaned]], tblPassengerNames[[#This Row],[P_FinalSpacePos]] - 1)
)</f>
        <v>#VALUE!</v>
      </c>
      <c r="P1142" t="str">
        <f>IFERROR(tblPassengerNames[[#This Row],[P_Forenames]], tblPassengerNames[[#This Row],[ConvForenames]])</f>
        <v>Tido</v>
      </c>
      <c r="Q1142" t="str">
        <f>MID(tblPassengerNames[[#This Row],[Name]], tblPassengerNames[[#This Row],[CommaPos]] + 2, tblPassengerNames[[#This Row],[DotPos]] - tblPassengerNames[[#This Row],[CommaPos]] - 1)</f>
        <v>Mr.</v>
      </c>
      <c r="R1142" t="str">
        <f>LEFT(tblPassengerNames[[#This Row],[Name]], tblPassengerNames[[#This Row],[CommaPos]] - 1)</f>
        <v>Rekic</v>
      </c>
    </row>
    <row r="1143" spans="2:18" x14ac:dyDescent="0.25">
      <c r="B1143" s="21">
        <v>1141</v>
      </c>
      <c r="C1143" s="21" t="s">
        <v>1275</v>
      </c>
      <c r="D1143" s="21" t="s">
        <v>138</v>
      </c>
      <c r="E1143">
        <f>FIND(",", tblPassengerNames[[#This Row],[Name]])</f>
        <v>9</v>
      </c>
      <c r="F1143">
        <f>FIND(".", tblPassengerNames[[#This Row],[Name]])</f>
        <v>13</v>
      </c>
      <c r="G1143" t="e">
        <f>FIND("(", tblPassengerNames[[#This Row],[Name]])</f>
        <v>#VALUE!</v>
      </c>
      <c r="H1143" t="e">
        <f>FIND(")", tblPassengerNames[[#This Row],[Name]])</f>
        <v>#VALUE!</v>
      </c>
      <c r="I1143">
        <f>IFERROR(tblPassengerNames[[#This Row],[OpenParPos]] - 2, LEN(tblPassengerNames[[#This Row],[Name]]))</f>
        <v>22</v>
      </c>
      <c r="J1143" t="str">
        <f>MID(tblPassengerNames[[#This Row],[Name]], tblPassengerNames[[#This Row],[DotPos]] + 2, tblPassengerNames[[#This Row],[EndOfConvFNPos]] - tblPassengerNames[[#This Row],[DotPos]] - 1)</f>
        <v>Harold J</v>
      </c>
      <c r="K1143" t="e">
        <f>MID(tblPassengerNames[[#This Row],[Name]], tblPassengerNames[[#This Row],[OpenParPos]] + 1, tblPassengerNames[[#This Row],[CloseParPos]] - tblPassengerNames[[#This Row],[OpenParPos]] - 1)</f>
        <v>#VALUE!</v>
      </c>
      <c r="L1143" t="e">
        <f>IF(AND(LEFT(tblPassengerNames[[#This Row],[InParentheses]], 1) = "'", RIGHT(tblPassengerNames[[#This Row],[InParentheses]], 1) = "'"),
    #VALUE!,
    tblPassengerNames[[#This Row],[InParentheses]]
)</f>
        <v>#VALUE!</v>
      </c>
      <c r="M1143" t="e">
        <f>LEN(tblPassengerNames[[#This Row],[InParenthesesCleaned]]) - LEN(SUBSTITUTE(tblPassengerNames[[#This Row],[InParenthesesCleaned]], " ", ""))</f>
        <v>#VALUE!</v>
      </c>
      <c r="N1143" t="e">
        <f>FIND("@", SUBSTITUTE(tblPassengerNames[[#This Row],[InParenthesesCleaned]], " ", "@", tblPassengerNames[[#This Row],[P_NSpaces]]))</f>
        <v>#VALUE!</v>
      </c>
      <c r="O1143" t="e">
        <f>IF(tblPassengerNames[[#This Row],[P_NSpaces]] = 0,
    tblPassengerNames[[#This Row],[InParenthesesCleaned]],
    LEFT(tblPassengerNames[[#This Row],[InParenthesesCleaned]], tblPassengerNames[[#This Row],[P_FinalSpacePos]] - 1)
)</f>
        <v>#VALUE!</v>
      </c>
      <c r="P1143" t="str">
        <f>IFERROR(tblPassengerNames[[#This Row],[P_Forenames]], tblPassengerNames[[#This Row],[ConvForenames]])</f>
        <v>Harold J</v>
      </c>
      <c r="Q1143" t="str">
        <f>MID(tblPassengerNames[[#This Row],[Name]], tblPassengerNames[[#This Row],[CommaPos]] + 2, tblPassengerNames[[#This Row],[DotPos]] - tblPassengerNames[[#This Row],[CommaPos]] - 1)</f>
        <v>Mr.</v>
      </c>
      <c r="R1143" t="str">
        <f>LEFT(tblPassengerNames[[#This Row],[Name]], tblPassengerNames[[#This Row],[CommaPos]] - 1)</f>
        <v>Reynolds</v>
      </c>
    </row>
    <row r="1144" spans="2:18" x14ac:dyDescent="0.25">
      <c r="B1144" s="21">
        <v>1142</v>
      </c>
      <c r="C1144" s="21" t="s">
        <v>1276</v>
      </c>
      <c r="D1144" s="21" t="s">
        <v>138</v>
      </c>
      <c r="E1144">
        <f>FIND(",", tblPassengerNames[[#This Row],[Name]])</f>
        <v>5</v>
      </c>
      <c r="F1144">
        <f>FIND(".", tblPassengerNames[[#This Row],[Name]])</f>
        <v>13</v>
      </c>
      <c r="G1144" t="e">
        <f>FIND("(", tblPassengerNames[[#This Row],[Name]])</f>
        <v>#VALUE!</v>
      </c>
      <c r="H1144" t="e">
        <f>FIND(")", tblPassengerNames[[#This Row],[Name]])</f>
        <v>#VALUE!</v>
      </c>
      <c r="I1144">
        <f>IFERROR(tblPassengerNames[[#This Row],[OpenParPos]] - 2, LEN(tblPassengerNames[[#This Row],[Name]]))</f>
        <v>20</v>
      </c>
      <c r="J1144" t="str">
        <f>MID(tblPassengerNames[[#This Row],[Name]], tblPassengerNames[[#This Row],[DotPos]] + 2, tblPassengerNames[[#This Row],[EndOfConvFNPos]] - tblPassengerNames[[#This Row],[DotPos]] - 1)</f>
        <v>Albert</v>
      </c>
      <c r="K1144" t="e">
        <f>MID(tblPassengerNames[[#This Row],[Name]], tblPassengerNames[[#This Row],[OpenParPos]] + 1, tblPassengerNames[[#This Row],[CloseParPos]] - tblPassengerNames[[#This Row],[OpenParPos]] - 1)</f>
        <v>#VALUE!</v>
      </c>
      <c r="L1144" t="e">
        <f>IF(AND(LEFT(tblPassengerNames[[#This Row],[InParentheses]], 1) = "'", RIGHT(tblPassengerNames[[#This Row],[InParentheses]], 1) = "'"),
    #VALUE!,
    tblPassengerNames[[#This Row],[InParentheses]]
)</f>
        <v>#VALUE!</v>
      </c>
      <c r="M1144" t="e">
        <f>LEN(tblPassengerNames[[#This Row],[InParenthesesCleaned]]) - LEN(SUBSTITUTE(tblPassengerNames[[#This Row],[InParenthesesCleaned]], " ", ""))</f>
        <v>#VALUE!</v>
      </c>
      <c r="N1144" t="e">
        <f>FIND("@", SUBSTITUTE(tblPassengerNames[[#This Row],[InParenthesesCleaned]], " ", "@", tblPassengerNames[[#This Row],[P_NSpaces]]))</f>
        <v>#VALUE!</v>
      </c>
      <c r="O1144" t="e">
        <f>IF(tblPassengerNames[[#This Row],[P_NSpaces]] = 0,
    tblPassengerNames[[#This Row],[InParenthesesCleaned]],
    LEFT(tblPassengerNames[[#This Row],[InParenthesesCleaned]], tblPassengerNames[[#This Row],[P_FinalSpacePos]] - 1)
)</f>
        <v>#VALUE!</v>
      </c>
      <c r="P1144" t="str">
        <f>IFERROR(tblPassengerNames[[#This Row],[P_Forenames]], tblPassengerNames[[#This Row],[ConvForenames]])</f>
        <v>Albert</v>
      </c>
      <c r="Q1144" t="str">
        <f>MID(tblPassengerNames[[#This Row],[Name]], tblPassengerNames[[#This Row],[CommaPos]] + 2, tblPassengerNames[[#This Row],[DotPos]] - tblPassengerNames[[#This Row],[CommaPos]] - 1)</f>
        <v>Master.</v>
      </c>
      <c r="R1144" t="str">
        <f>LEFT(tblPassengerNames[[#This Row],[Name]], tblPassengerNames[[#This Row],[CommaPos]] - 1)</f>
        <v>Rice</v>
      </c>
    </row>
    <row r="1145" spans="2:18" x14ac:dyDescent="0.25">
      <c r="B1145" s="21">
        <v>1143</v>
      </c>
      <c r="C1145" s="21" t="s">
        <v>1277</v>
      </c>
      <c r="D1145" s="21" t="s">
        <v>138</v>
      </c>
      <c r="E1145">
        <f>FIND(",", tblPassengerNames[[#This Row],[Name]])</f>
        <v>5</v>
      </c>
      <c r="F1145">
        <f>FIND(".", tblPassengerNames[[#This Row],[Name]])</f>
        <v>13</v>
      </c>
      <c r="G1145" t="e">
        <f>FIND("(", tblPassengerNames[[#This Row],[Name]])</f>
        <v>#VALUE!</v>
      </c>
      <c r="H1145" t="e">
        <f>FIND(")", tblPassengerNames[[#This Row],[Name]])</f>
        <v>#VALUE!</v>
      </c>
      <c r="I1145">
        <f>IFERROR(tblPassengerNames[[#This Row],[OpenParPos]] - 2, LEN(tblPassengerNames[[#This Row],[Name]]))</f>
        <v>20</v>
      </c>
      <c r="J1145" t="str">
        <f>MID(tblPassengerNames[[#This Row],[Name]], tblPassengerNames[[#This Row],[DotPos]] + 2, tblPassengerNames[[#This Row],[EndOfConvFNPos]] - tblPassengerNames[[#This Row],[DotPos]] - 1)</f>
        <v>Arthur</v>
      </c>
      <c r="K1145" t="e">
        <f>MID(tblPassengerNames[[#This Row],[Name]], tblPassengerNames[[#This Row],[OpenParPos]] + 1, tblPassengerNames[[#This Row],[CloseParPos]] - tblPassengerNames[[#This Row],[OpenParPos]] - 1)</f>
        <v>#VALUE!</v>
      </c>
      <c r="L1145" t="e">
        <f>IF(AND(LEFT(tblPassengerNames[[#This Row],[InParentheses]], 1) = "'", RIGHT(tblPassengerNames[[#This Row],[InParentheses]], 1) = "'"),
    #VALUE!,
    tblPassengerNames[[#This Row],[InParentheses]]
)</f>
        <v>#VALUE!</v>
      </c>
      <c r="M1145" t="e">
        <f>LEN(tblPassengerNames[[#This Row],[InParenthesesCleaned]]) - LEN(SUBSTITUTE(tblPassengerNames[[#This Row],[InParenthesesCleaned]], " ", ""))</f>
        <v>#VALUE!</v>
      </c>
      <c r="N1145" t="e">
        <f>FIND("@", SUBSTITUTE(tblPassengerNames[[#This Row],[InParenthesesCleaned]], " ", "@", tblPassengerNames[[#This Row],[P_NSpaces]]))</f>
        <v>#VALUE!</v>
      </c>
      <c r="O1145" t="e">
        <f>IF(tblPassengerNames[[#This Row],[P_NSpaces]] = 0,
    tblPassengerNames[[#This Row],[InParenthesesCleaned]],
    LEFT(tblPassengerNames[[#This Row],[InParenthesesCleaned]], tblPassengerNames[[#This Row],[P_FinalSpacePos]] - 1)
)</f>
        <v>#VALUE!</v>
      </c>
      <c r="P1145" t="str">
        <f>IFERROR(tblPassengerNames[[#This Row],[P_Forenames]], tblPassengerNames[[#This Row],[ConvForenames]])</f>
        <v>Arthur</v>
      </c>
      <c r="Q1145" t="str">
        <f>MID(tblPassengerNames[[#This Row],[Name]], tblPassengerNames[[#This Row],[CommaPos]] + 2, tblPassengerNames[[#This Row],[DotPos]] - tblPassengerNames[[#This Row],[CommaPos]] - 1)</f>
        <v>Master.</v>
      </c>
      <c r="R1145" t="str">
        <f>LEFT(tblPassengerNames[[#This Row],[Name]], tblPassengerNames[[#This Row],[CommaPos]] - 1)</f>
        <v>Rice</v>
      </c>
    </row>
    <row r="1146" spans="2:18" x14ac:dyDescent="0.25">
      <c r="B1146" s="21">
        <v>1144</v>
      </c>
      <c r="C1146" s="21" t="s">
        <v>1278</v>
      </c>
      <c r="D1146" s="21" t="s">
        <v>138</v>
      </c>
      <c r="E1146">
        <f>FIND(",", tblPassengerNames[[#This Row],[Name]])</f>
        <v>5</v>
      </c>
      <c r="F1146">
        <f>FIND(".", tblPassengerNames[[#This Row],[Name]])</f>
        <v>13</v>
      </c>
      <c r="G1146" t="e">
        <f>FIND("(", tblPassengerNames[[#This Row],[Name]])</f>
        <v>#VALUE!</v>
      </c>
      <c r="H1146" t="e">
        <f>FIND(")", tblPassengerNames[[#This Row],[Name]])</f>
        <v>#VALUE!</v>
      </c>
      <c r="I1146">
        <f>IFERROR(tblPassengerNames[[#This Row],[OpenParPos]] - 2, LEN(tblPassengerNames[[#This Row],[Name]]))</f>
        <v>18</v>
      </c>
      <c r="J1146" t="str">
        <f>MID(tblPassengerNames[[#This Row],[Name]], tblPassengerNames[[#This Row],[DotPos]] + 2, tblPassengerNames[[#This Row],[EndOfConvFNPos]] - tblPassengerNames[[#This Row],[DotPos]] - 1)</f>
        <v>Eric</v>
      </c>
      <c r="K1146" t="e">
        <f>MID(tblPassengerNames[[#This Row],[Name]], tblPassengerNames[[#This Row],[OpenParPos]] + 1, tblPassengerNames[[#This Row],[CloseParPos]] - tblPassengerNames[[#This Row],[OpenParPos]] - 1)</f>
        <v>#VALUE!</v>
      </c>
      <c r="L1146" t="e">
        <f>IF(AND(LEFT(tblPassengerNames[[#This Row],[InParentheses]], 1) = "'", RIGHT(tblPassengerNames[[#This Row],[InParentheses]], 1) = "'"),
    #VALUE!,
    tblPassengerNames[[#This Row],[InParentheses]]
)</f>
        <v>#VALUE!</v>
      </c>
      <c r="M1146" t="e">
        <f>LEN(tblPassengerNames[[#This Row],[InParenthesesCleaned]]) - LEN(SUBSTITUTE(tblPassengerNames[[#This Row],[InParenthesesCleaned]], " ", ""))</f>
        <v>#VALUE!</v>
      </c>
      <c r="N1146" t="e">
        <f>FIND("@", SUBSTITUTE(tblPassengerNames[[#This Row],[InParenthesesCleaned]], " ", "@", tblPassengerNames[[#This Row],[P_NSpaces]]))</f>
        <v>#VALUE!</v>
      </c>
      <c r="O1146" t="e">
        <f>IF(tblPassengerNames[[#This Row],[P_NSpaces]] = 0,
    tblPassengerNames[[#This Row],[InParenthesesCleaned]],
    LEFT(tblPassengerNames[[#This Row],[InParenthesesCleaned]], tblPassengerNames[[#This Row],[P_FinalSpacePos]] - 1)
)</f>
        <v>#VALUE!</v>
      </c>
      <c r="P1146" t="str">
        <f>IFERROR(tblPassengerNames[[#This Row],[P_Forenames]], tblPassengerNames[[#This Row],[ConvForenames]])</f>
        <v>Eric</v>
      </c>
      <c r="Q1146" t="str">
        <f>MID(tblPassengerNames[[#This Row],[Name]], tblPassengerNames[[#This Row],[CommaPos]] + 2, tblPassengerNames[[#This Row],[DotPos]] - tblPassengerNames[[#This Row],[CommaPos]] - 1)</f>
        <v>Master.</v>
      </c>
      <c r="R1146" t="str">
        <f>LEFT(tblPassengerNames[[#This Row],[Name]], tblPassengerNames[[#This Row],[CommaPos]] - 1)</f>
        <v>Rice</v>
      </c>
    </row>
    <row r="1147" spans="2:18" x14ac:dyDescent="0.25">
      <c r="B1147" s="21">
        <v>1145</v>
      </c>
      <c r="C1147" s="21" t="s">
        <v>1279</v>
      </c>
      <c r="D1147" s="21" t="s">
        <v>138</v>
      </c>
      <c r="E1147">
        <f>FIND(",", tblPassengerNames[[#This Row],[Name]])</f>
        <v>5</v>
      </c>
      <c r="F1147">
        <f>FIND(".", tblPassengerNames[[#This Row],[Name]])</f>
        <v>13</v>
      </c>
      <c r="G1147" t="e">
        <f>FIND("(", tblPassengerNames[[#This Row],[Name]])</f>
        <v>#VALUE!</v>
      </c>
      <c r="H1147" t="e">
        <f>FIND(")", tblPassengerNames[[#This Row],[Name]])</f>
        <v>#VALUE!</v>
      </c>
      <c r="I1147">
        <f>IFERROR(tblPassengerNames[[#This Row],[OpenParPos]] - 2, LEN(tblPassengerNames[[#This Row],[Name]]))</f>
        <v>20</v>
      </c>
      <c r="J1147" t="str">
        <f>MID(tblPassengerNames[[#This Row],[Name]], tblPassengerNames[[#This Row],[DotPos]] + 2, tblPassengerNames[[#This Row],[EndOfConvFNPos]] - tblPassengerNames[[#This Row],[DotPos]] - 1)</f>
        <v>Eugene</v>
      </c>
      <c r="K1147" t="e">
        <f>MID(tblPassengerNames[[#This Row],[Name]], tblPassengerNames[[#This Row],[OpenParPos]] + 1, tblPassengerNames[[#This Row],[CloseParPos]] - tblPassengerNames[[#This Row],[OpenParPos]] - 1)</f>
        <v>#VALUE!</v>
      </c>
      <c r="L1147" t="e">
        <f>IF(AND(LEFT(tblPassengerNames[[#This Row],[InParentheses]], 1) = "'", RIGHT(tblPassengerNames[[#This Row],[InParentheses]], 1) = "'"),
    #VALUE!,
    tblPassengerNames[[#This Row],[InParentheses]]
)</f>
        <v>#VALUE!</v>
      </c>
      <c r="M1147" t="e">
        <f>LEN(tblPassengerNames[[#This Row],[InParenthesesCleaned]]) - LEN(SUBSTITUTE(tblPassengerNames[[#This Row],[InParenthesesCleaned]], " ", ""))</f>
        <v>#VALUE!</v>
      </c>
      <c r="N1147" t="e">
        <f>FIND("@", SUBSTITUTE(tblPassengerNames[[#This Row],[InParenthesesCleaned]], " ", "@", tblPassengerNames[[#This Row],[P_NSpaces]]))</f>
        <v>#VALUE!</v>
      </c>
      <c r="O1147" t="e">
        <f>IF(tblPassengerNames[[#This Row],[P_NSpaces]] = 0,
    tblPassengerNames[[#This Row],[InParenthesesCleaned]],
    LEFT(tblPassengerNames[[#This Row],[InParenthesesCleaned]], tblPassengerNames[[#This Row],[P_FinalSpacePos]] - 1)
)</f>
        <v>#VALUE!</v>
      </c>
      <c r="P1147" t="str">
        <f>IFERROR(tblPassengerNames[[#This Row],[P_Forenames]], tblPassengerNames[[#This Row],[ConvForenames]])</f>
        <v>Eugene</v>
      </c>
      <c r="Q1147" t="str">
        <f>MID(tblPassengerNames[[#This Row],[Name]], tblPassengerNames[[#This Row],[CommaPos]] + 2, tblPassengerNames[[#This Row],[DotPos]] - tblPassengerNames[[#This Row],[CommaPos]] - 1)</f>
        <v>Master.</v>
      </c>
      <c r="R1147" t="str">
        <f>LEFT(tblPassengerNames[[#This Row],[Name]], tblPassengerNames[[#This Row],[CommaPos]] - 1)</f>
        <v>Rice</v>
      </c>
    </row>
    <row r="1148" spans="2:18" x14ac:dyDescent="0.25">
      <c r="B1148" s="21">
        <v>1146</v>
      </c>
      <c r="C1148" s="21" t="s">
        <v>1280</v>
      </c>
      <c r="D1148" s="21" t="s">
        <v>138</v>
      </c>
      <c r="E1148">
        <f>FIND(",", tblPassengerNames[[#This Row],[Name]])</f>
        <v>5</v>
      </c>
      <c r="F1148">
        <f>FIND(".", tblPassengerNames[[#This Row],[Name]])</f>
        <v>13</v>
      </c>
      <c r="G1148" t="e">
        <f>FIND("(", tblPassengerNames[[#This Row],[Name]])</f>
        <v>#VALUE!</v>
      </c>
      <c r="H1148" t="e">
        <f>FIND(")", tblPassengerNames[[#This Row],[Name]])</f>
        <v>#VALUE!</v>
      </c>
      <c r="I1148">
        <f>IFERROR(tblPassengerNames[[#This Row],[OpenParPos]] - 2, LEN(tblPassengerNames[[#This Row],[Name]]))</f>
        <v>25</v>
      </c>
      <c r="J1148" t="str">
        <f>MID(tblPassengerNames[[#This Row],[Name]], tblPassengerNames[[#This Row],[DotPos]] + 2, tblPassengerNames[[#This Row],[EndOfConvFNPos]] - tblPassengerNames[[#This Row],[DotPos]] - 1)</f>
        <v>George Hugh</v>
      </c>
      <c r="K1148" t="e">
        <f>MID(tblPassengerNames[[#This Row],[Name]], tblPassengerNames[[#This Row],[OpenParPos]] + 1, tblPassengerNames[[#This Row],[CloseParPos]] - tblPassengerNames[[#This Row],[OpenParPos]] - 1)</f>
        <v>#VALUE!</v>
      </c>
      <c r="L1148" t="e">
        <f>IF(AND(LEFT(tblPassengerNames[[#This Row],[InParentheses]], 1) = "'", RIGHT(tblPassengerNames[[#This Row],[InParentheses]], 1) = "'"),
    #VALUE!,
    tblPassengerNames[[#This Row],[InParentheses]]
)</f>
        <v>#VALUE!</v>
      </c>
      <c r="M1148" t="e">
        <f>LEN(tblPassengerNames[[#This Row],[InParenthesesCleaned]]) - LEN(SUBSTITUTE(tblPassengerNames[[#This Row],[InParenthesesCleaned]], " ", ""))</f>
        <v>#VALUE!</v>
      </c>
      <c r="N1148" t="e">
        <f>FIND("@", SUBSTITUTE(tblPassengerNames[[#This Row],[InParenthesesCleaned]], " ", "@", tblPassengerNames[[#This Row],[P_NSpaces]]))</f>
        <v>#VALUE!</v>
      </c>
      <c r="O1148" t="e">
        <f>IF(tblPassengerNames[[#This Row],[P_NSpaces]] = 0,
    tblPassengerNames[[#This Row],[InParenthesesCleaned]],
    LEFT(tblPassengerNames[[#This Row],[InParenthesesCleaned]], tblPassengerNames[[#This Row],[P_FinalSpacePos]] - 1)
)</f>
        <v>#VALUE!</v>
      </c>
      <c r="P1148" t="str">
        <f>IFERROR(tblPassengerNames[[#This Row],[P_Forenames]], tblPassengerNames[[#This Row],[ConvForenames]])</f>
        <v>George Hugh</v>
      </c>
      <c r="Q1148" t="str">
        <f>MID(tblPassengerNames[[#This Row],[Name]], tblPassengerNames[[#This Row],[CommaPos]] + 2, tblPassengerNames[[#This Row],[DotPos]] - tblPassengerNames[[#This Row],[CommaPos]] - 1)</f>
        <v>Master.</v>
      </c>
      <c r="R1148" t="str">
        <f>LEFT(tblPassengerNames[[#This Row],[Name]], tblPassengerNames[[#This Row],[CommaPos]] - 1)</f>
        <v>Rice</v>
      </c>
    </row>
    <row r="1149" spans="2:18" x14ac:dyDescent="0.25">
      <c r="B1149" s="21">
        <v>1147</v>
      </c>
      <c r="C1149" s="21" t="s">
        <v>1281</v>
      </c>
      <c r="D1149" s="21" t="s">
        <v>136</v>
      </c>
      <c r="E1149">
        <f>FIND(",", tblPassengerNames[[#This Row],[Name]])</f>
        <v>5</v>
      </c>
      <c r="F1149">
        <f>FIND(".", tblPassengerNames[[#This Row],[Name]])</f>
        <v>10</v>
      </c>
      <c r="G1149">
        <f>FIND("(", tblPassengerNames[[#This Row],[Name]])</f>
        <v>20</v>
      </c>
      <c r="H1149">
        <f>FIND(")", tblPassengerNames[[#This Row],[Name]])</f>
        <v>36</v>
      </c>
      <c r="I1149">
        <f>IFERROR(tblPassengerNames[[#This Row],[OpenParPos]] - 2, LEN(tblPassengerNames[[#This Row],[Name]]))</f>
        <v>18</v>
      </c>
      <c r="J1149" t="str">
        <f>MID(tblPassengerNames[[#This Row],[Name]], tblPassengerNames[[#This Row],[DotPos]] + 2, tblPassengerNames[[#This Row],[EndOfConvFNPos]] - tblPassengerNames[[#This Row],[DotPos]] - 1)</f>
        <v>William</v>
      </c>
      <c r="K1149" t="str">
        <f>MID(tblPassengerNames[[#This Row],[Name]], tblPassengerNames[[#This Row],[OpenParPos]] + 1, tblPassengerNames[[#This Row],[CloseParPos]] - tblPassengerNames[[#This Row],[OpenParPos]] - 1)</f>
        <v>Margaret Norton</v>
      </c>
      <c r="L1149" t="str">
        <f>IF(AND(LEFT(tblPassengerNames[[#This Row],[InParentheses]], 1) = "'", RIGHT(tblPassengerNames[[#This Row],[InParentheses]], 1) = "'"),
    #VALUE!,
    tblPassengerNames[[#This Row],[InParentheses]]
)</f>
        <v>Margaret Norton</v>
      </c>
      <c r="M1149">
        <f>LEN(tblPassengerNames[[#This Row],[InParenthesesCleaned]]) - LEN(SUBSTITUTE(tblPassengerNames[[#This Row],[InParenthesesCleaned]], " ", ""))</f>
        <v>1</v>
      </c>
      <c r="N1149">
        <f>FIND("@", SUBSTITUTE(tblPassengerNames[[#This Row],[InParenthesesCleaned]], " ", "@", tblPassengerNames[[#This Row],[P_NSpaces]]))</f>
        <v>9</v>
      </c>
      <c r="O1149" t="str">
        <f>IF(tblPassengerNames[[#This Row],[P_NSpaces]] = 0,
    tblPassengerNames[[#This Row],[InParenthesesCleaned]],
    LEFT(tblPassengerNames[[#This Row],[InParenthesesCleaned]], tblPassengerNames[[#This Row],[P_FinalSpacePos]] - 1)
)</f>
        <v>Margaret</v>
      </c>
      <c r="P1149" t="str">
        <f>IFERROR(tblPassengerNames[[#This Row],[P_Forenames]], tblPassengerNames[[#This Row],[ConvForenames]])</f>
        <v>Margaret</v>
      </c>
      <c r="Q1149" t="str">
        <f>MID(tblPassengerNames[[#This Row],[Name]], tblPassengerNames[[#This Row],[CommaPos]] + 2, tblPassengerNames[[#This Row],[DotPos]] - tblPassengerNames[[#This Row],[CommaPos]] - 1)</f>
        <v>Mrs.</v>
      </c>
      <c r="R1149" t="str">
        <f>LEFT(tblPassengerNames[[#This Row],[Name]], tblPassengerNames[[#This Row],[CommaPos]] - 1)</f>
        <v>Rice</v>
      </c>
    </row>
    <row r="1150" spans="2:18" x14ac:dyDescent="0.25">
      <c r="B1150" s="21">
        <v>1148</v>
      </c>
      <c r="C1150" s="21" t="s">
        <v>1282</v>
      </c>
      <c r="D1150" s="21" t="s">
        <v>136</v>
      </c>
      <c r="E1150">
        <f>FIND(",", tblPassengerNames[[#This Row],[Name]])</f>
        <v>11</v>
      </c>
      <c r="F1150">
        <f>FIND(".", tblPassengerNames[[#This Row],[Name]])</f>
        <v>17</v>
      </c>
      <c r="G1150" t="e">
        <f>FIND("(", tblPassengerNames[[#This Row],[Name]])</f>
        <v>#VALUE!</v>
      </c>
      <c r="H1150" t="e">
        <f>FIND(")", tblPassengerNames[[#This Row],[Name]])</f>
        <v>#VALUE!</v>
      </c>
      <c r="I1150">
        <f>IFERROR(tblPassengerNames[[#This Row],[OpenParPos]] - 2, LEN(tblPassengerNames[[#This Row],[Name]]))</f>
        <v>44</v>
      </c>
      <c r="J1150" t="str">
        <f>MID(tblPassengerNames[[#This Row],[Name]], tblPassengerNames[[#This Row],[DotPos]] + 2, tblPassengerNames[[#This Row],[EndOfConvFNPos]] - tblPassengerNames[[#This Row],[DotPos]] - 1)</f>
        <v>Susanna Juhantytar 'Sanni'</v>
      </c>
      <c r="K1150" t="e">
        <f>MID(tblPassengerNames[[#This Row],[Name]], tblPassengerNames[[#This Row],[OpenParPos]] + 1, tblPassengerNames[[#This Row],[CloseParPos]] - tblPassengerNames[[#This Row],[OpenParPos]] - 1)</f>
        <v>#VALUE!</v>
      </c>
      <c r="L1150" t="e">
        <f>IF(AND(LEFT(tblPassengerNames[[#This Row],[InParentheses]], 1) = "'", RIGHT(tblPassengerNames[[#This Row],[InParentheses]], 1) = "'"),
    #VALUE!,
    tblPassengerNames[[#This Row],[InParentheses]]
)</f>
        <v>#VALUE!</v>
      </c>
      <c r="M1150" t="e">
        <f>LEN(tblPassengerNames[[#This Row],[InParenthesesCleaned]]) - LEN(SUBSTITUTE(tblPassengerNames[[#This Row],[InParenthesesCleaned]], " ", ""))</f>
        <v>#VALUE!</v>
      </c>
      <c r="N1150" t="e">
        <f>FIND("@", SUBSTITUTE(tblPassengerNames[[#This Row],[InParenthesesCleaned]], " ", "@", tblPassengerNames[[#This Row],[P_NSpaces]]))</f>
        <v>#VALUE!</v>
      </c>
      <c r="O1150" t="e">
        <f>IF(tblPassengerNames[[#This Row],[P_NSpaces]] = 0,
    tblPassengerNames[[#This Row],[InParenthesesCleaned]],
    LEFT(tblPassengerNames[[#This Row],[InParenthesesCleaned]], tblPassengerNames[[#This Row],[P_FinalSpacePos]] - 1)
)</f>
        <v>#VALUE!</v>
      </c>
      <c r="P1150" t="str">
        <f>IFERROR(tblPassengerNames[[#This Row],[P_Forenames]], tblPassengerNames[[#This Row],[ConvForenames]])</f>
        <v>Susanna Juhantytar 'Sanni'</v>
      </c>
      <c r="Q1150" t="str">
        <f>MID(tblPassengerNames[[#This Row],[Name]], tblPassengerNames[[#This Row],[CommaPos]] + 2, tblPassengerNames[[#This Row],[DotPos]] - tblPassengerNames[[#This Row],[CommaPos]] - 1)</f>
        <v>Miss.</v>
      </c>
      <c r="R1150" t="str">
        <f>LEFT(tblPassengerNames[[#This Row],[Name]], tblPassengerNames[[#This Row],[CommaPos]] - 1)</f>
        <v>Riihivouri</v>
      </c>
    </row>
    <row r="1151" spans="2:18" x14ac:dyDescent="0.25">
      <c r="B1151" s="21">
        <v>1149</v>
      </c>
      <c r="C1151" s="21" t="s">
        <v>1283</v>
      </c>
      <c r="D1151" s="21" t="s">
        <v>138</v>
      </c>
      <c r="E1151">
        <f>FIND(",", tblPassengerNames[[#This Row],[Name]])</f>
        <v>10</v>
      </c>
      <c r="F1151">
        <f>FIND(".", tblPassengerNames[[#This Row],[Name]])</f>
        <v>14</v>
      </c>
      <c r="G1151" t="e">
        <f>FIND("(", tblPassengerNames[[#This Row],[Name]])</f>
        <v>#VALUE!</v>
      </c>
      <c r="H1151" t="e">
        <f>FIND(")", tblPassengerNames[[#This Row],[Name]])</f>
        <v>#VALUE!</v>
      </c>
      <c r="I1151">
        <f>IFERROR(tblPassengerNames[[#This Row],[OpenParPos]] - 2, LEN(tblPassengerNames[[#This Row],[Name]]))</f>
        <v>20</v>
      </c>
      <c r="J1151" t="str">
        <f>MID(tblPassengerNames[[#This Row],[Name]], tblPassengerNames[[#This Row],[DotPos]] + 2, tblPassengerNames[[#This Row],[EndOfConvFNPos]] - tblPassengerNames[[#This Row],[DotPos]] - 1)</f>
        <v>Matti</v>
      </c>
      <c r="K1151" t="e">
        <f>MID(tblPassengerNames[[#This Row],[Name]], tblPassengerNames[[#This Row],[OpenParPos]] + 1, tblPassengerNames[[#This Row],[CloseParPos]] - tblPassengerNames[[#This Row],[OpenParPos]] - 1)</f>
        <v>#VALUE!</v>
      </c>
      <c r="L1151" t="e">
        <f>IF(AND(LEFT(tblPassengerNames[[#This Row],[InParentheses]], 1) = "'", RIGHT(tblPassengerNames[[#This Row],[InParentheses]], 1) = "'"),
    #VALUE!,
    tblPassengerNames[[#This Row],[InParentheses]]
)</f>
        <v>#VALUE!</v>
      </c>
      <c r="M1151" t="e">
        <f>LEN(tblPassengerNames[[#This Row],[InParenthesesCleaned]]) - LEN(SUBSTITUTE(tblPassengerNames[[#This Row],[InParenthesesCleaned]], " ", ""))</f>
        <v>#VALUE!</v>
      </c>
      <c r="N1151" t="e">
        <f>FIND("@", SUBSTITUTE(tblPassengerNames[[#This Row],[InParenthesesCleaned]], " ", "@", tblPassengerNames[[#This Row],[P_NSpaces]]))</f>
        <v>#VALUE!</v>
      </c>
      <c r="O1151" t="e">
        <f>IF(tblPassengerNames[[#This Row],[P_NSpaces]] = 0,
    tblPassengerNames[[#This Row],[InParenthesesCleaned]],
    LEFT(tblPassengerNames[[#This Row],[InParenthesesCleaned]], tblPassengerNames[[#This Row],[P_FinalSpacePos]] - 1)
)</f>
        <v>#VALUE!</v>
      </c>
      <c r="P1151" t="str">
        <f>IFERROR(tblPassengerNames[[#This Row],[P_Forenames]], tblPassengerNames[[#This Row],[ConvForenames]])</f>
        <v>Matti</v>
      </c>
      <c r="Q1151" t="str">
        <f>MID(tblPassengerNames[[#This Row],[Name]], tblPassengerNames[[#This Row],[CommaPos]] + 2, tblPassengerNames[[#This Row],[DotPos]] - tblPassengerNames[[#This Row],[CommaPos]] - 1)</f>
        <v>Mr.</v>
      </c>
      <c r="R1151" t="str">
        <f>LEFT(tblPassengerNames[[#This Row],[Name]], tblPassengerNames[[#This Row],[CommaPos]] - 1)</f>
        <v>Rintamaki</v>
      </c>
    </row>
    <row r="1152" spans="2:18" x14ac:dyDescent="0.25">
      <c r="B1152" s="21">
        <v>1150</v>
      </c>
      <c r="C1152" s="21" t="s">
        <v>1284</v>
      </c>
      <c r="D1152" s="21" t="s">
        <v>136</v>
      </c>
      <c r="E1152">
        <f>FIND(",", tblPassengerNames[[#This Row],[Name]])</f>
        <v>8</v>
      </c>
      <c r="F1152">
        <f>FIND(".", tblPassengerNames[[#This Row],[Name]])</f>
        <v>14</v>
      </c>
      <c r="G1152" t="e">
        <f>FIND("(", tblPassengerNames[[#This Row],[Name]])</f>
        <v>#VALUE!</v>
      </c>
      <c r="H1152" t="e">
        <f>FIND(")", tblPassengerNames[[#This Row],[Name]])</f>
        <v>#VALUE!</v>
      </c>
      <c r="I1152">
        <f>IFERROR(tblPassengerNames[[#This Row],[OpenParPos]] - 2, LEN(tblPassengerNames[[#This Row],[Name]]))</f>
        <v>31</v>
      </c>
      <c r="J1152" t="str">
        <f>MID(tblPassengerNames[[#This Row],[Name]], tblPassengerNames[[#This Row],[DotPos]] + 2, tblPassengerNames[[#This Row],[EndOfConvFNPos]] - tblPassengerNames[[#This Row],[DotPos]] - 1)</f>
        <v>Johanna 'Hannah'</v>
      </c>
      <c r="K1152" t="e">
        <f>MID(tblPassengerNames[[#This Row],[Name]], tblPassengerNames[[#This Row],[OpenParPos]] + 1, tblPassengerNames[[#This Row],[CloseParPos]] - tblPassengerNames[[#This Row],[OpenParPos]] - 1)</f>
        <v>#VALUE!</v>
      </c>
      <c r="L1152" t="e">
        <f>IF(AND(LEFT(tblPassengerNames[[#This Row],[InParentheses]], 1) = "'", RIGHT(tblPassengerNames[[#This Row],[InParentheses]], 1) = "'"),
    #VALUE!,
    tblPassengerNames[[#This Row],[InParentheses]]
)</f>
        <v>#VALUE!</v>
      </c>
      <c r="M1152" t="e">
        <f>LEN(tblPassengerNames[[#This Row],[InParenthesesCleaned]]) - LEN(SUBSTITUTE(tblPassengerNames[[#This Row],[InParenthesesCleaned]], " ", ""))</f>
        <v>#VALUE!</v>
      </c>
      <c r="N1152" t="e">
        <f>FIND("@", SUBSTITUTE(tblPassengerNames[[#This Row],[InParenthesesCleaned]], " ", "@", tblPassengerNames[[#This Row],[P_NSpaces]]))</f>
        <v>#VALUE!</v>
      </c>
      <c r="O1152" t="e">
        <f>IF(tblPassengerNames[[#This Row],[P_NSpaces]] = 0,
    tblPassengerNames[[#This Row],[InParenthesesCleaned]],
    LEFT(tblPassengerNames[[#This Row],[InParenthesesCleaned]], tblPassengerNames[[#This Row],[P_FinalSpacePos]] - 1)
)</f>
        <v>#VALUE!</v>
      </c>
      <c r="P1152" t="str">
        <f>IFERROR(tblPassengerNames[[#This Row],[P_Forenames]], tblPassengerNames[[#This Row],[ConvForenames]])</f>
        <v>Johanna 'Hannah'</v>
      </c>
      <c r="Q1152" t="str">
        <f>MID(tblPassengerNames[[#This Row],[Name]], tblPassengerNames[[#This Row],[CommaPos]] + 2, tblPassengerNames[[#This Row],[DotPos]] - tblPassengerNames[[#This Row],[CommaPos]] - 1)</f>
        <v>Miss.</v>
      </c>
      <c r="R1152" t="str">
        <f>LEFT(tblPassengerNames[[#This Row],[Name]], tblPassengerNames[[#This Row],[CommaPos]] - 1)</f>
        <v>Riordan</v>
      </c>
    </row>
    <row r="1153" spans="2:18" x14ac:dyDescent="0.25">
      <c r="B1153" s="21">
        <v>1151</v>
      </c>
      <c r="C1153" s="21" t="s">
        <v>1285</v>
      </c>
      <c r="D1153" s="21" t="s">
        <v>138</v>
      </c>
      <c r="E1153">
        <f>FIND(",", tblPassengerNames[[#This Row],[Name]])</f>
        <v>7</v>
      </c>
      <c r="F1153">
        <f>FIND(".", tblPassengerNames[[#This Row],[Name]])</f>
        <v>11</v>
      </c>
      <c r="G1153" t="e">
        <f>FIND("(", tblPassengerNames[[#This Row],[Name]])</f>
        <v>#VALUE!</v>
      </c>
      <c r="H1153" t="e">
        <f>FIND(")", tblPassengerNames[[#This Row],[Name]])</f>
        <v>#VALUE!</v>
      </c>
      <c r="I1153">
        <f>IFERROR(tblPassengerNames[[#This Row],[OpenParPos]] - 2, LEN(tblPassengerNames[[#This Row],[Name]]))</f>
        <v>24</v>
      </c>
      <c r="J1153" t="str">
        <f>MID(tblPassengerNames[[#This Row],[Name]], tblPassengerNames[[#This Row],[DotPos]] + 2, tblPassengerNames[[#This Row],[EndOfConvFNPos]] - tblPassengerNames[[#This Row],[DotPos]] - 1)</f>
        <v>Samuel Beard</v>
      </c>
      <c r="K1153" t="e">
        <f>MID(tblPassengerNames[[#This Row],[Name]], tblPassengerNames[[#This Row],[OpenParPos]] + 1, tblPassengerNames[[#This Row],[CloseParPos]] - tblPassengerNames[[#This Row],[OpenParPos]] - 1)</f>
        <v>#VALUE!</v>
      </c>
      <c r="L1153" t="e">
        <f>IF(AND(LEFT(tblPassengerNames[[#This Row],[InParentheses]], 1) = "'", RIGHT(tblPassengerNames[[#This Row],[InParentheses]], 1) = "'"),
    #VALUE!,
    tblPassengerNames[[#This Row],[InParentheses]]
)</f>
        <v>#VALUE!</v>
      </c>
      <c r="M1153" t="e">
        <f>LEN(tblPassengerNames[[#This Row],[InParenthesesCleaned]]) - LEN(SUBSTITUTE(tblPassengerNames[[#This Row],[InParenthesesCleaned]], " ", ""))</f>
        <v>#VALUE!</v>
      </c>
      <c r="N1153" t="e">
        <f>FIND("@", SUBSTITUTE(tblPassengerNames[[#This Row],[InParenthesesCleaned]], " ", "@", tblPassengerNames[[#This Row],[P_NSpaces]]))</f>
        <v>#VALUE!</v>
      </c>
      <c r="O1153" t="e">
        <f>IF(tblPassengerNames[[#This Row],[P_NSpaces]] = 0,
    tblPassengerNames[[#This Row],[InParenthesesCleaned]],
    LEFT(tblPassengerNames[[#This Row],[InParenthesesCleaned]], tblPassengerNames[[#This Row],[P_FinalSpacePos]] - 1)
)</f>
        <v>#VALUE!</v>
      </c>
      <c r="P1153" t="str">
        <f>IFERROR(tblPassengerNames[[#This Row],[P_Forenames]], tblPassengerNames[[#This Row],[ConvForenames]])</f>
        <v>Samuel Beard</v>
      </c>
      <c r="Q1153" t="str">
        <f>MID(tblPassengerNames[[#This Row],[Name]], tblPassengerNames[[#This Row],[CommaPos]] + 2, tblPassengerNames[[#This Row],[DotPos]] - tblPassengerNames[[#This Row],[CommaPos]] - 1)</f>
        <v>Mr.</v>
      </c>
      <c r="R1153" t="str">
        <f>LEFT(tblPassengerNames[[#This Row],[Name]], tblPassengerNames[[#This Row],[CommaPos]] - 1)</f>
        <v>Risien</v>
      </c>
    </row>
    <row r="1154" spans="2:18" x14ac:dyDescent="0.25">
      <c r="B1154" s="21">
        <v>1152</v>
      </c>
      <c r="C1154" s="21" t="s">
        <v>1286</v>
      </c>
      <c r="D1154" s="21" t="s">
        <v>136</v>
      </c>
      <c r="E1154">
        <f>FIND(",", tblPassengerNames[[#This Row],[Name]])</f>
        <v>7</v>
      </c>
      <c r="F1154">
        <f>FIND(".", tblPassengerNames[[#This Row],[Name]])</f>
        <v>12</v>
      </c>
      <c r="G1154">
        <f>FIND("(", tblPassengerNames[[#This Row],[Name]])</f>
        <v>21</v>
      </c>
      <c r="H1154">
        <f>FIND(")", tblPassengerNames[[#This Row],[Name]])</f>
        <v>26</v>
      </c>
      <c r="I1154">
        <f>IFERROR(tblPassengerNames[[#This Row],[OpenParPos]] - 2, LEN(tblPassengerNames[[#This Row],[Name]]))</f>
        <v>19</v>
      </c>
      <c r="J1154" t="str">
        <f>MID(tblPassengerNames[[#This Row],[Name]], tblPassengerNames[[#This Row],[DotPos]] + 2, tblPassengerNames[[#This Row],[EndOfConvFNPos]] - tblPassengerNames[[#This Row],[DotPos]] - 1)</f>
        <v>Samuel</v>
      </c>
      <c r="K1154" t="str">
        <f>MID(tblPassengerNames[[#This Row],[Name]], tblPassengerNames[[#This Row],[OpenParPos]] + 1, tblPassengerNames[[#This Row],[CloseParPos]] - tblPassengerNames[[#This Row],[OpenParPos]] - 1)</f>
        <v>Emma</v>
      </c>
      <c r="L1154" t="str">
        <f>IF(AND(LEFT(tblPassengerNames[[#This Row],[InParentheses]], 1) = "'", RIGHT(tblPassengerNames[[#This Row],[InParentheses]], 1) = "'"),
    #VALUE!,
    tblPassengerNames[[#This Row],[InParentheses]]
)</f>
        <v>Emma</v>
      </c>
      <c r="M1154">
        <f>LEN(tblPassengerNames[[#This Row],[InParenthesesCleaned]]) - LEN(SUBSTITUTE(tblPassengerNames[[#This Row],[InParenthesesCleaned]], " ", ""))</f>
        <v>0</v>
      </c>
      <c r="N1154" t="e">
        <f>FIND("@", SUBSTITUTE(tblPassengerNames[[#This Row],[InParenthesesCleaned]], " ", "@", tblPassengerNames[[#This Row],[P_NSpaces]]))</f>
        <v>#VALUE!</v>
      </c>
      <c r="O1154" t="str">
        <f>IF(tblPassengerNames[[#This Row],[P_NSpaces]] = 0,
    tblPassengerNames[[#This Row],[InParenthesesCleaned]],
    LEFT(tblPassengerNames[[#This Row],[InParenthesesCleaned]], tblPassengerNames[[#This Row],[P_FinalSpacePos]] - 1)
)</f>
        <v>Emma</v>
      </c>
      <c r="P1154" t="str">
        <f>IFERROR(tblPassengerNames[[#This Row],[P_Forenames]], tblPassengerNames[[#This Row],[ConvForenames]])</f>
        <v>Emma</v>
      </c>
      <c r="Q1154" t="str">
        <f>MID(tblPassengerNames[[#This Row],[Name]], tblPassengerNames[[#This Row],[CommaPos]] + 2, tblPassengerNames[[#This Row],[DotPos]] - tblPassengerNames[[#This Row],[CommaPos]] - 1)</f>
        <v>Mrs.</v>
      </c>
      <c r="R1154" t="str">
        <f>LEFT(tblPassengerNames[[#This Row],[Name]], tblPassengerNames[[#This Row],[CommaPos]] - 1)</f>
        <v>Risien</v>
      </c>
    </row>
    <row r="1155" spans="2:18" x14ac:dyDescent="0.25">
      <c r="B1155" s="21">
        <v>1153</v>
      </c>
      <c r="C1155" s="21" t="s">
        <v>1287</v>
      </c>
      <c r="D1155" s="21" t="s">
        <v>138</v>
      </c>
      <c r="E1155">
        <f>FIND(",", tblPassengerNames[[#This Row],[Name]])</f>
        <v>7</v>
      </c>
      <c r="F1155">
        <f>FIND(".", tblPassengerNames[[#This Row],[Name]])</f>
        <v>11</v>
      </c>
      <c r="G1155" t="e">
        <f>FIND("(", tblPassengerNames[[#This Row],[Name]])</f>
        <v>#VALUE!</v>
      </c>
      <c r="H1155" t="e">
        <f>FIND(")", tblPassengerNames[[#This Row],[Name]])</f>
        <v>#VALUE!</v>
      </c>
      <c r="I1155">
        <f>IFERROR(tblPassengerNames[[#This Row],[OpenParPos]] - 2, LEN(tblPassengerNames[[#This Row],[Name]]))</f>
        <v>23</v>
      </c>
      <c r="J1155" t="str">
        <f>MID(tblPassengerNames[[#This Row],[Name]], tblPassengerNames[[#This Row],[DotPos]] + 2, tblPassengerNames[[#This Row],[EndOfConvFNPos]] - tblPassengerNames[[#This Row],[DotPos]] - 1)</f>
        <v>Alexander A</v>
      </c>
      <c r="K1155" t="e">
        <f>MID(tblPassengerNames[[#This Row],[Name]], tblPassengerNames[[#This Row],[OpenParPos]] + 1, tblPassengerNames[[#This Row],[CloseParPos]] - tblPassengerNames[[#This Row],[OpenParPos]] - 1)</f>
        <v>#VALUE!</v>
      </c>
      <c r="L1155" t="e">
        <f>IF(AND(LEFT(tblPassengerNames[[#This Row],[InParentheses]], 1) = "'", RIGHT(tblPassengerNames[[#This Row],[InParentheses]], 1) = "'"),
    #VALUE!,
    tblPassengerNames[[#This Row],[InParentheses]]
)</f>
        <v>#VALUE!</v>
      </c>
      <c r="M1155" t="e">
        <f>LEN(tblPassengerNames[[#This Row],[InParenthesesCleaned]]) - LEN(SUBSTITUTE(tblPassengerNames[[#This Row],[InParenthesesCleaned]], " ", ""))</f>
        <v>#VALUE!</v>
      </c>
      <c r="N1155" t="e">
        <f>FIND("@", SUBSTITUTE(tblPassengerNames[[#This Row],[InParenthesesCleaned]], " ", "@", tblPassengerNames[[#This Row],[P_NSpaces]]))</f>
        <v>#VALUE!</v>
      </c>
      <c r="O1155" t="e">
        <f>IF(tblPassengerNames[[#This Row],[P_NSpaces]] = 0,
    tblPassengerNames[[#This Row],[InParenthesesCleaned]],
    LEFT(tblPassengerNames[[#This Row],[InParenthesesCleaned]], tblPassengerNames[[#This Row],[P_FinalSpacePos]] - 1)
)</f>
        <v>#VALUE!</v>
      </c>
      <c r="P1155" t="str">
        <f>IFERROR(tblPassengerNames[[#This Row],[P_Forenames]], tblPassengerNames[[#This Row],[ConvForenames]])</f>
        <v>Alexander A</v>
      </c>
      <c r="Q1155" t="str">
        <f>MID(tblPassengerNames[[#This Row],[Name]], tblPassengerNames[[#This Row],[CommaPos]] + 2, tblPassengerNames[[#This Row],[DotPos]] - tblPassengerNames[[#This Row],[CommaPos]] - 1)</f>
        <v>Mr.</v>
      </c>
      <c r="R1155" t="str">
        <f>LEFT(tblPassengerNames[[#This Row],[Name]], tblPassengerNames[[#This Row],[CommaPos]] - 1)</f>
        <v>Robins</v>
      </c>
    </row>
    <row r="1156" spans="2:18" x14ac:dyDescent="0.25">
      <c r="B1156" s="21">
        <v>1154</v>
      </c>
      <c r="C1156" s="21" t="s">
        <v>1288</v>
      </c>
      <c r="D1156" s="21" t="s">
        <v>136</v>
      </c>
      <c r="E1156">
        <f>FIND(",", tblPassengerNames[[#This Row],[Name]])</f>
        <v>7</v>
      </c>
      <c r="F1156">
        <f>FIND(".", tblPassengerNames[[#This Row],[Name]])</f>
        <v>12</v>
      </c>
      <c r="G1156">
        <f>FIND("(", tblPassengerNames[[#This Row],[Name]])</f>
        <v>26</v>
      </c>
      <c r="H1156">
        <f>FIND(")", tblPassengerNames[[#This Row],[Name]])</f>
        <v>46</v>
      </c>
      <c r="I1156">
        <f>IFERROR(tblPassengerNames[[#This Row],[OpenParPos]] - 2, LEN(tblPassengerNames[[#This Row],[Name]]))</f>
        <v>24</v>
      </c>
      <c r="J1156" t="str">
        <f>MID(tblPassengerNames[[#This Row],[Name]], tblPassengerNames[[#This Row],[DotPos]] + 2, tblPassengerNames[[#This Row],[EndOfConvFNPos]] - tblPassengerNames[[#This Row],[DotPos]] - 1)</f>
        <v>Alexander A</v>
      </c>
      <c r="K1156" t="str">
        <f>MID(tblPassengerNames[[#This Row],[Name]], tblPassengerNames[[#This Row],[OpenParPos]] + 1, tblPassengerNames[[#This Row],[CloseParPos]] - tblPassengerNames[[#This Row],[OpenParPos]] - 1)</f>
        <v>Grace Charity Laury</v>
      </c>
      <c r="L1156" t="str">
        <f>IF(AND(LEFT(tblPassengerNames[[#This Row],[InParentheses]], 1) = "'", RIGHT(tblPassengerNames[[#This Row],[InParentheses]], 1) = "'"),
    #VALUE!,
    tblPassengerNames[[#This Row],[InParentheses]]
)</f>
        <v>Grace Charity Laury</v>
      </c>
      <c r="M1156">
        <f>LEN(tblPassengerNames[[#This Row],[InParenthesesCleaned]]) - LEN(SUBSTITUTE(tblPassengerNames[[#This Row],[InParenthesesCleaned]], " ", ""))</f>
        <v>2</v>
      </c>
      <c r="N1156">
        <f>FIND("@", SUBSTITUTE(tblPassengerNames[[#This Row],[InParenthesesCleaned]], " ", "@", tblPassengerNames[[#This Row],[P_NSpaces]]))</f>
        <v>14</v>
      </c>
      <c r="O1156" t="str">
        <f>IF(tblPassengerNames[[#This Row],[P_NSpaces]] = 0,
    tblPassengerNames[[#This Row],[InParenthesesCleaned]],
    LEFT(tblPassengerNames[[#This Row],[InParenthesesCleaned]], tblPassengerNames[[#This Row],[P_FinalSpacePos]] - 1)
)</f>
        <v>Grace Charity</v>
      </c>
      <c r="P1156" t="str">
        <f>IFERROR(tblPassengerNames[[#This Row],[P_Forenames]], tblPassengerNames[[#This Row],[ConvForenames]])</f>
        <v>Grace Charity</v>
      </c>
      <c r="Q1156" t="str">
        <f>MID(tblPassengerNames[[#This Row],[Name]], tblPassengerNames[[#This Row],[CommaPos]] + 2, tblPassengerNames[[#This Row],[DotPos]] - tblPassengerNames[[#This Row],[CommaPos]] - 1)</f>
        <v>Mrs.</v>
      </c>
      <c r="R1156" t="str">
        <f>LEFT(tblPassengerNames[[#This Row],[Name]], tblPassengerNames[[#This Row],[CommaPos]] - 1)</f>
        <v>Robins</v>
      </c>
    </row>
    <row r="1157" spans="2:18" x14ac:dyDescent="0.25">
      <c r="B1157" s="21">
        <v>1155</v>
      </c>
      <c r="C1157" s="21" t="s">
        <v>1289</v>
      </c>
      <c r="D1157" s="21" t="s">
        <v>138</v>
      </c>
      <c r="E1157">
        <f>FIND(",", tblPassengerNames[[#This Row],[Name]])</f>
        <v>7</v>
      </c>
      <c r="F1157">
        <f>FIND(".", tblPassengerNames[[#This Row],[Name]])</f>
        <v>11</v>
      </c>
      <c r="G1157" t="e">
        <f>FIND("(", tblPassengerNames[[#This Row],[Name]])</f>
        <v>#VALUE!</v>
      </c>
      <c r="H1157" t="e">
        <f>FIND(")", tblPassengerNames[[#This Row],[Name]])</f>
        <v>#VALUE!</v>
      </c>
      <c r="I1157">
        <f>IFERROR(tblPassengerNames[[#This Row],[OpenParPos]] - 2, LEN(tblPassengerNames[[#This Row],[Name]]))</f>
        <v>24</v>
      </c>
      <c r="J1157" t="str">
        <f>MID(tblPassengerNames[[#This Row],[Name]], tblPassengerNames[[#This Row],[DotPos]] + 2, tblPassengerNames[[#This Row],[EndOfConvFNPos]] - tblPassengerNames[[#This Row],[DotPos]] - 1)</f>
        <v>William John</v>
      </c>
      <c r="K1157" t="e">
        <f>MID(tblPassengerNames[[#This Row],[Name]], tblPassengerNames[[#This Row],[OpenParPos]] + 1, tblPassengerNames[[#This Row],[CloseParPos]] - tblPassengerNames[[#This Row],[OpenParPos]] - 1)</f>
        <v>#VALUE!</v>
      </c>
      <c r="L1157" t="e">
        <f>IF(AND(LEFT(tblPassengerNames[[#This Row],[InParentheses]], 1) = "'", RIGHT(tblPassengerNames[[#This Row],[InParentheses]], 1) = "'"),
    #VALUE!,
    tblPassengerNames[[#This Row],[InParentheses]]
)</f>
        <v>#VALUE!</v>
      </c>
      <c r="M1157" t="e">
        <f>LEN(tblPassengerNames[[#This Row],[InParenthesesCleaned]]) - LEN(SUBSTITUTE(tblPassengerNames[[#This Row],[InParenthesesCleaned]], " ", ""))</f>
        <v>#VALUE!</v>
      </c>
      <c r="N1157" t="e">
        <f>FIND("@", SUBSTITUTE(tblPassengerNames[[#This Row],[InParenthesesCleaned]], " ", "@", tblPassengerNames[[#This Row],[P_NSpaces]]))</f>
        <v>#VALUE!</v>
      </c>
      <c r="O1157" t="e">
        <f>IF(tblPassengerNames[[#This Row],[P_NSpaces]] = 0,
    tblPassengerNames[[#This Row],[InParenthesesCleaned]],
    LEFT(tblPassengerNames[[#This Row],[InParenthesesCleaned]], tblPassengerNames[[#This Row],[P_FinalSpacePos]] - 1)
)</f>
        <v>#VALUE!</v>
      </c>
      <c r="P1157" t="str">
        <f>IFERROR(tblPassengerNames[[#This Row],[P_Forenames]], tblPassengerNames[[#This Row],[ConvForenames]])</f>
        <v>William John</v>
      </c>
      <c r="Q1157" t="str">
        <f>MID(tblPassengerNames[[#This Row],[Name]], tblPassengerNames[[#This Row],[CommaPos]] + 2, tblPassengerNames[[#This Row],[DotPos]] - tblPassengerNames[[#This Row],[CommaPos]] - 1)</f>
        <v>Mr.</v>
      </c>
      <c r="R1157" t="str">
        <f>LEFT(tblPassengerNames[[#This Row],[Name]], tblPassengerNames[[#This Row],[CommaPos]] - 1)</f>
        <v>Rogers</v>
      </c>
    </row>
    <row r="1158" spans="2:18" x14ac:dyDescent="0.25">
      <c r="B1158" s="21">
        <v>1156</v>
      </c>
      <c r="C1158" s="21" t="s">
        <v>1290</v>
      </c>
      <c r="D1158" s="21" t="s">
        <v>138</v>
      </c>
      <c r="E1158">
        <f>FIND(",", tblPassengerNames[[#This Row],[Name]])</f>
        <v>11</v>
      </c>
      <c r="F1158">
        <f>FIND(".", tblPassengerNames[[#This Row],[Name]])</f>
        <v>15</v>
      </c>
      <c r="G1158" t="e">
        <f>FIND("(", tblPassengerNames[[#This Row],[Name]])</f>
        <v>#VALUE!</v>
      </c>
      <c r="H1158" t="e">
        <f>FIND(")", tblPassengerNames[[#This Row],[Name]])</f>
        <v>#VALUE!</v>
      </c>
      <c r="I1158">
        <f>IFERROR(tblPassengerNames[[#This Row],[OpenParPos]] - 2, LEN(tblPassengerNames[[#This Row],[Name]]))</f>
        <v>26</v>
      </c>
      <c r="J1158" t="str">
        <f>MID(tblPassengerNames[[#This Row],[Name]], tblPassengerNames[[#This Row],[DotPos]] + 2, tblPassengerNames[[#This Row],[EndOfConvFNPos]] - tblPassengerNames[[#This Row],[DotPos]] - 1)</f>
        <v>Knud Paust</v>
      </c>
      <c r="K1158" t="e">
        <f>MID(tblPassengerNames[[#This Row],[Name]], tblPassengerNames[[#This Row],[OpenParPos]] + 1, tblPassengerNames[[#This Row],[CloseParPos]] - tblPassengerNames[[#This Row],[OpenParPos]] - 1)</f>
        <v>#VALUE!</v>
      </c>
      <c r="L1158" t="e">
        <f>IF(AND(LEFT(tblPassengerNames[[#This Row],[InParentheses]], 1) = "'", RIGHT(tblPassengerNames[[#This Row],[InParentheses]], 1) = "'"),
    #VALUE!,
    tblPassengerNames[[#This Row],[InParentheses]]
)</f>
        <v>#VALUE!</v>
      </c>
      <c r="M1158" t="e">
        <f>LEN(tblPassengerNames[[#This Row],[InParenthesesCleaned]]) - LEN(SUBSTITUTE(tblPassengerNames[[#This Row],[InParenthesesCleaned]], " ", ""))</f>
        <v>#VALUE!</v>
      </c>
      <c r="N1158" t="e">
        <f>FIND("@", SUBSTITUTE(tblPassengerNames[[#This Row],[InParenthesesCleaned]], " ", "@", tblPassengerNames[[#This Row],[P_NSpaces]]))</f>
        <v>#VALUE!</v>
      </c>
      <c r="O1158" t="e">
        <f>IF(tblPassengerNames[[#This Row],[P_NSpaces]] = 0,
    tblPassengerNames[[#This Row],[InParenthesesCleaned]],
    LEFT(tblPassengerNames[[#This Row],[InParenthesesCleaned]], tblPassengerNames[[#This Row],[P_FinalSpacePos]] - 1)
)</f>
        <v>#VALUE!</v>
      </c>
      <c r="P1158" t="str">
        <f>IFERROR(tblPassengerNames[[#This Row],[P_Forenames]], tblPassengerNames[[#This Row],[ConvForenames]])</f>
        <v>Knud Paust</v>
      </c>
      <c r="Q1158" t="str">
        <f>MID(tblPassengerNames[[#This Row],[Name]], tblPassengerNames[[#This Row],[CommaPos]] + 2, tblPassengerNames[[#This Row],[DotPos]] - tblPassengerNames[[#This Row],[CommaPos]] - 1)</f>
        <v>Mr.</v>
      </c>
      <c r="R1158" t="str">
        <f>LEFT(tblPassengerNames[[#This Row],[Name]], tblPassengerNames[[#This Row],[CommaPos]] - 1)</f>
        <v>Rommetvedt</v>
      </c>
    </row>
    <row r="1159" spans="2:18" x14ac:dyDescent="0.25">
      <c r="B1159" s="21">
        <v>1157</v>
      </c>
      <c r="C1159" s="21" t="s">
        <v>1291</v>
      </c>
      <c r="D1159" s="21" t="s">
        <v>136</v>
      </c>
      <c r="E1159">
        <f>FIND(",", tblPassengerNames[[#This Row],[Name]])</f>
        <v>8</v>
      </c>
      <c r="F1159">
        <f>FIND(".", tblPassengerNames[[#This Row],[Name]])</f>
        <v>14</v>
      </c>
      <c r="G1159" t="e">
        <f>FIND("(", tblPassengerNames[[#This Row],[Name]])</f>
        <v>#VALUE!</v>
      </c>
      <c r="H1159" t="e">
        <f>FIND(")", tblPassengerNames[[#This Row],[Name]])</f>
        <v>#VALUE!</v>
      </c>
      <c r="I1159">
        <f>IFERROR(tblPassengerNames[[#This Row],[OpenParPos]] - 2, LEN(tblPassengerNames[[#This Row],[Name]]))</f>
        <v>27</v>
      </c>
      <c r="J1159" t="str">
        <f>MID(tblPassengerNames[[#This Row],[Name]], tblPassengerNames[[#This Row],[DotPos]] + 2, tblPassengerNames[[#This Row],[EndOfConvFNPos]] - tblPassengerNames[[#This Row],[DotPos]] - 1)</f>
        <v>Salli Helena</v>
      </c>
      <c r="K1159" t="e">
        <f>MID(tblPassengerNames[[#This Row],[Name]], tblPassengerNames[[#This Row],[OpenParPos]] + 1, tblPassengerNames[[#This Row],[CloseParPos]] - tblPassengerNames[[#This Row],[OpenParPos]] - 1)</f>
        <v>#VALUE!</v>
      </c>
      <c r="L1159" t="e">
        <f>IF(AND(LEFT(tblPassengerNames[[#This Row],[InParentheses]], 1) = "'", RIGHT(tblPassengerNames[[#This Row],[InParentheses]], 1) = "'"),
    #VALUE!,
    tblPassengerNames[[#This Row],[InParentheses]]
)</f>
        <v>#VALUE!</v>
      </c>
      <c r="M1159" t="e">
        <f>LEN(tblPassengerNames[[#This Row],[InParenthesesCleaned]]) - LEN(SUBSTITUTE(tblPassengerNames[[#This Row],[InParenthesesCleaned]], " ", ""))</f>
        <v>#VALUE!</v>
      </c>
      <c r="N1159" t="e">
        <f>FIND("@", SUBSTITUTE(tblPassengerNames[[#This Row],[InParenthesesCleaned]], " ", "@", tblPassengerNames[[#This Row],[P_NSpaces]]))</f>
        <v>#VALUE!</v>
      </c>
      <c r="O1159" t="e">
        <f>IF(tblPassengerNames[[#This Row],[P_NSpaces]] = 0,
    tblPassengerNames[[#This Row],[InParenthesesCleaned]],
    LEFT(tblPassengerNames[[#This Row],[InParenthesesCleaned]], tblPassengerNames[[#This Row],[P_FinalSpacePos]] - 1)
)</f>
        <v>#VALUE!</v>
      </c>
      <c r="P1159" t="str">
        <f>IFERROR(tblPassengerNames[[#This Row],[P_Forenames]], tblPassengerNames[[#This Row],[ConvForenames]])</f>
        <v>Salli Helena</v>
      </c>
      <c r="Q1159" t="str">
        <f>MID(tblPassengerNames[[#This Row],[Name]], tblPassengerNames[[#This Row],[CommaPos]] + 2, tblPassengerNames[[#This Row],[DotPos]] - tblPassengerNames[[#This Row],[CommaPos]] - 1)</f>
        <v>Miss.</v>
      </c>
      <c r="R1159" t="str">
        <f>LEFT(tblPassengerNames[[#This Row],[Name]], tblPassengerNames[[#This Row],[CommaPos]] - 1)</f>
        <v>Rosblom</v>
      </c>
    </row>
    <row r="1160" spans="2:18" x14ac:dyDescent="0.25">
      <c r="B1160" s="21">
        <v>1158</v>
      </c>
      <c r="C1160" s="21" t="s">
        <v>1292</v>
      </c>
      <c r="D1160" s="21" t="s">
        <v>138</v>
      </c>
      <c r="E1160">
        <f>FIND(",", tblPassengerNames[[#This Row],[Name]])</f>
        <v>8</v>
      </c>
      <c r="F1160">
        <f>FIND(".", tblPassengerNames[[#This Row],[Name]])</f>
        <v>12</v>
      </c>
      <c r="G1160" t="e">
        <f>FIND("(", tblPassengerNames[[#This Row],[Name]])</f>
        <v>#VALUE!</v>
      </c>
      <c r="H1160" t="e">
        <f>FIND(")", tblPassengerNames[[#This Row],[Name]])</f>
        <v>#VALUE!</v>
      </c>
      <c r="I1160">
        <f>IFERROR(tblPassengerNames[[#This Row],[OpenParPos]] - 2, LEN(tblPassengerNames[[#This Row],[Name]]))</f>
        <v>27</v>
      </c>
      <c r="J1160" t="str">
        <f>MID(tblPassengerNames[[#This Row],[Name]], tblPassengerNames[[#This Row],[DotPos]] + 2, tblPassengerNames[[#This Row],[EndOfConvFNPos]] - tblPassengerNames[[#This Row],[DotPos]] - 1)</f>
        <v>Viktor Richard</v>
      </c>
      <c r="K1160" t="e">
        <f>MID(tblPassengerNames[[#This Row],[Name]], tblPassengerNames[[#This Row],[OpenParPos]] + 1, tblPassengerNames[[#This Row],[CloseParPos]] - tblPassengerNames[[#This Row],[OpenParPos]] - 1)</f>
        <v>#VALUE!</v>
      </c>
      <c r="L1160" t="e">
        <f>IF(AND(LEFT(tblPassengerNames[[#This Row],[InParentheses]], 1) = "'", RIGHT(tblPassengerNames[[#This Row],[InParentheses]], 1) = "'"),
    #VALUE!,
    tblPassengerNames[[#This Row],[InParentheses]]
)</f>
        <v>#VALUE!</v>
      </c>
      <c r="M1160" t="e">
        <f>LEN(tblPassengerNames[[#This Row],[InParenthesesCleaned]]) - LEN(SUBSTITUTE(tblPassengerNames[[#This Row],[InParenthesesCleaned]], " ", ""))</f>
        <v>#VALUE!</v>
      </c>
      <c r="N1160" t="e">
        <f>FIND("@", SUBSTITUTE(tblPassengerNames[[#This Row],[InParenthesesCleaned]], " ", "@", tblPassengerNames[[#This Row],[P_NSpaces]]))</f>
        <v>#VALUE!</v>
      </c>
      <c r="O1160" t="e">
        <f>IF(tblPassengerNames[[#This Row],[P_NSpaces]] = 0,
    tblPassengerNames[[#This Row],[InParenthesesCleaned]],
    LEFT(tblPassengerNames[[#This Row],[InParenthesesCleaned]], tblPassengerNames[[#This Row],[P_FinalSpacePos]] - 1)
)</f>
        <v>#VALUE!</v>
      </c>
      <c r="P1160" t="str">
        <f>IFERROR(tblPassengerNames[[#This Row],[P_Forenames]], tblPassengerNames[[#This Row],[ConvForenames]])</f>
        <v>Viktor Richard</v>
      </c>
      <c r="Q1160" t="str">
        <f>MID(tblPassengerNames[[#This Row],[Name]], tblPassengerNames[[#This Row],[CommaPos]] + 2, tblPassengerNames[[#This Row],[DotPos]] - tblPassengerNames[[#This Row],[CommaPos]] - 1)</f>
        <v>Mr.</v>
      </c>
      <c r="R1160" t="str">
        <f>LEFT(tblPassengerNames[[#This Row],[Name]], tblPassengerNames[[#This Row],[CommaPos]] - 1)</f>
        <v>Rosblom</v>
      </c>
    </row>
    <row r="1161" spans="2:18" x14ac:dyDescent="0.25">
      <c r="B1161" s="21">
        <v>1159</v>
      </c>
      <c r="C1161" s="21" t="s">
        <v>1293</v>
      </c>
      <c r="D1161" s="21" t="s">
        <v>136</v>
      </c>
      <c r="E1161">
        <f>FIND(",", tblPassengerNames[[#This Row],[Name]])</f>
        <v>8</v>
      </c>
      <c r="F1161">
        <f>FIND(".", tblPassengerNames[[#This Row],[Name]])</f>
        <v>13</v>
      </c>
      <c r="G1161">
        <f>FIND("(", tblPassengerNames[[#This Row],[Name]])</f>
        <v>22</v>
      </c>
      <c r="H1161">
        <f>FIND(")", tblPassengerNames[[#This Row],[Name]])</f>
        <v>40</v>
      </c>
      <c r="I1161">
        <f>IFERROR(tblPassengerNames[[#This Row],[OpenParPos]] - 2, LEN(tblPassengerNames[[#This Row],[Name]]))</f>
        <v>20</v>
      </c>
      <c r="J1161" t="str">
        <f>MID(tblPassengerNames[[#This Row],[Name]], tblPassengerNames[[#This Row],[DotPos]] + 2, tblPassengerNames[[#This Row],[EndOfConvFNPos]] - tblPassengerNames[[#This Row],[DotPos]] - 1)</f>
        <v>Viktor</v>
      </c>
      <c r="K1161" t="str">
        <f>MID(tblPassengerNames[[#This Row],[Name]], tblPassengerNames[[#This Row],[OpenParPos]] + 1, tblPassengerNames[[#This Row],[CloseParPos]] - tblPassengerNames[[#This Row],[OpenParPos]] - 1)</f>
        <v>Helena Wilhelmina</v>
      </c>
      <c r="L1161" t="str">
        <f>IF(AND(LEFT(tblPassengerNames[[#This Row],[InParentheses]], 1) = "'", RIGHT(tblPassengerNames[[#This Row],[InParentheses]], 1) = "'"),
    #VALUE!,
    tblPassengerNames[[#This Row],[InParentheses]]
)</f>
        <v>Helena Wilhelmina</v>
      </c>
      <c r="M1161">
        <f>LEN(tblPassengerNames[[#This Row],[InParenthesesCleaned]]) - LEN(SUBSTITUTE(tblPassengerNames[[#This Row],[InParenthesesCleaned]], " ", ""))</f>
        <v>1</v>
      </c>
      <c r="N1161">
        <f>FIND("@", SUBSTITUTE(tblPassengerNames[[#This Row],[InParenthesesCleaned]], " ", "@", tblPassengerNames[[#This Row],[P_NSpaces]]))</f>
        <v>7</v>
      </c>
      <c r="O1161" t="str">
        <f>IF(tblPassengerNames[[#This Row],[P_NSpaces]] = 0,
    tblPassengerNames[[#This Row],[InParenthesesCleaned]],
    LEFT(tblPassengerNames[[#This Row],[InParenthesesCleaned]], tblPassengerNames[[#This Row],[P_FinalSpacePos]] - 1)
)</f>
        <v>Helena</v>
      </c>
      <c r="P1161" t="str">
        <f>IFERROR(tblPassengerNames[[#This Row],[P_Forenames]], tblPassengerNames[[#This Row],[ConvForenames]])</f>
        <v>Helena</v>
      </c>
      <c r="Q1161" t="str">
        <f>MID(tblPassengerNames[[#This Row],[Name]], tblPassengerNames[[#This Row],[CommaPos]] + 2, tblPassengerNames[[#This Row],[DotPos]] - tblPassengerNames[[#This Row],[CommaPos]] - 1)</f>
        <v>Mrs.</v>
      </c>
      <c r="R1161" t="str">
        <f>LEFT(tblPassengerNames[[#This Row],[Name]], tblPassengerNames[[#This Row],[CommaPos]] - 1)</f>
        <v>Rosblom</v>
      </c>
    </row>
    <row r="1162" spans="2:18" x14ac:dyDescent="0.25">
      <c r="B1162" s="21">
        <v>1160</v>
      </c>
      <c r="C1162" s="21" t="s">
        <v>1294</v>
      </c>
      <c r="D1162" s="21" t="s">
        <v>136</v>
      </c>
      <c r="E1162">
        <f>FIND(",", tblPassengerNames[[#This Row],[Name]])</f>
        <v>5</v>
      </c>
      <c r="F1162">
        <f>FIND(".", tblPassengerNames[[#This Row],[Name]])</f>
        <v>11</v>
      </c>
      <c r="G1162" t="e">
        <f>FIND("(", tblPassengerNames[[#This Row],[Name]])</f>
        <v>#VALUE!</v>
      </c>
      <c r="H1162" t="e">
        <f>FIND(")", tblPassengerNames[[#This Row],[Name]])</f>
        <v>#VALUE!</v>
      </c>
      <c r="I1162">
        <f>IFERROR(tblPassengerNames[[#This Row],[OpenParPos]] - 2, LEN(tblPassengerNames[[#This Row],[Name]]))</f>
        <v>19</v>
      </c>
      <c r="J1162" t="str">
        <f>MID(tblPassengerNames[[#This Row],[Name]], tblPassengerNames[[#This Row],[DotPos]] + 2, tblPassengerNames[[#This Row],[EndOfConvFNPos]] - tblPassengerNames[[#This Row],[DotPos]] - 1)</f>
        <v>Sarah A</v>
      </c>
      <c r="K1162" t="e">
        <f>MID(tblPassengerNames[[#This Row],[Name]], tblPassengerNames[[#This Row],[OpenParPos]] + 1, tblPassengerNames[[#This Row],[CloseParPos]] - tblPassengerNames[[#This Row],[OpenParPos]] - 1)</f>
        <v>#VALUE!</v>
      </c>
      <c r="L1162" t="e">
        <f>IF(AND(LEFT(tblPassengerNames[[#This Row],[InParentheses]], 1) = "'", RIGHT(tblPassengerNames[[#This Row],[InParentheses]], 1) = "'"),
    #VALUE!,
    tblPassengerNames[[#This Row],[InParentheses]]
)</f>
        <v>#VALUE!</v>
      </c>
      <c r="M1162" t="e">
        <f>LEN(tblPassengerNames[[#This Row],[InParenthesesCleaned]]) - LEN(SUBSTITUTE(tblPassengerNames[[#This Row],[InParenthesesCleaned]], " ", ""))</f>
        <v>#VALUE!</v>
      </c>
      <c r="N1162" t="e">
        <f>FIND("@", SUBSTITUTE(tblPassengerNames[[#This Row],[InParenthesesCleaned]], " ", "@", tblPassengerNames[[#This Row],[P_NSpaces]]))</f>
        <v>#VALUE!</v>
      </c>
      <c r="O1162" t="e">
        <f>IF(tblPassengerNames[[#This Row],[P_NSpaces]] = 0,
    tblPassengerNames[[#This Row],[InParenthesesCleaned]],
    LEFT(tblPassengerNames[[#This Row],[InParenthesesCleaned]], tblPassengerNames[[#This Row],[P_FinalSpacePos]] - 1)
)</f>
        <v>#VALUE!</v>
      </c>
      <c r="P1162" t="str">
        <f>IFERROR(tblPassengerNames[[#This Row],[P_Forenames]], tblPassengerNames[[#This Row],[ConvForenames]])</f>
        <v>Sarah A</v>
      </c>
      <c r="Q1162" t="str">
        <f>MID(tblPassengerNames[[#This Row],[Name]], tblPassengerNames[[#This Row],[CommaPos]] + 2, tblPassengerNames[[#This Row],[DotPos]] - tblPassengerNames[[#This Row],[CommaPos]] - 1)</f>
        <v>Miss.</v>
      </c>
      <c r="R1162" t="str">
        <f>LEFT(tblPassengerNames[[#This Row],[Name]], tblPassengerNames[[#This Row],[CommaPos]] - 1)</f>
        <v>Roth</v>
      </c>
    </row>
    <row r="1163" spans="2:18" x14ac:dyDescent="0.25">
      <c r="B1163" s="21">
        <v>1161</v>
      </c>
      <c r="C1163" s="21" t="s">
        <v>1295</v>
      </c>
      <c r="D1163" s="21" t="s">
        <v>138</v>
      </c>
      <c r="E1163">
        <f>FIND(",", tblPassengerNames[[#This Row],[Name]])</f>
        <v>6</v>
      </c>
      <c r="F1163">
        <f>FIND(".", tblPassengerNames[[#This Row],[Name]])</f>
        <v>10</v>
      </c>
      <c r="G1163" t="e">
        <f>FIND("(", tblPassengerNames[[#This Row],[Name]])</f>
        <v>#VALUE!</v>
      </c>
      <c r="H1163" t="e">
        <f>FIND(")", tblPassengerNames[[#This Row],[Name]])</f>
        <v>#VALUE!</v>
      </c>
      <c r="I1163">
        <f>IFERROR(tblPassengerNames[[#This Row],[OpenParPos]] - 2, LEN(tblPassengerNames[[#This Row],[Name]]))</f>
        <v>24</v>
      </c>
      <c r="J1163" t="str">
        <f>MID(tblPassengerNames[[#This Row],[Name]], tblPassengerNames[[#This Row],[DotPos]] + 2, tblPassengerNames[[#This Row],[EndOfConvFNPos]] - tblPassengerNames[[#This Row],[DotPos]] - 1)</f>
        <v>Richard Henry</v>
      </c>
      <c r="K1163" t="e">
        <f>MID(tblPassengerNames[[#This Row],[Name]], tblPassengerNames[[#This Row],[OpenParPos]] + 1, tblPassengerNames[[#This Row],[CloseParPos]] - tblPassengerNames[[#This Row],[OpenParPos]] - 1)</f>
        <v>#VALUE!</v>
      </c>
      <c r="L1163" t="e">
        <f>IF(AND(LEFT(tblPassengerNames[[#This Row],[InParentheses]], 1) = "'", RIGHT(tblPassengerNames[[#This Row],[InParentheses]], 1) = "'"),
    #VALUE!,
    tblPassengerNames[[#This Row],[InParentheses]]
)</f>
        <v>#VALUE!</v>
      </c>
      <c r="M1163" t="e">
        <f>LEN(tblPassengerNames[[#This Row],[InParenthesesCleaned]]) - LEN(SUBSTITUTE(tblPassengerNames[[#This Row],[InParenthesesCleaned]], " ", ""))</f>
        <v>#VALUE!</v>
      </c>
      <c r="N1163" t="e">
        <f>FIND("@", SUBSTITUTE(tblPassengerNames[[#This Row],[InParenthesesCleaned]], " ", "@", tblPassengerNames[[#This Row],[P_NSpaces]]))</f>
        <v>#VALUE!</v>
      </c>
      <c r="O1163" t="e">
        <f>IF(tblPassengerNames[[#This Row],[P_NSpaces]] = 0,
    tblPassengerNames[[#This Row],[InParenthesesCleaned]],
    LEFT(tblPassengerNames[[#This Row],[InParenthesesCleaned]], tblPassengerNames[[#This Row],[P_FinalSpacePos]] - 1)
)</f>
        <v>#VALUE!</v>
      </c>
      <c r="P1163" t="str">
        <f>IFERROR(tblPassengerNames[[#This Row],[P_Forenames]], tblPassengerNames[[#This Row],[ConvForenames]])</f>
        <v>Richard Henry</v>
      </c>
      <c r="Q1163" t="str">
        <f>MID(tblPassengerNames[[#This Row],[Name]], tblPassengerNames[[#This Row],[CommaPos]] + 2, tblPassengerNames[[#This Row],[DotPos]] - tblPassengerNames[[#This Row],[CommaPos]] - 1)</f>
        <v>Mr.</v>
      </c>
      <c r="R1163" t="str">
        <f>LEFT(tblPassengerNames[[#This Row],[Name]], tblPassengerNames[[#This Row],[CommaPos]] - 1)</f>
        <v>Rouse</v>
      </c>
    </row>
    <row r="1164" spans="2:18" x14ac:dyDescent="0.25">
      <c r="B1164" s="21">
        <v>1162</v>
      </c>
      <c r="C1164" s="21" t="s">
        <v>1296</v>
      </c>
      <c r="D1164" s="21" t="s">
        <v>138</v>
      </c>
      <c r="E1164">
        <f>FIND(",", tblPassengerNames[[#This Row],[Name]])</f>
        <v>5</v>
      </c>
      <c r="F1164">
        <f>FIND(".", tblPassengerNames[[#This Row],[Name]])</f>
        <v>9</v>
      </c>
      <c r="G1164" t="e">
        <f>FIND("(", tblPassengerNames[[#This Row],[Name]])</f>
        <v>#VALUE!</v>
      </c>
      <c r="H1164" t="e">
        <f>FIND(")", tblPassengerNames[[#This Row],[Name]])</f>
        <v>#VALUE!</v>
      </c>
      <c r="I1164">
        <f>IFERROR(tblPassengerNames[[#This Row],[OpenParPos]] - 2, LEN(tblPassengerNames[[#This Row],[Name]]))</f>
        <v>28</v>
      </c>
      <c r="J1164" t="str">
        <f>MID(tblPassengerNames[[#This Row],[Name]], tblPassengerNames[[#This Row],[DotPos]] + 2, tblPassengerNames[[#This Row],[EndOfConvFNPos]] - tblPassengerNames[[#This Row],[DotPos]] - 1)</f>
        <v>Alfred George John</v>
      </c>
      <c r="K1164" t="e">
        <f>MID(tblPassengerNames[[#This Row],[Name]], tblPassengerNames[[#This Row],[OpenParPos]] + 1, tblPassengerNames[[#This Row],[CloseParPos]] - tblPassengerNames[[#This Row],[OpenParPos]] - 1)</f>
        <v>#VALUE!</v>
      </c>
      <c r="L1164" t="e">
        <f>IF(AND(LEFT(tblPassengerNames[[#This Row],[InParentheses]], 1) = "'", RIGHT(tblPassengerNames[[#This Row],[InParentheses]], 1) = "'"),
    #VALUE!,
    tblPassengerNames[[#This Row],[InParentheses]]
)</f>
        <v>#VALUE!</v>
      </c>
      <c r="M1164" t="e">
        <f>LEN(tblPassengerNames[[#This Row],[InParenthesesCleaned]]) - LEN(SUBSTITUTE(tblPassengerNames[[#This Row],[InParenthesesCleaned]], " ", ""))</f>
        <v>#VALUE!</v>
      </c>
      <c r="N1164" t="e">
        <f>FIND("@", SUBSTITUTE(tblPassengerNames[[#This Row],[InParenthesesCleaned]], " ", "@", tblPassengerNames[[#This Row],[P_NSpaces]]))</f>
        <v>#VALUE!</v>
      </c>
      <c r="O1164" t="e">
        <f>IF(tblPassengerNames[[#This Row],[P_NSpaces]] = 0,
    tblPassengerNames[[#This Row],[InParenthesesCleaned]],
    LEFT(tblPassengerNames[[#This Row],[InParenthesesCleaned]], tblPassengerNames[[#This Row],[P_FinalSpacePos]] - 1)
)</f>
        <v>#VALUE!</v>
      </c>
      <c r="P1164" t="str">
        <f>IFERROR(tblPassengerNames[[#This Row],[P_Forenames]], tblPassengerNames[[#This Row],[ConvForenames]])</f>
        <v>Alfred George John</v>
      </c>
      <c r="Q1164" t="str">
        <f>MID(tblPassengerNames[[#This Row],[Name]], tblPassengerNames[[#This Row],[CommaPos]] + 2, tblPassengerNames[[#This Row],[DotPos]] - tblPassengerNames[[#This Row],[CommaPos]] - 1)</f>
        <v>Mr.</v>
      </c>
      <c r="R1164" t="str">
        <f>LEFT(tblPassengerNames[[#This Row],[Name]], tblPassengerNames[[#This Row],[CommaPos]] - 1)</f>
        <v>Rush</v>
      </c>
    </row>
    <row r="1165" spans="2:18" x14ac:dyDescent="0.25">
      <c r="B1165" s="21">
        <v>1163</v>
      </c>
      <c r="C1165" s="21" t="s">
        <v>1297</v>
      </c>
      <c r="D1165" s="21" t="s">
        <v>138</v>
      </c>
      <c r="E1165">
        <f>FIND(",", tblPassengerNames[[#This Row],[Name]])</f>
        <v>5</v>
      </c>
      <c r="F1165">
        <f>FIND(".", tblPassengerNames[[#This Row],[Name]])</f>
        <v>9</v>
      </c>
      <c r="G1165" t="e">
        <f>FIND("(", tblPassengerNames[[#This Row],[Name]])</f>
        <v>#VALUE!</v>
      </c>
      <c r="H1165" t="e">
        <f>FIND(")", tblPassengerNames[[#This Row],[Name]])</f>
        <v>#VALUE!</v>
      </c>
      <c r="I1165">
        <f>IFERROR(tblPassengerNames[[#This Row],[OpenParPos]] - 2, LEN(tblPassengerNames[[#This Row],[Name]]))</f>
        <v>16</v>
      </c>
      <c r="J1165" t="str">
        <f>MID(tblPassengerNames[[#This Row],[Name]], tblPassengerNames[[#This Row],[DotPos]] + 2, tblPassengerNames[[#This Row],[EndOfConvFNPos]] - tblPassengerNames[[#This Row],[DotPos]] - 1)</f>
        <v>Edward</v>
      </c>
      <c r="K1165" t="e">
        <f>MID(tblPassengerNames[[#This Row],[Name]], tblPassengerNames[[#This Row],[OpenParPos]] + 1, tblPassengerNames[[#This Row],[CloseParPos]] - tblPassengerNames[[#This Row],[OpenParPos]] - 1)</f>
        <v>#VALUE!</v>
      </c>
      <c r="L1165" t="e">
        <f>IF(AND(LEFT(tblPassengerNames[[#This Row],[InParentheses]], 1) = "'", RIGHT(tblPassengerNames[[#This Row],[InParentheses]], 1) = "'"),
    #VALUE!,
    tblPassengerNames[[#This Row],[InParentheses]]
)</f>
        <v>#VALUE!</v>
      </c>
      <c r="M1165" t="e">
        <f>LEN(tblPassengerNames[[#This Row],[InParenthesesCleaned]]) - LEN(SUBSTITUTE(tblPassengerNames[[#This Row],[InParenthesesCleaned]], " ", ""))</f>
        <v>#VALUE!</v>
      </c>
      <c r="N1165" t="e">
        <f>FIND("@", SUBSTITUTE(tblPassengerNames[[#This Row],[InParenthesesCleaned]], " ", "@", tblPassengerNames[[#This Row],[P_NSpaces]]))</f>
        <v>#VALUE!</v>
      </c>
      <c r="O1165" t="e">
        <f>IF(tblPassengerNames[[#This Row],[P_NSpaces]] = 0,
    tblPassengerNames[[#This Row],[InParenthesesCleaned]],
    LEFT(tblPassengerNames[[#This Row],[InParenthesesCleaned]], tblPassengerNames[[#This Row],[P_FinalSpacePos]] - 1)
)</f>
        <v>#VALUE!</v>
      </c>
      <c r="P1165" t="str">
        <f>IFERROR(tblPassengerNames[[#This Row],[P_Forenames]], tblPassengerNames[[#This Row],[ConvForenames]])</f>
        <v>Edward</v>
      </c>
      <c r="Q1165" t="str">
        <f>MID(tblPassengerNames[[#This Row],[Name]], tblPassengerNames[[#This Row],[CommaPos]] + 2, tblPassengerNames[[#This Row],[DotPos]] - tblPassengerNames[[#This Row],[CommaPos]] - 1)</f>
        <v>Mr.</v>
      </c>
      <c r="R1165" t="str">
        <f>LEFT(tblPassengerNames[[#This Row],[Name]], tblPassengerNames[[#This Row],[CommaPos]] - 1)</f>
        <v>Ryan</v>
      </c>
    </row>
    <row r="1166" spans="2:18" x14ac:dyDescent="0.25">
      <c r="B1166" s="21">
        <v>1164</v>
      </c>
      <c r="C1166" s="21" t="s">
        <v>1298</v>
      </c>
      <c r="D1166" s="21" t="s">
        <v>138</v>
      </c>
      <c r="E1166">
        <f>FIND(",", tblPassengerNames[[#This Row],[Name]])</f>
        <v>5</v>
      </c>
      <c r="F1166">
        <f>FIND(".", tblPassengerNames[[#This Row],[Name]])</f>
        <v>9</v>
      </c>
      <c r="G1166" t="e">
        <f>FIND("(", tblPassengerNames[[#This Row],[Name]])</f>
        <v>#VALUE!</v>
      </c>
      <c r="H1166" t="e">
        <f>FIND(")", tblPassengerNames[[#This Row],[Name]])</f>
        <v>#VALUE!</v>
      </c>
      <c r="I1166">
        <f>IFERROR(tblPassengerNames[[#This Row],[OpenParPos]] - 2, LEN(tblPassengerNames[[#This Row],[Name]]))</f>
        <v>17</v>
      </c>
      <c r="J1166" t="str">
        <f>MID(tblPassengerNames[[#This Row],[Name]], tblPassengerNames[[#This Row],[DotPos]] + 2, tblPassengerNames[[#This Row],[EndOfConvFNPos]] - tblPassengerNames[[#This Row],[DotPos]] - 1)</f>
        <v>Patrick</v>
      </c>
      <c r="K1166" t="e">
        <f>MID(tblPassengerNames[[#This Row],[Name]], tblPassengerNames[[#This Row],[OpenParPos]] + 1, tblPassengerNames[[#This Row],[CloseParPos]] - tblPassengerNames[[#This Row],[OpenParPos]] - 1)</f>
        <v>#VALUE!</v>
      </c>
      <c r="L1166" t="e">
        <f>IF(AND(LEFT(tblPassengerNames[[#This Row],[InParentheses]], 1) = "'", RIGHT(tblPassengerNames[[#This Row],[InParentheses]], 1) = "'"),
    #VALUE!,
    tblPassengerNames[[#This Row],[InParentheses]]
)</f>
        <v>#VALUE!</v>
      </c>
      <c r="M1166" t="e">
        <f>LEN(tblPassengerNames[[#This Row],[InParenthesesCleaned]]) - LEN(SUBSTITUTE(tblPassengerNames[[#This Row],[InParenthesesCleaned]], " ", ""))</f>
        <v>#VALUE!</v>
      </c>
      <c r="N1166" t="e">
        <f>FIND("@", SUBSTITUTE(tblPassengerNames[[#This Row],[InParenthesesCleaned]], " ", "@", tblPassengerNames[[#This Row],[P_NSpaces]]))</f>
        <v>#VALUE!</v>
      </c>
      <c r="O1166" t="e">
        <f>IF(tblPassengerNames[[#This Row],[P_NSpaces]] = 0,
    tblPassengerNames[[#This Row],[InParenthesesCleaned]],
    LEFT(tblPassengerNames[[#This Row],[InParenthesesCleaned]], tblPassengerNames[[#This Row],[P_FinalSpacePos]] - 1)
)</f>
        <v>#VALUE!</v>
      </c>
      <c r="P1166" t="str">
        <f>IFERROR(tblPassengerNames[[#This Row],[P_Forenames]], tblPassengerNames[[#This Row],[ConvForenames]])</f>
        <v>Patrick</v>
      </c>
      <c r="Q1166" t="str">
        <f>MID(tblPassengerNames[[#This Row],[Name]], tblPassengerNames[[#This Row],[CommaPos]] + 2, tblPassengerNames[[#This Row],[DotPos]] - tblPassengerNames[[#This Row],[CommaPos]] - 1)</f>
        <v>Mr.</v>
      </c>
      <c r="R1166" t="str">
        <f>LEFT(tblPassengerNames[[#This Row],[Name]], tblPassengerNames[[#This Row],[CommaPos]] - 1)</f>
        <v>Ryan</v>
      </c>
    </row>
    <row r="1167" spans="2:18" x14ac:dyDescent="0.25">
      <c r="B1167" s="21">
        <v>1165</v>
      </c>
      <c r="C1167" s="21" t="s">
        <v>1299</v>
      </c>
      <c r="D1167" s="21" t="s">
        <v>138</v>
      </c>
      <c r="E1167">
        <f>FIND(",", tblPassengerNames[[#This Row],[Name]])</f>
        <v>5</v>
      </c>
      <c r="F1167">
        <f>FIND(".", tblPassengerNames[[#This Row],[Name]])</f>
        <v>9</v>
      </c>
      <c r="G1167" t="e">
        <f>FIND("(", tblPassengerNames[[#This Row],[Name]])</f>
        <v>#VALUE!</v>
      </c>
      <c r="H1167" t="e">
        <f>FIND(")", tblPassengerNames[[#This Row],[Name]])</f>
        <v>#VALUE!</v>
      </c>
      <c r="I1167">
        <f>IFERROR(tblPassengerNames[[#This Row],[OpenParPos]] - 2, LEN(tblPassengerNames[[#This Row],[Name]]))</f>
        <v>14</v>
      </c>
      <c r="J1167" t="str">
        <f>MID(tblPassengerNames[[#This Row],[Name]], tblPassengerNames[[#This Row],[DotPos]] + 2, tblPassengerNames[[#This Row],[EndOfConvFNPos]] - tblPassengerNames[[#This Row],[DotPos]] - 1)</f>
        <v>Amin</v>
      </c>
      <c r="K1167" t="e">
        <f>MID(tblPassengerNames[[#This Row],[Name]], tblPassengerNames[[#This Row],[OpenParPos]] + 1, tblPassengerNames[[#This Row],[CloseParPos]] - tblPassengerNames[[#This Row],[OpenParPos]] - 1)</f>
        <v>#VALUE!</v>
      </c>
      <c r="L1167" t="e">
        <f>IF(AND(LEFT(tblPassengerNames[[#This Row],[InParentheses]], 1) = "'", RIGHT(tblPassengerNames[[#This Row],[InParentheses]], 1) = "'"),
    #VALUE!,
    tblPassengerNames[[#This Row],[InParentheses]]
)</f>
        <v>#VALUE!</v>
      </c>
      <c r="M1167" t="e">
        <f>LEN(tblPassengerNames[[#This Row],[InParenthesesCleaned]]) - LEN(SUBSTITUTE(tblPassengerNames[[#This Row],[InParenthesesCleaned]], " ", ""))</f>
        <v>#VALUE!</v>
      </c>
      <c r="N1167" t="e">
        <f>FIND("@", SUBSTITUTE(tblPassengerNames[[#This Row],[InParenthesesCleaned]], " ", "@", tblPassengerNames[[#This Row],[P_NSpaces]]))</f>
        <v>#VALUE!</v>
      </c>
      <c r="O1167" t="e">
        <f>IF(tblPassengerNames[[#This Row],[P_NSpaces]] = 0,
    tblPassengerNames[[#This Row],[InParenthesesCleaned]],
    LEFT(tblPassengerNames[[#This Row],[InParenthesesCleaned]], tblPassengerNames[[#This Row],[P_FinalSpacePos]] - 1)
)</f>
        <v>#VALUE!</v>
      </c>
      <c r="P1167" t="str">
        <f>IFERROR(tblPassengerNames[[#This Row],[P_Forenames]], tblPassengerNames[[#This Row],[ConvForenames]])</f>
        <v>Amin</v>
      </c>
      <c r="Q1167" t="str">
        <f>MID(tblPassengerNames[[#This Row],[Name]], tblPassengerNames[[#This Row],[CommaPos]] + 2, tblPassengerNames[[#This Row],[DotPos]] - tblPassengerNames[[#This Row],[CommaPos]] - 1)</f>
        <v>Mr.</v>
      </c>
      <c r="R1167" t="str">
        <f>LEFT(tblPassengerNames[[#This Row],[Name]], tblPassengerNames[[#This Row],[CommaPos]] - 1)</f>
        <v>Saad</v>
      </c>
    </row>
    <row r="1168" spans="2:18" x14ac:dyDescent="0.25">
      <c r="B1168" s="21">
        <v>1166</v>
      </c>
      <c r="C1168" s="21" t="s">
        <v>1300</v>
      </c>
      <c r="D1168" s="21" t="s">
        <v>138</v>
      </c>
      <c r="E1168">
        <f>FIND(",", tblPassengerNames[[#This Row],[Name]])</f>
        <v>5</v>
      </c>
      <c r="F1168">
        <f>FIND(".", tblPassengerNames[[#This Row],[Name]])</f>
        <v>9</v>
      </c>
      <c r="G1168" t="e">
        <f>FIND("(", tblPassengerNames[[#This Row],[Name]])</f>
        <v>#VALUE!</v>
      </c>
      <c r="H1168" t="e">
        <f>FIND(")", tblPassengerNames[[#This Row],[Name]])</f>
        <v>#VALUE!</v>
      </c>
      <c r="I1168">
        <f>IFERROR(tblPassengerNames[[#This Row],[OpenParPos]] - 2, LEN(tblPassengerNames[[#This Row],[Name]]))</f>
        <v>16</v>
      </c>
      <c r="J1168" t="str">
        <f>MID(tblPassengerNames[[#This Row],[Name]], tblPassengerNames[[#This Row],[DotPos]] + 2, tblPassengerNames[[#This Row],[EndOfConvFNPos]] - tblPassengerNames[[#This Row],[DotPos]] - 1)</f>
        <v>Khalil</v>
      </c>
      <c r="K1168" t="e">
        <f>MID(tblPassengerNames[[#This Row],[Name]], tblPassengerNames[[#This Row],[OpenParPos]] + 1, tblPassengerNames[[#This Row],[CloseParPos]] - tblPassengerNames[[#This Row],[OpenParPos]] - 1)</f>
        <v>#VALUE!</v>
      </c>
      <c r="L1168" t="e">
        <f>IF(AND(LEFT(tblPassengerNames[[#This Row],[InParentheses]], 1) = "'", RIGHT(tblPassengerNames[[#This Row],[InParentheses]], 1) = "'"),
    #VALUE!,
    tblPassengerNames[[#This Row],[InParentheses]]
)</f>
        <v>#VALUE!</v>
      </c>
      <c r="M1168" t="e">
        <f>LEN(tblPassengerNames[[#This Row],[InParenthesesCleaned]]) - LEN(SUBSTITUTE(tblPassengerNames[[#This Row],[InParenthesesCleaned]], " ", ""))</f>
        <v>#VALUE!</v>
      </c>
      <c r="N1168" t="e">
        <f>FIND("@", SUBSTITUTE(tblPassengerNames[[#This Row],[InParenthesesCleaned]], " ", "@", tblPassengerNames[[#This Row],[P_NSpaces]]))</f>
        <v>#VALUE!</v>
      </c>
      <c r="O1168" t="e">
        <f>IF(tblPassengerNames[[#This Row],[P_NSpaces]] = 0,
    tblPassengerNames[[#This Row],[InParenthesesCleaned]],
    LEFT(tblPassengerNames[[#This Row],[InParenthesesCleaned]], tblPassengerNames[[#This Row],[P_FinalSpacePos]] - 1)
)</f>
        <v>#VALUE!</v>
      </c>
      <c r="P1168" t="str">
        <f>IFERROR(tblPassengerNames[[#This Row],[P_Forenames]], tblPassengerNames[[#This Row],[ConvForenames]])</f>
        <v>Khalil</v>
      </c>
      <c r="Q1168" t="str">
        <f>MID(tblPassengerNames[[#This Row],[Name]], tblPassengerNames[[#This Row],[CommaPos]] + 2, tblPassengerNames[[#This Row],[DotPos]] - tblPassengerNames[[#This Row],[CommaPos]] - 1)</f>
        <v>Mr.</v>
      </c>
      <c r="R1168" t="str">
        <f>LEFT(tblPassengerNames[[#This Row],[Name]], tblPassengerNames[[#This Row],[CommaPos]] - 1)</f>
        <v>Saad</v>
      </c>
    </row>
    <row r="1169" spans="2:18" x14ac:dyDescent="0.25">
      <c r="B1169" s="21">
        <v>1167</v>
      </c>
      <c r="C1169" s="21" t="s">
        <v>1301</v>
      </c>
      <c r="D1169" s="21" t="s">
        <v>138</v>
      </c>
      <c r="E1169">
        <f>FIND(",", tblPassengerNames[[#This Row],[Name]])</f>
        <v>6</v>
      </c>
      <c r="F1169">
        <f>FIND(".", tblPassengerNames[[#This Row],[Name]])</f>
        <v>10</v>
      </c>
      <c r="G1169" t="e">
        <f>FIND("(", tblPassengerNames[[#This Row],[Name]])</f>
        <v>#VALUE!</v>
      </c>
      <c r="H1169" t="e">
        <f>FIND(")", tblPassengerNames[[#This Row],[Name]])</f>
        <v>#VALUE!</v>
      </c>
      <c r="I1169">
        <f>IFERROR(tblPassengerNames[[#This Row],[OpenParPos]] - 2, LEN(tblPassengerNames[[#This Row],[Name]]))</f>
        <v>21</v>
      </c>
      <c r="J1169" t="str">
        <f>MID(tblPassengerNames[[#This Row],[Name]], tblPassengerNames[[#This Row],[DotPos]] + 2, tblPassengerNames[[#This Row],[EndOfConvFNPos]] - tblPassengerNames[[#This Row],[DotPos]] - 1)</f>
        <v>Jean Nassr</v>
      </c>
      <c r="K1169" t="e">
        <f>MID(tblPassengerNames[[#This Row],[Name]], tblPassengerNames[[#This Row],[OpenParPos]] + 1, tblPassengerNames[[#This Row],[CloseParPos]] - tblPassengerNames[[#This Row],[OpenParPos]] - 1)</f>
        <v>#VALUE!</v>
      </c>
      <c r="L1169" t="e">
        <f>IF(AND(LEFT(tblPassengerNames[[#This Row],[InParentheses]], 1) = "'", RIGHT(tblPassengerNames[[#This Row],[InParentheses]], 1) = "'"),
    #VALUE!,
    tblPassengerNames[[#This Row],[InParentheses]]
)</f>
        <v>#VALUE!</v>
      </c>
      <c r="M1169" t="e">
        <f>LEN(tblPassengerNames[[#This Row],[InParenthesesCleaned]]) - LEN(SUBSTITUTE(tblPassengerNames[[#This Row],[InParenthesesCleaned]], " ", ""))</f>
        <v>#VALUE!</v>
      </c>
      <c r="N1169" t="e">
        <f>FIND("@", SUBSTITUTE(tblPassengerNames[[#This Row],[InParenthesesCleaned]], " ", "@", tblPassengerNames[[#This Row],[P_NSpaces]]))</f>
        <v>#VALUE!</v>
      </c>
      <c r="O1169" t="e">
        <f>IF(tblPassengerNames[[#This Row],[P_NSpaces]] = 0,
    tblPassengerNames[[#This Row],[InParenthesesCleaned]],
    LEFT(tblPassengerNames[[#This Row],[InParenthesesCleaned]], tblPassengerNames[[#This Row],[P_FinalSpacePos]] - 1)
)</f>
        <v>#VALUE!</v>
      </c>
      <c r="P1169" t="str">
        <f>IFERROR(tblPassengerNames[[#This Row],[P_Forenames]], tblPassengerNames[[#This Row],[ConvForenames]])</f>
        <v>Jean Nassr</v>
      </c>
      <c r="Q1169" t="str">
        <f>MID(tblPassengerNames[[#This Row],[Name]], tblPassengerNames[[#This Row],[CommaPos]] + 2, tblPassengerNames[[#This Row],[DotPos]] - tblPassengerNames[[#This Row],[CommaPos]] - 1)</f>
        <v>Mr.</v>
      </c>
      <c r="R1169" t="str">
        <f>LEFT(tblPassengerNames[[#This Row],[Name]], tblPassengerNames[[#This Row],[CommaPos]] - 1)</f>
        <v>Saade</v>
      </c>
    </row>
    <row r="1170" spans="2:18" x14ac:dyDescent="0.25">
      <c r="B1170" s="21">
        <v>1168</v>
      </c>
      <c r="C1170" s="21" t="s">
        <v>1302</v>
      </c>
      <c r="D1170" s="21" t="s">
        <v>138</v>
      </c>
      <c r="E1170">
        <f>FIND(",", tblPassengerNames[[#This Row],[Name]])</f>
        <v>8</v>
      </c>
      <c r="F1170">
        <f>FIND(".", tblPassengerNames[[#This Row],[Name]])</f>
        <v>12</v>
      </c>
      <c r="G1170" t="e">
        <f>FIND("(", tblPassengerNames[[#This Row],[Name]])</f>
        <v>#VALUE!</v>
      </c>
      <c r="H1170" t="e">
        <f>FIND(")", tblPassengerNames[[#This Row],[Name]])</f>
        <v>#VALUE!</v>
      </c>
      <c r="I1170">
        <f>IFERROR(tblPassengerNames[[#This Row],[OpenParPos]] - 2, LEN(tblPassengerNames[[#This Row],[Name]]))</f>
        <v>20</v>
      </c>
      <c r="J1170" t="str">
        <f>MID(tblPassengerNames[[#This Row],[Name]], tblPassengerNames[[#This Row],[DotPos]] + 2, tblPassengerNames[[#This Row],[EndOfConvFNPos]] - tblPassengerNames[[#This Row],[DotPos]] - 1)</f>
        <v>Matthew</v>
      </c>
      <c r="K1170" t="e">
        <f>MID(tblPassengerNames[[#This Row],[Name]], tblPassengerNames[[#This Row],[OpenParPos]] + 1, tblPassengerNames[[#This Row],[CloseParPos]] - tblPassengerNames[[#This Row],[OpenParPos]] - 1)</f>
        <v>#VALUE!</v>
      </c>
      <c r="L1170" t="e">
        <f>IF(AND(LEFT(tblPassengerNames[[#This Row],[InParentheses]], 1) = "'", RIGHT(tblPassengerNames[[#This Row],[InParentheses]], 1) = "'"),
    #VALUE!,
    tblPassengerNames[[#This Row],[InParentheses]]
)</f>
        <v>#VALUE!</v>
      </c>
      <c r="M1170" t="e">
        <f>LEN(tblPassengerNames[[#This Row],[InParenthesesCleaned]]) - LEN(SUBSTITUTE(tblPassengerNames[[#This Row],[InParenthesesCleaned]], " ", ""))</f>
        <v>#VALUE!</v>
      </c>
      <c r="N1170" t="e">
        <f>FIND("@", SUBSTITUTE(tblPassengerNames[[#This Row],[InParenthesesCleaned]], " ", "@", tblPassengerNames[[#This Row],[P_NSpaces]]))</f>
        <v>#VALUE!</v>
      </c>
      <c r="O1170" t="e">
        <f>IF(tblPassengerNames[[#This Row],[P_NSpaces]] = 0,
    tblPassengerNames[[#This Row],[InParenthesesCleaned]],
    LEFT(tblPassengerNames[[#This Row],[InParenthesesCleaned]], tblPassengerNames[[#This Row],[P_FinalSpacePos]] - 1)
)</f>
        <v>#VALUE!</v>
      </c>
      <c r="P1170" t="str">
        <f>IFERROR(tblPassengerNames[[#This Row],[P_Forenames]], tblPassengerNames[[#This Row],[ConvForenames]])</f>
        <v>Matthew</v>
      </c>
      <c r="Q1170" t="str">
        <f>MID(tblPassengerNames[[#This Row],[Name]], tblPassengerNames[[#This Row],[CommaPos]] + 2, tblPassengerNames[[#This Row],[DotPos]] - tblPassengerNames[[#This Row],[CommaPos]] - 1)</f>
        <v>Mr.</v>
      </c>
      <c r="R1170" t="str">
        <f>LEFT(tblPassengerNames[[#This Row],[Name]], tblPassengerNames[[#This Row],[CommaPos]] - 1)</f>
        <v>Sadlier</v>
      </c>
    </row>
    <row r="1171" spans="2:18" x14ac:dyDescent="0.25">
      <c r="B1171" s="21">
        <v>1169</v>
      </c>
      <c r="C1171" s="21" t="s">
        <v>1303</v>
      </c>
      <c r="D1171" s="21" t="s">
        <v>138</v>
      </c>
      <c r="E1171">
        <f>FIND(",", tblPassengerNames[[#This Row],[Name]])</f>
        <v>9</v>
      </c>
      <c r="F1171">
        <f>FIND(".", tblPassengerNames[[#This Row],[Name]])</f>
        <v>13</v>
      </c>
      <c r="G1171" t="e">
        <f>FIND("(", tblPassengerNames[[#This Row],[Name]])</f>
        <v>#VALUE!</v>
      </c>
      <c r="H1171" t="e">
        <f>FIND(")", tblPassengerNames[[#This Row],[Name]])</f>
        <v>#VALUE!</v>
      </c>
      <c r="I1171">
        <f>IFERROR(tblPassengerNames[[#This Row],[OpenParPos]] - 2, LEN(tblPassengerNames[[#This Row],[Name]]))</f>
        <v>19</v>
      </c>
      <c r="J1171" t="str">
        <f>MID(tblPassengerNames[[#This Row],[Name]], tblPassengerNames[[#This Row],[DotPos]] + 2, tblPassengerNames[[#This Row],[EndOfConvFNPos]] - tblPassengerNames[[#This Row],[DotPos]] - 1)</f>
        <v>Harry</v>
      </c>
      <c r="K1171" t="e">
        <f>MID(tblPassengerNames[[#This Row],[Name]], tblPassengerNames[[#This Row],[OpenParPos]] + 1, tblPassengerNames[[#This Row],[CloseParPos]] - tblPassengerNames[[#This Row],[OpenParPos]] - 1)</f>
        <v>#VALUE!</v>
      </c>
      <c r="L1171" t="e">
        <f>IF(AND(LEFT(tblPassengerNames[[#This Row],[InParentheses]], 1) = "'", RIGHT(tblPassengerNames[[#This Row],[InParentheses]], 1) = "'"),
    #VALUE!,
    tblPassengerNames[[#This Row],[InParentheses]]
)</f>
        <v>#VALUE!</v>
      </c>
      <c r="M1171" t="e">
        <f>LEN(tblPassengerNames[[#This Row],[InParenthesesCleaned]]) - LEN(SUBSTITUTE(tblPassengerNames[[#This Row],[InParenthesesCleaned]], " ", ""))</f>
        <v>#VALUE!</v>
      </c>
      <c r="N1171" t="e">
        <f>FIND("@", SUBSTITUTE(tblPassengerNames[[#This Row],[InParenthesesCleaned]], " ", "@", tblPassengerNames[[#This Row],[P_NSpaces]]))</f>
        <v>#VALUE!</v>
      </c>
      <c r="O1171" t="e">
        <f>IF(tblPassengerNames[[#This Row],[P_NSpaces]] = 0,
    tblPassengerNames[[#This Row],[InParenthesesCleaned]],
    LEFT(tblPassengerNames[[#This Row],[InParenthesesCleaned]], tblPassengerNames[[#This Row],[P_FinalSpacePos]] - 1)
)</f>
        <v>#VALUE!</v>
      </c>
      <c r="P1171" t="str">
        <f>IFERROR(tblPassengerNames[[#This Row],[P_Forenames]], tblPassengerNames[[#This Row],[ConvForenames]])</f>
        <v>Harry</v>
      </c>
      <c r="Q1171" t="str">
        <f>MID(tblPassengerNames[[#This Row],[Name]], tblPassengerNames[[#This Row],[CommaPos]] + 2, tblPassengerNames[[#This Row],[DotPos]] - tblPassengerNames[[#This Row],[CommaPos]] - 1)</f>
        <v>Mr.</v>
      </c>
      <c r="R1171" t="str">
        <f>LEFT(tblPassengerNames[[#This Row],[Name]], tblPassengerNames[[#This Row],[CommaPos]] - 1)</f>
        <v>Sadowitz</v>
      </c>
    </row>
    <row r="1172" spans="2:18" x14ac:dyDescent="0.25">
      <c r="B1172" s="21">
        <v>1170</v>
      </c>
      <c r="C1172" s="21" t="s">
        <v>1304</v>
      </c>
      <c r="D1172" s="21" t="s">
        <v>138</v>
      </c>
      <c r="E1172">
        <f>FIND(",", tblPassengerNames[[#This Row],[Name]])</f>
        <v>8</v>
      </c>
      <c r="F1172">
        <f>FIND(".", tblPassengerNames[[#This Row],[Name]])</f>
        <v>12</v>
      </c>
      <c r="G1172" t="e">
        <f>FIND("(", tblPassengerNames[[#This Row],[Name]])</f>
        <v>#VALUE!</v>
      </c>
      <c r="H1172" t="e">
        <f>FIND(")", tblPassengerNames[[#This Row],[Name]])</f>
        <v>#VALUE!</v>
      </c>
      <c r="I1172">
        <f>IFERROR(tblPassengerNames[[#This Row],[OpenParPos]] - 2, LEN(tblPassengerNames[[#This Row],[Name]]))</f>
        <v>28</v>
      </c>
      <c r="J1172" t="str">
        <f>MID(tblPassengerNames[[#This Row],[Name]], tblPassengerNames[[#This Row],[DotPos]] + 2, tblPassengerNames[[#This Row],[EndOfConvFNPos]] - tblPassengerNames[[#This Row],[DotPos]] - 1)</f>
        <v>Simon Sivertsen</v>
      </c>
      <c r="K1172" t="e">
        <f>MID(tblPassengerNames[[#This Row],[Name]], tblPassengerNames[[#This Row],[OpenParPos]] + 1, tblPassengerNames[[#This Row],[CloseParPos]] - tblPassengerNames[[#This Row],[OpenParPos]] - 1)</f>
        <v>#VALUE!</v>
      </c>
      <c r="L1172" t="e">
        <f>IF(AND(LEFT(tblPassengerNames[[#This Row],[InParentheses]], 1) = "'", RIGHT(tblPassengerNames[[#This Row],[InParentheses]], 1) = "'"),
    #VALUE!,
    tblPassengerNames[[#This Row],[InParentheses]]
)</f>
        <v>#VALUE!</v>
      </c>
      <c r="M1172" t="e">
        <f>LEN(tblPassengerNames[[#This Row],[InParenthesesCleaned]]) - LEN(SUBSTITUTE(tblPassengerNames[[#This Row],[InParenthesesCleaned]], " ", ""))</f>
        <v>#VALUE!</v>
      </c>
      <c r="N1172" t="e">
        <f>FIND("@", SUBSTITUTE(tblPassengerNames[[#This Row],[InParenthesesCleaned]], " ", "@", tblPassengerNames[[#This Row],[P_NSpaces]]))</f>
        <v>#VALUE!</v>
      </c>
      <c r="O1172" t="e">
        <f>IF(tblPassengerNames[[#This Row],[P_NSpaces]] = 0,
    tblPassengerNames[[#This Row],[InParenthesesCleaned]],
    LEFT(tblPassengerNames[[#This Row],[InParenthesesCleaned]], tblPassengerNames[[#This Row],[P_FinalSpacePos]] - 1)
)</f>
        <v>#VALUE!</v>
      </c>
      <c r="P1172" t="str">
        <f>IFERROR(tblPassengerNames[[#This Row],[P_Forenames]], tblPassengerNames[[#This Row],[ConvForenames]])</f>
        <v>Simon Sivertsen</v>
      </c>
      <c r="Q1172" t="str">
        <f>MID(tblPassengerNames[[#This Row],[Name]], tblPassengerNames[[#This Row],[CommaPos]] + 2, tblPassengerNames[[#This Row],[DotPos]] - tblPassengerNames[[#This Row],[CommaPos]] - 1)</f>
        <v>Mr.</v>
      </c>
      <c r="R1172" t="str">
        <f>LEFT(tblPassengerNames[[#This Row],[Name]], tblPassengerNames[[#This Row],[CommaPos]] - 1)</f>
        <v>Saether</v>
      </c>
    </row>
    <row r="1173" spans="2:18" x14ac:dyDescent="0.25">
      <c r="B1173" s="21">
        <v>1171</v>
      </c>
      <c r="C1173" s="21" t="s">
        <v>1305</v>
      </c>
      <c r="D1173" s="21" t="s">
        <v>138</v>
      </c>
      <c r="E1173">
        <f>FIND(",", tblPassengerNames[[#This Row],[Name]])</f>
        <v>5</v>
      </c>
      <c r="F1173">
        <f>FIND(".", tblPassengerNames[[#This Row],[Name]])</f>
        <v>13</v>
      </c>
      <c r="G1173" t="e">
        <f>FIND("(", tblPassengerNames[[#This Row],[Name]])</f>
        <v>#VALUE!</v>
      </c>
      <c r="H1173" t="e">
        <f>FIND(")", tblPassengerNames[[#This Row],[Name]])</f>
        <v>#VALUE!</v>
      </c>
      <c r="I1173">
        <f>IFERROR(tblPassengerNames[[#This Row],[OpenParPos]] - 2, LEN(tblPassengerNames[[#This Row],[Name]]))</f>
        <v>26</v>
      </c>
      <c r="J1173" t="str">
        <f>MID(tblPassengerNames[[#This Row],[Name]], tblPassengerNames[[#This Row],[DotPos]] + 2, tblPassengerNames[[#This Row],[EndOfConvFNPos]] - tblPassengerNames[[#This Row],[DotPos]] - 1)</f>
        <v>Thomas Henry</v>
      </c>
      <c r="K1173" t="e">
        <f>MID(tblPassengerNames[[#This Row],[Name]], tblPassengerNames[[#This Row],[OpenParPos]] + 1, tblPassengerNames[[#This Row],[CloseParPos]] - tblPassengerNames[[#This Row],[OpenParPos]] - 1)</f>
        <v>#VALUE!</v>
      </c>
      <c r="L1173" t="e">
        <f>IF(AND(LEFT(tblPassengerNames[[#This Row],[InParentheses]], 1) = "'", RIGHT(tblPassengerNames[[#This Row],[InParentheses]], 1) = "'"),
    #VALUE!,
    tblPassengerNames[[#This Row],[InParentheses]]
)</f>
        <v>#VALUE!</v>
      </c>
      <c r="M1173" t="e">
        <f>LEN(tblPassengerNames[[#This Row],[InParenthesesCleaned]]) - LEN(SUBSTITUTE(tblPassengerNames[[#This Row],[InParenthesesCleaned]], " ", ""))</f>
        <v>#VALUE!</v>
      </c>
      <c r="N1173" t="e">
        <f>FIND("@", SUBSTITUTE(tblPassengerNames[[#This Row],[InParenthesesCleaned]], " ", "@", tblPassengerNames[[#This Row],[P_NSpaces]]))</f>
        <v>#VALUE!</v>
      </c>
      <c r="O1173" t="e">
        <f>IF(tblPassengerNames[[#This Row],[P_NSpaces]] = 0,
    tblPassengerNames[[#This Row],[InParenthesesCleaned]],
    LEFT(tblPassengerNames[[#This Row],[InParenthesesCleaned]], tblPassengerNames[[#This Row],[P_FinalSpacePos]] - 1)
)</f>
        <v>#VALUE!</v>
      </c>
      <c r="P1173" t="str">
        <f>IFERROR(tblPassengerNames[[#This Row],[P_Forenames]], tblPassengerNames[[#This Row],[ConvForenames]])</f>
        <v>Thomas Henry</v>
      </c>
      <c r="Q1173" t="str">
        <f>MID(tblPassengerNames[[#This Row],[Name]], tblPassengerNames[[#This Row],[CommaPos]] + 2, tblPassengerNames[[#This Row],[DotPos]] - tblPassengerNames[[#This Row],[CommaPos]] - 1)</f>
        <v>Master.</v>
      </c>
      <c r="R1173" t="str">
        <f>LEFT(tblPassengerNames[[#This Row],[Name]], tblPassengerNames[[#This Row],[CommaPos]] - 1)</f>
        <v>Sage</v>
      </c>
    </row>
    <row r="1174" spans="2:18" x14ac:dyDescent="0.25">
      <c r="B1174" s="21">
        <v>1172</v>
      </c>
      <c r="C1174" s="21" t="s">
        <v>1306</v>
      </c>
      <c r="D1174" s="21" t="s">
        <v>138</v>
      </c>
      <c r="E1174">
        <f>FIND(",", tblPassengerNames[[#This Row],[Name]])</f>
        <v>5</v>
      </c>
      <c r="F1174">
        <f>FIND(".", tblPassengerNames[[#This Row],[Name]])</f>
        <v>13</v>
      </c>
      <c r="G1174" t="e">
        <f>FIND("(", tblPassengerNames[[#This Row],[Name]])</f>
        <v>#VALUE!</v>
      </c>
      <c r="H1174" t="e">
        <f>FIND(")", tblPassengerNames[[#This Row],[Name]])</f>
        <v>#VALUE!</v>
      </c>
      <c r="I1174">
        <f>IFERROR(tblPassengerNames[[#This Row],[OpenParPos]] - 2, LEN(tblPassengerNames[[#This Row],[Name]]))</f>
        <v>27</v>
      </c>
      <c r="J1174" t="str">
        <f>MID(tblPassengerNames[[#This Row],[Name]], tblPassengerNames[[#This Row],[DotPos]] + 2, tblPassengerNames[[#This Row],[EndOfConvFNPos]] - tblPassengerNames[[#This Row],[DotPos]] - 1)</f>
        <v>William Henry</v>
      </c>
      <c r="K1174" t="e">
        <f>MID(tblPassengerNames[[#This Row],[Name]], tblPassengerNames[[#This Row],[OpenParPos]] + 1, tblPassengerNames[[#This Row],[CloseParPos]] - tblPassengerNames[[#This Row],[OpenParPos]] - 1)</f>
        <v>#VALUE!</v>
      </c>
      <c r="L1174" t="e">
        <f>IF(AND(LEFT(tblPassengerNames[[#This Row],[InParentheses]], 1) = "'", RIGHT(tblPassengerNames[[#This Row],[InParentheses]], 1) = "'"),
    #VALUE!,
    tblPassengerNames[[#This Row],[InParentheses]]
)</f>
        <v>#VALUE!</v>
      </c>
      <c r="M1174" t="e">
        <f>LEN(tblPassengerNames[[#This Row],[InParenthesesCleaned]]) - LEN(SUBSTITUTE(tblPassengerNames[[#This Row],[InParenthesesCleaned]], " ", ""))</f>
        <v>#VALUE!</v>
      </c>
      <c r="N1174" t="e">
        <f>FIND("@", SUBSTITUTE(tblPassengerNames[[#This Row],[InParenthesesCleaned]], " ", "@", tblPassengerNames[[#This Row],[P_NSpaces]]))</f>
        <v>#VALUE!</v>
      </c>
      <c r="O1174" t="e">
        <f>IF(tblPassengerNames[[#This Row],[P_NSpaces]] = 0,
    tblPassengerNames[[#This Row],[InParenthesesCleaned]],
    LEFT(tblPassengerNames[[#This Row],[InParenthesesCleaned]], tblPassengerNames[[#This Row],[P_FinalSpacePos]] - 1)
)</f>
        <v>#VALUE!</v>
      </c>
      <c r="P1174" t="str">
        <f>IFERROR(tblPassengerNames[[#This Row],[P_Forenames]], tblPassengerNames[[#This Row],[ConvForenames]])</f>
        <v>William Henry</v>
      </c>
      <c r="Q1174" t="str">
        <f>MID(tblPassengerNames[[#This Row],[Name]], tblPassengerNames[[#This Row],[CommaPos]] + 2, tblPassengerNames[[#This Row],[DotPos]] - tblPassengerNames[[#This Row],[CommaPos]] - 1)</f>
        <v>Master.</v>
      </c>
      <c r="R1174" t="str">
        <f>LEFT(tblPassengerNames[[#This Row],[Name]], tblPassengerNames[[#This Row],[CommaPos]] - 1)</f>
        <v>Sage</v>
      </c>
    </row>
    <row r="1175" spans="2:18" x14ac:dyDescent="0.25">
      <c r="B1175" s="21">
        <v>1173</v>
      </c>
      <c r="C1175" s="21" t="s">
        <v>1307</v>
      </c>
      <c r="D1175" s="21" t="s">
        <v>136</v>
      </c>
      <c r="E1175">
        <f>FIND(",", tblPassengerNames[[#This Row],[Name]])</f>
        <v>5</v>
      </c>
      <c r="F1175">
        <f>FIND(".", tblPassengerNames[[#This Row],[Name]])</f>
        <v>11</v>
      </c>
      <c r="G1175" t="e">
        <f>FIND("(", tblPassengerNames[[#This Row],[Name]])</f>
        <v>#VALUE!</v>
      </c>
      <c r="H1175" t="e">
        <f>FIND(")", tblPassengerNames[[#This Row],[Name]])</f>
        <v>#VALUE!</v>
      </c>
      <c r="I1175">
        <f>IFERROR(tblPassengerNames[[#This Row],[OpenParPos]] - 2, LEN(tblPassengerNames[[#This Row],[Name]]))</f>
        <v>15</v>
      </c>
      <c r="J1175" t="str">
        <f>MID(tblPassengerNames[[#This Row],[Name]], tblPassengerNames[[#This Row],[DotPos]] + 2, tblPassengerNames[[#This Row],[EndOfConvFNPos]] - tblPassengerNames[[#This Row],[DotPos]] - 1)</f>
        <v>Ada</v>
      </c>
      <c r="K1175" t="e">
        <f>MID(tblPassengerNames[[#This Row],[Name]], tblPassengerNames[[#This Row],[OpenParPos]] + 1, tblPassengerNames[[#This Row],[CloseParPos]] - tblPassengerNames[[#This Row],[OpenParPos]] - 1)</f>
        <v>#VALUE!</v>
      </c>
      <c r="L1175" t="e">
        <f>IF(AND(LEFT(tblPassengerNames[[#This Row],[InParentheses]], 1) = "'", RIGHT(tblPassengerNames[[#This Row],[InParentheses]], 1) = "'"),
    #VALUE!,
    tblPassengerNames[[#This Row],[InParentheses]]
)</f>
        <v>#VALUE!</v>
      </c>
      <c r="M1175" t="e">
        <f>LEN(tblPassengerNames[[#This Row],[InParenthesesCleaned]]) - LEN(SUBSTITUTE(tblPassengerNames[[#This Row],[InParenthesesCleaned]], " ", ""))</f>
        <v>#VALUE!</v>
      </c>
      <c r="N1175" t="e">
        <f>FIND("@", SUBSTITUTE(tblPassengerNames[[#This Row],[InParenthesesCleaned]], " ", "@", tblPassengerNames[[#This Row],[P_NSpaces]]))</f>
        <v>#VALUE!</v>
      </c>
      <c r="O1175" t="e">
        <f>IF(tblPassengerNames[[#This Row],[P_NSpaces]] = 0,
    tblPassengerNames[[#This Row],[InParenthesesCleaned]],
    LEFT(tblPassengerNames[[#This Row],[InParenthesesCleaned]], tblPassengerNames[[#This Row],[P_FinalSpacePos]] - 1)
)</f>
        <v>#VALUE!</v>
      </c>
      <c r="P1175" t="str">
        <f>IFERROR(tblPassengerNames[[#This Row],[P_Forenames]], tblPassengerNames[[#This Row],[ConvForenames]])</f>
        <v>Ada</v>
      </c>
      <c r="Q1175" t="str">
        <f>MID(tblPassengerNames[[#This Row],[Name]], tblPassengerNames[[#This Row],[CommaPos]] + 2, tblPassengerNames[[#This Row],[DotPos]] - tblPassengerNames[[#This Row],[CommaPos]] - 1)</f>
        <v>Miss.</v>
      </c>
      <c r="R1175" t="str">
        <f>LEFT(tblPassengerNames[[#This Row],[Name]], tblPassengerNames[[#This Row],[CommaPos]] - 1)</f>
        <v>Sage</v>
      </c>
    </row>
    <row r="1176" spans="2:18" x14ac:dyDescent="0.25">
      <c r="B1176" s="21">
        <v>1174</v>
      </c>
      <c r="C1176" s="21" t="s">
        <v>1308</v>
      </c>
      <c r="D1176" s="21" t="s">
        <v>136</v>
      </c>
      <c r="E1176">
        <f>FIND(",", tblPassengerNames[[#This Row],[Name]])</f>
        <v>5</v>
      </c>
      <c r="F1176">
        <f>FIND(".", tblPassengerNames[[#This Row],[Name]])</f>
        <v>11</v>
      </c>
      <c r="G1176" t="e">
        <f>FIND("(", tblPassengerNames[[#This Row],[Name]])</f>
        <v>#VALUE!</v>
      </c>
      <c r="H1176" t="e">
        <f>FIND(")", tblPassengerNames[[#This Row],[Name]])</f>
        <v>#VALUE!</v>
      </c>
      <c r="I1176">
        <f>IFERROR(tblPassengerNames[[#This Row],[OpenParPos]] - 2, LEN(tblPassengerNames[[#This Row],[Name]]))</f>
        <v>28</v>
      </c>
      <c r="J1176" t="str">
        <f>MID(tblPassengerNames[[#This Row],[Name]], tblPassengerNames[[#This Row],[DotPos]] + 2, tblPassengerNames[[#This Row],[EndOfConvFNPos]] - tblPassengerNames[[#This Row],[DotPos]] - 1)</f>
        <v>Constance Gladys</v>
      </c>
      <c r="K1176" t="e">
        <f>MID(tblPassengerNames[[#This Row],[Name]], tblPassengerNames[[#This Row],[OpenParPos]] + 1, tblPassengerNames[[#This Row],[CloseParPos]] - tblPassengerNames[[#This Row],[OpenParPos]] - 1)</f>
        <v>#VALUE!</v>
      </c>
      <c r="L1176" t="e">
        <f>IF(AND(LEFT(tblPassengerNames[[#This Row],[InParentheses]], 1) = "'", RIGHT(tblPassengerNames[[#This Row],[InParentheses]], 1) = "'"),
    #VALUE!,
    tblPassengerNames[[#This Row],[InParentheses]]
)</f>
        <v>#VALUE!</v>
      </c>
      <c r="M1176" t="e">
        <f>LEN(tblPassengerNames[[#This Row],[InParenthesesCleaned]]) - LEN(SUBSTITUTE(tblPassengerNames[[#This Row],[InParenthesesCleaned]], " ", ""))</f>
        <v>#VALUE!</v>
      </c>
      <c r="N1176" t="e">
        <f>FIND("@", SUBSTITUTE(tblPassengerNames[[#This Row],[InParenthesesCleaned]], " ", "@", tblPassengerNames[[#This Row],[P_NSpaces]]))</f>
        <v>#VALUE!</v>
      </c>
      <c r="O1176" t="e">
        <f>IF(tblPassengerNames[[#This Row],[P_NSpaces]] = 0,
    tblPassengerNames[[#This Row],[InParenthesesCleaned]],
    LEFT(tblPassengerNames[[#This Row],[InParenthesesCleaned]], tblPassengerNames[[#This Row],[P_FinalSpacePos]] - 1)
)</f>
        <v>#VALUE!</v>
      </c>
      <c r="P1176" t="str">
        <f>IFERROR(tblPassengerNames[[#This Row],[P_Forenames]], tblPassengerNames[[#This Row],[ConvForenames]])</f>
        <v>Constance Gladys</v>
      </c>
      <c r="Q1176" t="str">
        <f>MID(tblPassengerNames[[#This Row],[Name]], tblPassengerNames[[#This Row],[CommaPos]] + 2, tblPassengerNames[[#This Row],[DotPos]] - tblPassengerNames[[#This Row],[CommaPos]] - 1)</f>
        <v>Miss.</v>
      </c>
      <c r="R1176" t="str">
        <f>LEFT(tblPassengerNames[[#This Row],[Name]], tblPassengerNames[[#This Row],[CommaPos]] - 1)</f>
        <v>Sage</v>
      </c>
    </row>
    <row r="1177" spans="2:18" x14ac:dyDescent="0.25">
      <c r="B1177" s="21">
        <v>1175</v>
      </c>
      <c r="C1177" s="21" t="s">
        <v>1309</v>
      </c>
      <c r="D1177" s="21" t="s">
        <v>136</v>
      </c>
      <c r="E1177">
        <f>FIND(",", tblPassengerNames[[#This Row],[Name]])</f>
        <v>5</v>
      </c>
      <c r="F1177">
        <f>FIND(".", tblPassengerNames[[#This Row],[Name]])</f>
        <v>11</v>
      </c>
      <c r="G1177" t="e">
        <f>FIND("(", tblPassengerNames[[#This Row],[Name]])</f>
        <v>#VALUE!</v>
      </c>
      <c r="H1177" t="e">
        <f>FIND(")", tblPassengerNames[[#This Row],[Name]])</f>
        <v>#VALUE!</v>
      </c>
      <c r="I1177">
        <f>IFERROR(tblPassengerNames[[#This Row],[OpenParPos]] - 2, LEN(tblPassengerNames[[#This Row],[Name]]))</f>
        <v>33</v>
      </c>
      <c r="J1177" t="str">
        <f>MID(tblPassengerNames[[#This Row],[Name]], tblPassengerNames[[#This Row],[DotPos]] + 2, tblPassengerNames[[#This Row],[EndOfConvFNPos]] - tblPassengerNames[[#This Row],[DotPos]] - 1)</f>
        <v>Dorothy Edith 'Dolly'</v>
      </c>
      <c r="K1177" t="e">
        <f>MID(tblPassengerNames[[#This Row],[Name]], tblPassengerNames[[#This Row],[OpenParPos]] + 1, tblPassengerNames[[#This Row],[CloseParPos]] - tblPassengerNames[[#This Row],[OpenParPos]] - 1)</f>
        <v>#VALUE!</v>
      </c>
      <c r="L1177" t="e">
        <f>IF(AND(LEFT(tblPassengerNames[[#This Row],[InParentheses]], 1) = "'", RIGHT(tblPassengerNames[[#This Row],[InParentheses]], 1) = "'"),
    #VALUE!,
    tblPassengerNames[[#This Row],[InParentheses]]
)</f>
        <v>#VALUE!</v>
      </c>
      <c r="M1177" t="e">
        <f>LEN(tblPassengerNames[[#This Row],[InParenthesesCleaned]]) - LEN(SUBSTITUTE(tblPassengerNames[[#This Row],[InParenthesesCleaned]], " ", ""))</f>
        <v>#VALUE!</v>
      </c>
      <c r="N1177" t="e">
        <f>FIND("@", SUBSTITUTE(tblPassengerNames[[#This Row],[InParenthesesCleaned]], " ", "@", tblPassengerNames[[#This Row],[P_NSpaces]]))</f>
        <v>#VALUE!</v>
      </c>
      <c r="O1177" t="e">
        <f>IF(tblPassengerNames[[#This Row],[P_NSpaces]] = 0,
    tblPassengerNames[[#This Row],[InParenthesesCleaned]],
    LEFT(tblPassengerNames[[#This Row],[InParenthesesCleaned]], tblPassengerNames[[#This Row],[P_FinalSpacePos]] - 1)
)</f>
        <v>#VALUE!</v>
      </c>
      <c r="P1177" t="str">
        <f>IFERROR(tblPassengerNames[[#This Row],[P_Forenames]], tblPassengerNames[[#This Row],[ConvForenames]])</f>
        <v>Dorothy Edith 'Dolly'</v>
      </c>
      <c r="Q1177" t="str">
        <f>MID(tblPassengerNames[[#This Row],[Name]], tblPassengerNames[[#This Row],[CommaPos]] + 2, tblPassengerNames[[#This Row],[DotPos]] - tblPassengerNames[[#This Row],[CommaPos]] - 1)</f>
        <v>Miss.</v>
      </c>
      <c r="R1177" t="str">
        <f>LEFT(tblPassengerNames[[#This Row],[Name]], tblPassengerNames[[#This Row],[CommaPos]] - 1)</f>
        <v>Sage</v>
      </c>
    </row>
    <row r="1178" spans="2:18" x14ac:dyDescent="0.25">
      <c r="B1178" s="21">
        <v>1176</v>
      </c>
      <c r="C1178" s="21" t="s">
        <v>1310</v>
      </c>
      <c r="D1178" s="21" t="s">
        <v>136</v>
      </c>
      <c r="E1178">
        <f>FIND(",", tblPassengerNames[[#This Row],[Name]])</f>
        <v>5</v>
      </c>
      <c r="F1178">
        <f>FIND(".", tblPassengerNames[[#This Row],[Name]])</f>
        <v>11</v>
      </c>
      <c r="G1178" t="e">
        <f>FIND("(", tblPassengerNames[[#This Row],[Name]])</f>
        <v>#VALUE!</v>
      </c>
      <c r="H1178" t="e">
        <f>FIND(")", tblPassengerNames[[#This Row],[Name]])</f>
        <v>#VALUE!</v>
      </c>
      <c r="I1178">
        <f>IFERROR(tblPassengerNames[[#This Row],[OpenParPos]] - 2, LEN(tblPassengerNames[[#This Row],[Name]]))</f>
        <v>23</v>
      </c>
      <c r="J1178" t="str">
        <f>MID(tblPassengerNames[[#This Row],[Name]], tblPassengerNames[[#This Row],[DotPos]] + 2, tblPassengerNames[[#This Row],[EndOfConvFNPos]] - tblPassengerNames[[#This Row],[DotPos]] - 1)</f>
        <v>Stella Anna</v>
      </c>
      <c r="K1178" t="e">
        <f>MID(tblPassengerNames[[#This Row],[Name]], tblPassengerNames[[#This Row],[OpenParPos]] + 1, tblPassengerNames[[#This Row],[CloseParPos]] - tblPassengerNames[[#This Row],[OpenParPos]] - 1)</f>
        <v>#VALUE!</v>
      </c>
      <c r="L1178" t="e">
        <f>IF(AND(LEFT(tblPassengerNames[[#This Row],[InParentheses]], 1) = "'", RIGHT(tblPassengerNames[[#This Row],[InParentheses]], 1) = "'"),
    #VALUE!,
    tblPassengerNames[[#This Row],[InParentheses]]
)</f>
        <v>#VALUE!</v>
      </c>
      <c r="M1178" t="e">
        <f>LEN(tblPassengerNames[[#This Row],[InParenthesesCleaned]]) - LEN(SUBSTITUTE(tblPassengerNames[[#This Row],[InParenthesesCleaned]], " ", ""))</f>
        <v>#VALUE!</v>
      </c>
      <c r="N1178" t="e">
        <f>FIND("@", SUBSTITUTE(tblPassengerNames[[#This Row],[InParenthesesCleaned]], " ", "@", tblPassengerNames[[#This Row],[P_NSpaces]]))</f>
        <v>#VALUE!</v>
      </c>
      <c r="O1178" t="e">
        <f>IF(tblPassengerNames[[#This Row],[P_NSpaces]] = 0,
    tblPassengerNames[[#This Row],[InParenthesesCleaned]],
    LEFT(tblPassengerNames[[#This Row],[InParenthesesCleaned]], tblPassengerNames[[#This Row],[P_FinalSpacePos]] - 1)
)</f>
        <v>#VALUE!</v>
      </c>
      <c r="P1178" t="str">
        <f>IFERROR(tblPassengerNames[[#This Row],[P_Forenames]], tblPassengerNames[[#This Row],[ConvForenames]])</f>
        <v>Stella Anna</v>
      </c>
      <c r="Q1178" t="str">
        <f>MID(tblPassengerNames[[#This Row],[Name]], tblPassengerNames[[#This Row],[CommaPos]] + 2, tblPassengerNames[[#This Row],[DotPos]] - tblPassengerNames[[#This Row],[CommaPos]] - 1)</f>
        <v>Miss.</v>
      </c>
      <c r="R1178" t="str">
        <f>LEFT(tblPassengerNames[[#This Row],[Name]], tblPassengerNames[[#This Row],[CommaPos]] - 1)</f>
        <v>Sage</v>
      </c>
    </row>
    <row r="1179" spans="2:18" x14ac:dyDescent="0.25">
      <c r="B1179" s="21">
        <v>1177</v>
      </c>
      <c r="C1179" s="21" t="s">
        <v>1311</v>
      </c>
      <c r="D1179" s="21" t="s">
        <v>138</v>
      </c>
      <c r="E1179">
        <f>FIND(",", tblPassengerNames[[#This Row],[Name]])</f>
        <v>5</v>
      </c>
      <c r="F1179">
        <f>FIND(".", tblPassengerNames[[#This Row],[Name]])</f>
        <v>9</v>
      </c>
      <c r="G1179" t="e">
        <f>FIND("(", tblPassengerNames[[#This Row],[Name]])</f>
        <v>#VALUE!</v>
      </c>
      <c r="H1179" t="e">
        <f>FIND(")", tblPassengerNames[[#This Row],[Name]])</f>
        <v>#VALUE!</v>
      </c>
      <c r="I1179">
        <f>IFERROR(tblPassengerNames[[#This Row],[OpenParPos]] - 2, LEN(tblPassengerNames[[#This Row],[Name]]))</f>
        <v>24</v>
      </c>
      <c r="J1179" t="str">
        <f>MID(tblPassengerNames[[#This Row],[Name]], tblPassengerNames[[#This Row],[DotPos]] + 2, tblPassengerNames[[#This Row],[EndOfConvFNPos]] - tblPassengerNames[[#This Row],[DotPos]] - 1)</f>
        <v>Douglas Bullen</v>
      </c>
      <c r="K1179" t="e">
        <f>MID(tblPassengerNames[[#This Row],[Name]], tblPassengerNames[[#This Row],[OpenParPos]] + 1, tblPassengerNames[[#This Row],[CloseParPos]] - tblPassengerNames[[#This Row],[OpenParPos]] - 1)</f>
        <v>#VALUE!</v>
      </c>
      <c r="L1179" t="e">
        <f>IF(AND(LEFT(tblPassengerNames[[#This Row],[InParentheses]], 1) = "'", RIGHT(tblPassengerNames[[#This Row],[InParentheses]], 1) = "'"),
    #VALUE!,
    tblPassengerNames[[#This Row],[InParentheses]]
)</f>
        <v>#VALUE!</v>
      </c>
      <c r="M1179" t="e">
        <f>LEN(tblPassengerNames[[#This Row],[InParenthesesCleaned]]) - LEN(SUBSTITUTE(tblPassengerNames[[#This Row],[InParenthesesCleaned]], " ", ""))</f>
        <v>#VALUE!</v>
      </c>
      <c r="N1179" t="e">
        <f>FIND("@", SUBSTITUTE(tblPassengerNames[[#This Row],[InParenthesesCleaned]], " ", "@", tblPassengerNames[[#This Row],[P_NSpaces]]))</f>
        <v>#VALUE!</v>
      </c>
      <c r="O1179" t="e">
        <f>IF(tblPassengerNames[[#This Row],[P_NSpaces]] = 0,
    tblPassengerNames[[#This Row],[InParenthesesCleaned]],
    LEFT(tblPassengerNames[[#This Row],[InParenthesesCleaned]], tblPassengerNames[[#This Row],[P_FinalSpacePos]] - 1)
)</f>
        <v>#VALUE!</v>
      </c>
      <c r="P1179" t="str">
        <f>IFERROR(tblPassengerNames[[#This Row],[P_Forenames]], tblPassengerNames[[#This Row],[ConvForenames]])</f>
        <v>Douglas Bullen</v>
      </c>
      <c r="Q1179" t="str">
        <f>MID(tblPassengerNames[[#This Row],[Name]], tblPassengerNames[[#This Row],[CommaPos]] + 2, tblPassengerNames[[#This Row],[DotPos]] - tblPassengerNames[[#This Row],[CommaPos]] - 1)</f>
        <v>Mr.</v>
      </c>
      <c r="R1179" t="str">
        <f>LEFT(tblPassengerNames[[#This Row],[Name]], tblPassengerNames[[#This Row],[CommaPos]] - 1)</f>
        <v>Sage</v>
      </c>
    </row>
    <row r="1180" spans="2:18" x14ac:dyDescent="0.25">
      <c r="B1180" s="21">
        <v>1178</v>
      </c>
      <c r="C1180" s="21" t="s">
        <v>1312</v>
      </c>
      <c r="D1180" s="21" t="s">
        <v>138</v>
      </c>
      <c r="E1180">
        <f>FIND(",", tblPassengerNames[[#This Row],[Name]])</f>
        <v>5</v>
      </c>
      <c r="F1180">
        <f>FIND(".", tblPassengerNames[[#This Row],[Name]])</f>
        <v>9</v>
      </c>
      <c r="G1180" t="e">
        <f>FIND("(", tblPassengerNames[[#This Row],[Name]])</f>
        <v>#VALUE!</v>
      </c>
      <c r="H1180" t="e">
        <f>FIND(")", tblPassengerNames[[#This Row],[Name]])</f>
        <v>#VALUE!</v>
      </c>
      <c r="I1180">
        <f>IFERROR(tblPassengerNames[[#This Row],[OpenParPos]] - 2, LEN(tblPassengerNames[[#This Row],[Name]]))</f>
        <v>19</v>
      </c>
      <c r="J1180" t="str">
        <f>MID(tblPassengerNames[[#This Row],[Name]], tblPassengerNames[[#This Row],[DotPos]] + 2, tblPassengerNames[[#This Row],[EndOfConvFNPos]] - tblPassengerNames[[#This Row],[DotPos]] - 1)</f>
        <v>Frederick</v>
      </c>
      <c r="K1180" t="e">
        <f>MID(tblPassengerNames[[#This Row],[Name]], tblPassengerNames[[#This Row],[OpenParPos]] + 1, tblPassengerNames[[#This Row],[CloseParPos]] - tblPassengerNames[[#This Row],[OpenParPos]] - 1)</f>
        <v>#VALUE!</v>
      </c>
      <c r="L1180" t="e">
        <f>IF(AND(LEFT(tblPassengerNames[[#This Row],[InParentheses]], 1) = "'", RIGHT(tblPassengerNames[[#This Row],[InParentheses]], 1) = "'"),
    #VALUE!,
    tblPassengerNames[[#This Row],[InParentheses]]
)</f>
        <v>#VALUE!</v>
      </c>
      <c r="M1180" t="e">
        <f>LEN(tblPassengerNames[[#This Row],[InParenthesesCleaned]]) - LEN(SUBSTITUTE(tblPassengerNames[[#This Row],[InParenthesesCleaned]], " ", ""))</f>
        <v>#VALUE!</v>
      </c>
      <c r="N1180" t="e">
        <f>FIND("@", SUBSTITUTE(tblPassengerNames[[#This Row],[InParenthesesCleaned]], " ", "@", tblPassengerNames[[#This Row],[P_NSpaces]]))</f>
        <v>#VALUE!</v>
      </c>
      <c r="O1180" t="e">
        <f>IF(tblPassengerNames[[#This Row],[P_NSpaces]] = 0,
    tblPassengerNames[[#This Row],[InParenthesesCleaned]],
    LEFT(tblPassengerNames[[#This Row],[InParenthesesCleaned]], tblPassengerNames[[#This Row],[P_FinalSpacePos]] - 1)
)</f>
        <v>#VALUE!</v>
      </c>
      <c r="P1180" t="str">
        <f>IFERROR(tblPassengerNames[[#This Row],[P_Forenames]], tblPassengerNames[[#This Row],[ConvForenames]])</f>
        <v>Frederick</v>
      </c>
      <c r="Q1180" t="str">
        <f>MID(tblPassengerNames[[#This Row],[Name]], tblPassengerNames[[#This Row],[CommaPos]] + 2, tblPassengerNames[[#This Row],[DotPos]] - tblPassengerNames[[#This Row],[CommaPos]] - 1)</f>
        <v>Mr.</v>
      </c>
      <c r="R1180" t="str">
        <f>LEFT(tblPassengerNames[[#This Row],[Name]], tblPassengerNames[[#This Row],[CommaPos]] - 1)</f>
        <v>Sage</v>
      </c>
    </row>
    <row r="1181" spans="2:18" x14ac:dyDescent="0.25">
      <c r="B1181" s="21">
        <v>1179</v>
      </c>
      <c r="C1181" s="21" t="s">
        <v>1313</v>
      </c>
      <c r="D1181" s="21" t="s">
        <v>138</v>
      </c>
      <c r="E1181">
        <f>FIND(",", tblPassengerNames[[#This Row],[Name]])</f>
        <v>5</v>
      </c>
      <c r="F1181">
        <f>FIND(".", tblPassengerNames[[#This Row],[Name]])</f>
        <v>9</v>
      </c>
      <c r="G1181" t="e">
        <f>FIND("(", tblPassengerNames[[#This Row],[Name]])</f>
        <v>#VALUE!</v>
      </c>
      <c r="H1181" t="e">
        <f>FIND(")", tblPassengerNames[[#This Row],[Name]])</f>
        <v>#VALUE!</v>
      </c>
      <c r="I1181">
        <f>IFERROR(tblPassengerNames[[#This Row],[OpenParPos]] - 2, LEN(tblPassengerNames[[#This Row],[Name]]))</f>
        <v>24</v>
      </c>
      <c r="J1181" t="str">
        <f>MID(tblPassengerNames[[#This Row],[Name]], tblPassengerNames[[#This Row],[DotPos]] + 2, tblPassengerNames[[#This Row],[EndOfConvFNPos]] - tblPassengerNames[[#This Row],[DotPos]] - 1)</f>
        <v>George John Jr</v>
      </c>
      <c r="K1181" t="e">
        <f>MID(tblPassengerNames[[#This Row],[Name]], tblPassengerNames[[#This Row],[OpenParPos]] + 1, tblPassengerNames[[#This Row],[CloseParPos]] - tblPassengerNames[[#This Row],[OpenParPos]] - 1)</f>
        <v>#VALUE!</v>
      </c>
      <c r="L1181" t="e">
        <f>IF(AND(LEFT(tblPassengerNames[[#This Row],[InParentheses]], 1) = "'", RIGHT(tblPassengerNames[[#This Row],[InParentheses]], 1) = "'"),
    #VALUE!,
    tblPassengerNames[[#This Row],[InParentheses]]
)</f>
        <v>#VALUE!</v>
      </c>
      <c r="M1181" t="e">
        <f>LEN(tblPassengerNames[[#This Row],[InParenthesesCleaned]]) - LEN(SUBSTITUTE(tblPassengerNames[[#This Row],[InParenthesesCleaned]], " ", ""))</f>
        <v>#VALUE!</v>
      </c>
      <c r="N1181" t="e">
        <f>FIND("@", SUBSTITUTE(tblPassengerNames[[#This Row],[InParenthesesCleaned]], " ", "@", tblPassengerNames[[#This Row],[P_NSpaces]]))</f>
        <v>#VALUE!</v>
      </c>
      <c r="O1181" t="e">
        <f>IF(tblPassengerNames[[#This Row],[P_NSpaces]] = 0,
    tblPassengerNames[[#This Row],[InParenthesesCleaned]],
    LEFT(tblPassengerNames[[#This Row],[InParenthesesCleaned]], tblPassengerNames[[#This Row],[P_FinalSpacePos]] - 1)
)</f>
        <v>#VALUE!</v>
      </c>
      <c r="P1181" t="str">
        <f>IFERROR(tblPassengerNames[[#This Row],[P_Forenames]], tblPassengerNames[[#This Row],[ConvForenames]])</f>
        <v>George John Jr</v>
      </c>
      <c r="Q1181" t="str">
        <f>MID(tblPassengerNames[[#This Row],[Name]], tblPassengerNames[[#This Row],[CommaPos]] + 2, tblPassengerNames[[#This Row],[DotPos]] - tblPassengerNames[[#This Row],[CommaPos]] - 1)</f>
        <v>Mr.</v>
      </c>
      <c r="R1181" t="str">
        <f>LEFT(tblPassengerNames[[#This Row],[Name]], tblPassengerNames[[#This Row],[CommaPos]] - 1)</f>
        <v>Sage</v>
      </c>
    </row>
    <row r="1182" spans="2:18" x14ac:dyDescent="0.25">
      <c r="B1182" s="21">
        <v>1180</v>
      </c>
      <c r="C1182" s="21" t="s">
        <v>1314</v>
      </c>
      <c r="D1182" s="21" t="s">
        <v>138</v>
      </c>
      <c r="E1182">
        <f>FIND(",", tblPassengerNames[[#This Row],[Name]])</f>
        <v>5</v>
      </c>
      <c r="F1182">
        <f>FIND(".", tblPassengerNames[[#This Row],[Name]])</f>
        <v>9</v>
      </c>
      <c r="G1182" t="e">
        <f>FIND("(", tblPassengerNames[[#This Row],[Name]])</f>
        <v>#VALUE!</v>
      </c>
      <c r="H1182" t="e">
        <f>FIND(")", tblPassengerNames[[#This Row],[Name]])</f>
        <v>#VALUE!</v>
      </c>
      <c r="I1182">
        <f>IFERROR(tblPassengerNames[[#This Row],[OpenParPos]] - 2, LEN(tblPassengerNames[[#This Row],[Name]]))</f>
        <v>21</v>
      </c>
      <c r="J1182" t="str">
        <f>MID(tblPassengerNames[[#This Row],[Name]], tblPassengerNames[[#This Row],[DotPos]] + 2, tblPassengerNames[[#This Row],[EndOfConvFNPos]] - tblPassengerNames[[#This Row],[DotPos]] - 1)</f>
        <v>John George</v>
      </c>
      <c r="K1182" t="e">
        <f>MID(tblPassengerNames[[#This Row],[Name]], tblPassengerNames[[#This Row],[OpenParPos]] + 1, tblPassengerNames[[#This Row],[CloseParPos]] - tblPassengerNames[[#This Row],[OpenParPos]] - 1)</f>
        <v>#VALUE!</v>
      </c>
      <c r="L1182" t="e">
        <f>IF(AND(LEFT(tblPassengerNames[[#This Row],[InParentheses]], 1) = "'", RIGHT(tblPassengerNames[[#This Row],[InParentheses]], 1) = "'"),
    #VALUE!,
    tblPassengerNames[[#This Row],[InParentheses]]
)</f>
        <v>#VALUE!</v>
      </c>
      <c r="M1182" t="e">
        <f>LEN(tblPassengerNames[[#This Row],[InParenthesesCleaned]]) - LEN(SUBSTITUTE(tblPassengerNames[[#This Row],[InParenthesesCleaned]], " ", ""))</f>
        <v>#VALUE!</v>
      </c>
      <c r="N1182" t="e">
        <f>FIND("@", SUBSTITUTE(tblPassengerNames[[#This Row],[InParenthesesCleaned]], " ", "@", tblPassengerNames[[#This Row],[P_NSpaces]]))</f>
        <v>#VALUE!</v>
      </c>
      <c r="O1182" t="e">
        <f>IF(tblPassengerNames[[#This Row],[P_NSpaces]] = 0,
    tblPassengerNames[[#This Row],[InParenthesesCleaned]],
    LEFT(tblPassengerNames[[#This Row],[InParenthesesCleaned]], tblPassengerNames[[#This Row],[P_FinalSpacePos]] - 1)
)</f>
        <v>#VALUE!</v>
      </c>
      <c r="P1182" t="str">
        <f>IFERROR(tblPassengerNames[[#This Row],[P_Forenames]], tblPassengerNames[[#This Row],[ConvForenames]])</f>
        <v>John George</v>
      </c>
      <c r="Q1182" t="str">
        <f>MID(tblPassengerNames[[#This Row],[Name]], tblPassengerNames[[#This Row],[CommaPos]] + 2, tblPassengerNames[[#This Row],[DotPos]] - tblPassengerNames[[#This Row],[CommaPos]] - 1)</f>
        <v>Mr.</v>
      </c>
      <c r="R1182" t="str">
        <f>LEFT(tblPassengerNames[[#This Row],[Name]], tblPassengerNames[[#This Row],[CommaPos]] - 1)</f>
        <v>Sage</v>
      </c>
    </row>
    <row r="1183" spans="2:18" x14ac:dyDescent="0.25">
      <c r="B1183" s="21">
        <v>1181</v>
      </c>
      <c r="C1183" s="21" t="s">
        <v>1315</v>
      </c>
      <c r="D1183" s="21" t="s">
        <v>136</v>
      </c>
      <c r="E1183">
        <f>FIND(",", tblPassengerNames[[#This Row],[Name]])</f>
        <v>5</v>
      </c>
      <c r="F1183">
        <f>FIND(".", tblPassengerNames[[#This Row],[Name]])</f>
        <v>10</v>
      </c>
      <c r="G1183">
        <f>FIND("(", tblPassengerNames[[#This Row],[Name]])</f>
        <v>17</v>
      </c>
      <c r="H1183">
        <f>FIND(")", tblPassengerNames[[#This Row],[Name]])</f>
        <v>30</v>
      </c>
      <c r="I1183">
        <f>IFERROR(tblPassengerNames[[#This Row],[OpenParPos]] - 2, LEN(tblPassengerNames[[#This Row],[Name]]))</f>
        <v>15</v>
      </c>
      <c r="J1183" t="str">
        <f>MID(tblPassengerNames[[#This Row],[Name]], tblPassengerNames[[#This Row],[DotPos]] + 2, tblPassengerNames[[#This Row],[EndOfConvFNPos]] - tblPassengerNames[[#This Row],[DotPos]] - 1)</f>
        <v>John</v>
      </c>
      <c r="K1183" t="str">
        <f>MID(tblPassengerNames[[#This Row],[Name]], tblPassengerNames[[#This Row],[OpenParPos]] + 1, tblPassengerNames[[#This Row],[CloseParPos]] - tblPassengerNames[[#This Row],[OpenParPos]] - 1)</f>
        <v>Annie Bullen</v>
      </c>
      <c r="L1183" t="str">
        <f>IF(AND(LEFT(tblPassengerNames[[#This Row],[InParentheses]], 1) = "'", RIGHT(tblPassengerNames[[#This Row],[InParentheses]], 1) = "'"),
    #VALUE!,
    tblPassengerNames[[#This Row],[InParentheses]]
)</f>
        <v>Annie Bullen</v>
      </c>
      <c r="M1183">
        <f>LEN(tblPassengerNames[[#This Row],[InParenthesesCleaned]]) - LEN(SUBSTITUTE(tblPassengerNames[[#This Row],[InParenthesesCleaned]], " ", ""))</f>
        <v>1</v>
      </c>
      <c r="N1183">
        <f>FIND("@", SUBSTITUTE(tblPassengerNames[[#This Row],[InParenthesesCleaned]], " ", "@", tblPassengerNames[[#This Row],[P_NSpaces]]))</f>
        <v>6</v>
      </c>
      <c r="O1183" t="str">
        <f>IF(tblPassengerNames[[#This Row],[P_NSpaces]] = 0,
    tblPassengerNames[[#This Row],[InParenthesesCleaned]],
    LEFT(tblPassengerNames[[#This Row],[InParenthesesCleaned]], tblPassengerNames[[#This Row],[P_FinalSpacePos]] - 1)
)</f>
        <v>Annie</v>
      </c>
      <c r="P1183" t="str">
        <f>IFERROR(tblPassengerNames[[#This Row],[P_Forenames]], tblPassengerNames[[#This Row],[ConvForenames]])</f>
        <v>Annie</v>
      </c>
      <c r="Q1183" t="str">
        <f>MID(tblPassengerNames[[#This Row],[Name]], tblPassengerNames[[#This Row],[CommaPos]] + 2, tblPassengerNames[[#This Row],[DotPos]] - tblPassengerNames[[#This Row],[CommaPos]] - 1)</f>
        <v>Mrs.</v>
      </c>
      <c r="R1183" t="str">
        <f>LEFT(tblPassengerNames[[#This Row],[Name]], tblPassengerNames[[#This Row],[CommaPos]] - 1)</f>
        <v>Sage</v>
      </c>
    </row>
    <row r="1184" spans="2:18" x14ac:dyDescent="0.25">
      <c r="B1184" s="21">
        <v>1182</v>
      </c>
      <c r="C1184" s="21" t="s">
        <v>1316</v>
      </c>
      <c r="D1184" s="21" t="s">
        <v>138</v>
      </c>
      <c r="E1184">
        <f>FIND(",", tblPassengerNames[[#This Row],[Name]])</f>
        <v>9</v>
      </c>
      <c r="F1184">
        <f>FIND(".", tblPassengerNames[[#This Row],[Name]])</f>
        <v>13</v>
      </c>
      <c r="G1184" t="e">
        <f>FIND("(", tblPassengerNames[[#This Row],[Name]])</f>
        <v>#VALUE!</v>
      </c>
      <c r="H1184" t="e">
        <f>FIND(")", tblPassengerNames[[#This Row],[Name]])</f>
        <v>#VALUE!</v>
      </c>
      <c r="I1184">
        <f>IFERROR(tblPassengerNames[[#This Row],[OpenParPos]] - 2, LEN(tblPassengerNames[[#This Row],[Name]]))</f>
        <v>24</v>
      </c>
      <c r="J1184" t="str">
        <f>MID(tblPassengerNames[[#This Row],[Name]], tblPassengerNames[[#This Row],[DotPos]] + 2, tblPassengerNames[[#This Row],[EndOfConvFNPos]] - tblPassengerNames[[#This Row],[DotPos]] - 1)</f>
        <v>Karl Johan</v>
      </c>
      <c r="K1184" t="e">
        <f>MID(tblPassengerNames[[#This Row],[Name]], tblPassengerNames[[#This Row],[OpenParPos]] + 1, tblPassengerNames[[#This Row],[CloseParPos]] - tblPassengerNames[[#This Row],[OpenParPos]] - 1)</f>
        <v>#VALUE!</v>
      </c>
      <c r="L1184" t="e">
        <f>IF(AND(LEFT(tblPassengerNames[[#This Row],[InParentheses]], 1) = "'", RIGHT(tblPassengerNames[[#This Row],[InParentheses]], 1) = "'"),
    #VALUE!,
    tblPassengerNames[[#This Row],[InParentheses]]
)</f>
        <v>#VALUE!</v>
      </c>
      <c r="M1184" t="e">
        <f>LEN(tblPassengerNames[[#This Row],[InParenthesesCleaned]]) - LEN(SUBSTITUTE(tblPassengerNames[[#This Row],[InParenthesesCleaned]], " ", ""))</f>
        <v>#VALUE!</v>
      </c>
      <c r="N1184" t="e">
        <f>FIND("@", SUBSTITUTE(tblPassengerNames[[#This Row],[InParenthesesCleaned]], " ", "@", tblPassengerNames[[#This Row],[P_NSpaces]]))</f>
        <v>#VALUE!</v>
      </c>
      <c r="O1184" t="e">
        <f>IF(tblPassengerNames[[#This Row],[P_NSpaces]] = 0,
    tblPassengerNames[[#This Row],[InParenthesesCleaned]],
    LEFT(tblPassengerNames[[#This Row],[InParenthesesCleaned]], tblPassengerNames[[#This Row],[P_FinalSpacePos]] - 1)
)</f>
        <v>#VALUE!</v>
      </c>
      <c r="P1184" t="str">
        <f>IFERROR(tblPassengerNames[[#This Row],[P_Forenames]], tblPassengerNames[[#This Row],[ConvForenames]])</f>
        <v>Karl Johan</v>
      </c>
      <c r="Q1184" t="str">
        <f>MID(tblPassengerNames[[#This Row],[Name]], tblPassengerNames[[#This Row],[CommaPos]] + 2, tblPassengerNames[[#This Row],[DotPos]] - tblPassengerNames[[#This Row],[CommaPos]] - 1)</f>
        <v>Mr.</v>
      </c>
      <c r="R1184" t="str">
        <f>LEFT(tblPassengerNames[[#This Row],[Name]], tblPassengerNames[[#This Row],[CommaPos]] - 1)</f>
        <v>Salander</v>
      </c>
    </row>
    <row r="1185" spans="2:18" x14ac:dyDescent="0.25">
      <c r="B1185" s="21">
        <v>1183</v>
      </c>
      <c r="C1185" s="21" t="s">
        <v>1317</v>
      </c>
      <c r="D1185" s="21" t="s">
        <v>136</v>
      </c>
      <c r="E1185">
        <f>FIND(",", tblPassengerNames[[#This Row],[Name]])</f>
        <v>12</v>
      </c>
      <c r="F1185">
        <f>FIND(".", tblPassengerNames[[#This Row],[Name]])</f>
        <v>18</v>
      </c>
      <c r="G1185" t="e">
        <f>FIND("(", tblPassengerNames[[#This Row],[Name]])</f>
        <v>#VALUE!</v>
      </c>
      <c r="H1185" t="e">
        <f>FIND(")", tblPassengerNames[[#This Row],[Name]])</f>
        <v>#VALUE!</v>
      </c>
      <c r="I1185">
        <f>IFERROR(tblPassengerNames[[#This Row],[OpenParPos]] - 2, LEN(tblPassengerNames[[#This Row],[Name]]))</f>
        <v>32</v>
      </c>
      <c r="J1185" t="str">
        <f>MID(tblPassengerNames[[#This Row],[Name]], tblPassengerNames[[#This Row],[DotPos]] + 2, tblPassengerNames[[#This Row],[EndOfConvFNPos]] - tblPassengerNames[[#This Row],[DotPos]] - 1)</f>
        <v>Anna Kristine</v>
      </c>
      <c r="K1185" t="e">
        <f>MID(tblPassengerNames[[#This Row],[Name]], tblPassengerNames[[#This Row],[OpenParPos]] + 1, tblPassengerNames[[#This Row],[CloseParPos]] - tblPassengerNames[[#This Row],[OpenParPos]] - 1)</f>
        <v>#VALUE!</v>
      </c>
      <c r="L1185" t="e">
        <f>IF(AND(LEFT(tblPassengerNames[[#This Row],[InParentheses]], 1) = "'", RIGHT(tblPassengerNames[[#This Row],[InParentheses]], 1) = "'"),
    #VALUE!,
    tblPassengerNames[[#This Row],[InParentheses]]
)</f>
        <v>#VALUE!</v>
      </c>
      <c r="M1185" t="e">
        <f>LEN(tblPassengerNames[[#This Row],[InParenthesesCleaned]]) - LEN(SUBSTITUTE(tblPassengerNames[[#This Row],[InParenthesesCleaned]], " ", ""))</f>
        <v>#VALUE!</v>
      </c>
      <c r="N1185" t="e">
        <f>FIND("@", SUBSTITUTE(tblPassengerNames[[#This Row],[InParenthesesCleaned]], " ", "@", tblPassengerNames[[#This Row],[P_NSpaces]]))</f>
        <v>#VALUE!</v>
      </c>
      <c r="O1185" t="e">
        <f>IF(tblPassengerNames[[#This Row],[P_NSpaces]] = 0,
    tblPassengerNames[[#This Row],[InParenthesesCleaned]],
    LEFT(tblPassengerNames[[#This Row],[InParenthesesCleaned]], tblPassengerNames[[#This Row],[P_FinalSpacePos]] - 1)
)</f>
        <v>#VALUE!</v>
      </c>
      <c r="P1185" t="str">
        <f>IFERROR(tblPassengerNames[[#This Row],[P_Forenames]], tblPassengerNames[[#This Row],[ConvForenames]])</f>
        <v>Anna Kristine</v>
      </c>
      <c r="Q1185" t="str">
        <f>MID(tblPassengerNames[[#This Row],[Name]], tblPassengerNames[[#This Row],[CommaPos]] + 2, tblPassengerNames[[#This Row],[DotPos]] - tblPassengerNames[[#This Row],[CommaPos]] - 1)</f>
        <v>Miss.</v>
      </c>
      <c r="R1185" t="str">
        <f>LEFT(tblPassengerNames[[#This Row],[Name]], tblPassengerNames[[#This Row],[CommaPos]] - 1)</f>
        <v>Salkjelsvik</v>
      </c>
    </row>
    <row r="1186" spans="2:18" x14ac:dyDescent="0.25">
      <c r="B1186" s="21">
        <v>1184</v>
      </c>
      <c r="C1186" s="21" t="s">
        <v>1318</v>
      </c>
      <c r="D1186" s="21" t="s">
        <v>138</v>
      </c>
      <c r="E1186">
        <f>FIND(",", tblPassengerNames[[#This Row],[Name]])</f>
        <v>8</v>
      </c>
      <c r="F1186">
        <f>FIND(".", tblPassengerNames[[#This Row],[Name]])</f>
        <v>12</v>
      </c>
      <c r="G1186" t="e">
        <f>FIND("(", tblPassengerNames[[#This Row],[Name]])</f>
        <v>#VALUE!</v>
      </c>
      <c r="H1186" t="e">
        <f>FIND(")", tblPassengerNames[[#This Row],[Name]])</f>
        <v>#VALUE!</v>
      </c>
      <c r="I1186">
        <f>IFERROR(tblPassengerNames[[#This Row],[OpenParPos]] - 2, LEN(tblPassengerNames[[#This Row],[Name]]))</f>
        <v>25</v>
      </c>
      <c r="J1186" t="str">
        <f>MID(tblPassengerNames[[#This Row],[Name]], tblPassengerNames[[#This Row],[DotPos]] + 2, tblPassengerNames[[#This Row],[EndOfConvFNPos]] - tblPassengerNames[[#This Row],[DotPos]] - 1)</f>
        <v>Johan Werner</v>
      </c>
      <c r="K1186" t="e">
        <f>MID(tblPassengerNames[[#This Row],[Name]], tblPassengerNames[[#This Row],[OpenParPos]] + 1, tblPassengerNames[[#This Row],[CloseParPos]] - tblPassengerNames[[#This Row],[OpenParPos]] - 1)</f>
        <v>#VALUE!</v>
      </c>
      <c r="L1186" t="e">
        <f>IF(AND(LEFT(tblPassengerNames[[#This Row],[InParentheses]], 1) = "'", RIGHT(tblPassengerNames[[#This Row],[InParentheses]], 1) = "'"),
    #VALUE!,
    tblPassengerNames[[#This Row],[InParentheses]]
)</f>
        <v>#VALUE!</v>
      </c>
      <c r="M1186" t="e">
        <f>LEN(tblPassengerNames[[#This Row],[InParenthesesCleaned]]) - LEN(SUBSTITUTE(tblPassengerNames[[#This Row],[InParenthesesCleaned]], " ", ""))</f>
        <v>#VALUE!</v>
      </c>
      <c r="N1186" t="e">
        <f>FIND("@", SUBSTITUTE(tblPassengerNames[[#This Row],[InParenthesesCleaned]], " ", "@", tblPassengerNames[[#This Row],[P_NSpaces]]))</f>
        <v>#VALUE!</v>
      </c>
      <c r="O1186" t="e">
        <f>IF(tblPassengerNames[[#This Row],[P_NSpaces]] = 0,
    tblPassengerNames[[#This Row],[InParenthesesCleaned]],
    LEFT(tblPassengerNames[[#This Row],[InParenthesesCleaned]], tblPassengerNames[[#This Row],[P_FinalSpacePos]] - 1)
)</f>
        <v>#VALUE!</v>
      </c>
      <c r="P1186" t="str">
        <f>IFERROR(tblPassengerNames[[#This Row],[P_Forenames]], tblPassengerNames[[#This Row],[ConvForenames]])</f>
        <v>Johan Werner</v>
      </c>
      <c r="Q1186" t="str">
        <f>MID(tblPassengerNames[[#This Row],[Name]], tblPassengerNames[[#This Row],[CommaPos]] + 2, tblPassengerNames[[#This Row],[DotPos]] - tblPassengerNames[[#This Row],[CommaPos]] - 1)</f>
        <v>Mr.</v>
      </c>
      <c r="R1186" t="str">
        <f>LEFT(tblPassengerNames[[#This Row],[Name]], tblPassengerNames[[#This Row],[CommaPos]] - 1)</f>
        <v>Salonen</v>
      </c>
    </row>
    <row r="1187" spans="2:18" x14ac:dyDescent="0.25">
      <c r="B1187" s="21">
        <v>1185</v>
      </c>
      <c r="C1187" s="21" t="s">
        <v>1319</v>
      </c>
      <c r="D1187" s="21" t="s">
        <v>138</v>
      </c>
      <c r="E1187">
        <f>FIND(",", tblPassengerNames[[#This Row],[Name]])</f>
        <v>7</v>
      </c>
      <c r="F1187">
        <f>FIND(".", tblPassengerNames[[#This Row],[Name]])</f>
        <v>11</v>
      </c>
      <c r="G1187" t="e">
        <f>FIND("(", tblPassengerNames[[#This Row],[Name]])</f>
        <v>#VALUE!</v>
      </c>
      <c r="H1187" t="e">
        <f>FIND(")", tblPassengerNames[[#This Row],[Name]])</f>
        <v>#VALUE!</v>
      </c>
      <c r="I1187">
        <f>IFERROR(tblPassengerNames[[#This Row],[OpenParPos]] - 2, LEN(tblPassengerNames[[#This Row],[Name]]))</f>
        <v>17</v>
      </c>
      <c r="J1187" t="str">
        <f>MID(tblPassengerNames[[#This Row],[Name]], tblPassengerNames[[#This Row],[DotPos]] + 2, tblPassengerNames[[#This Row],[EndOfConvFNPos]] - tblPassengerNames[[#This Row],[DotPos]] - 1)</f>
        <v>Elias</v>
      </c>
      <c r="K1187" t="e">
        <f>MID(tblPassengerNames[[#This Row],[Name]], tblPassengerNames[[#This Row],[OpenParPos]] + 1, tblPassengerNames[[#This Row],[CloseParPos]] - tblPassengerNames[[#This Row],[OpenParPos]] - 1)</f>
        <v>#VALUE!</v>
      </c>
      <c r="L1187" t="e">
        <f>IF(AND(LEFT(tblPassengerNames[[#This Row],[InParentheses]], 1) = "'", RIGHT(tblPassengerNames[[#This Row],[InParentheses]], 1) = "'"),
    #VALUE!,
    tblPassengerNames[[#This Row],[InParentheses]]
)</f>
        <v>#VALUE!</v>
      </c>
      <c r="M1187" t="e">
        <f>LEN(tblPassengerNames[[#This Row],[InParenthesesCleaned]]) - LEN(SUBSTITUTE(tblPassengerNames[[#This Row],[InParenthesesCleaned]], " ", ""))</f>
        <v>#VALUE!</v>
      </c>
      <c r="N1187" t="e">
        <f>FIND("@", SUBSTITUTE(tblPassengerNames[[#This Row],[InParenthesesCleaned]], " ", "@", tblPassengerNames[[#This Row],[P_NSpaces]]))</f>
        <v>#VALUE!</v>
      </c>
      <c r="O1187" t="e">
        <f>IF(tblPassengerNames[[#This Row],[P_NSpaces]] = 0,
    tblPassengerNames[[#This Row],[InParenthesesCleaned]],
    LEFT(tblPassengerNames[[#This Row],[InParenthesesCleaned]], tblPassengerNames[[#This Row],[P_FinalSpacePos]] - 1)
)</f>
        <v>#VALUE!</v>
      </c>
      <c r="P1187" t="str">
        <f>IFERROR(tblPassengerNames[[#This Row],[P_Forenames]], tblPassengerNames[[#This Row],[ConvForenames]])</f>
        <v>Elias</v>
      </c>
      <c r="Q1187" t="str">
        <f>MID(tblPassengerNames[[#This Row],[Name]], tblPassengerNames[[#This Row],[CommaPos]] + 2, tblPassengerNames[[#This Row],[DotPos]] - tblPassengerNames[[#This Row],[CommaPos]] - 1)</f>
        <v>Mr.</v>
      </c>
      <c r="R1187" t="str">
        <f>LEFT(tblPassengerNames[[#This Row],[Name]], tblPassengerNames[[#This Row],[CommaPos]] - 1)</f>
        <v>Samaan</v>
      </c>
    </row>
    <row r="1188" spans="2:18" x14ac:dyDescent="0.25">
      <c r="B1188" s="21">
        <v>1186</v>
      </c>
      <c r="C1188" s="21" t="s">
        <v>1320</v>
      </c>
      <c r="D1188" s="21" t="s">
        <v>138</v>
      </c>
      <c r="E1188">
        <f>FIND(",", tblPassengerNames[[#This Row],[Name]])</f>
        <v>7</v>
      </c>
      <c r="F1188">
        <f>FIND(".", tblPassengerNames[[#This Row],[Name]])</f>
        <v>11</v>
      </c>
      <c r="G1188" t="e">
        <f>FIND("(", tblPassengerNames[[#This Row],[Name]])</f>
        <v>#VALUE!</v>
      </c>
      <c r="H1188" t="e">
        <f>FIND(")", tblPassengerNames[[#This Row],[Name]])</f>
        <v>#VALUE!</v>
      </c>
      <c r="I1188">
        <f>IFERROR(tblPassengerNames[[#This Row],[OpenParPos]] - 2, LEN(tblPassengerNames[[#This Row],[Name]]))</f>
        <v>17</v>
      </c>
      <c r="J1188" t="str">
        <f>MID(tblPassengerNames[[#This Row],[Name]], tblPassengerNames[[#This Row],[DotPos]] + 2, tblPassengerNames[[#This Row],[EndOfConvFNPos]] - tblPassengerNames[[#This Row],[DotPos]] - 1)</f>
        <v>Hanna</v>
      </c>
      <c r="K1188" t="e">
        <f>MID(tblPassengerNames[[#This Row],[Name]], tblPassengerNames[[#This Row],[OpenParPos]] + 1, tblPassengerNames[[#This Row],[CloseParPos]] - tblPassengerNames[[#This Row],[OpenParPos]] - 1)</f>
        <v>#VALUE!</v>
      </c>
      <c r="L1188" t="e">
        <f>IF(AND(LEFT(tblPassengerNames[[#This Row],[InParentheses]], 1) = "'", RIGHT(tblPassengerNames[[#This Row],[InParentheses]], 1) = "'"),
    #VALUE!,
    tblPassengerNames[[#This Row],[InParentheses]]
)</f>
        <v>#VALUE!</v>
      </c>
      <c r="M1188" t="e">
        <f>LEN(tblPassengerNames[[#This Row],[InParenthesesCleaned]]) - LEN(SUBSTITUTE(tblPassengerNames[[#This Row],[InParenthesesCleaned]], " ", ""))</f>
        <v>#VALUE!</v>
      </c>
      <c r="N1188" t="e">
        <f>FIND("@", SUBSTITUTE(tblPassengerNames[[#This Row],[InParenthesesCleaned]], " ", "@", tblPassengerNames[[#This Row],[P_NSpaces]]))</f>
        <v>#VALUE!</v>
      </c>
      <c r="O1188" t="e">
        <f>IF(tblPassengerNames[[#This Row],[P_NSpaces]] = 0,
    tblPassengerNames[[#This Row],[InParenthesesCleaned]],
    LEFT(tblPassengerNames[[#This Row],[InParenthesesCleaned]], tblPassengerNames[[#This Row],[P_FinalSpacePos]] - 1)
)</f>
        <v>#VALUE!</v>
      </c>
      <c r="P1188" t="str">
        <f>IFERROR(tblPassengerNames[[#This Row],[P_Forenames]], tblPassengerNames[[#This Row],[ConvForenames]])</f>
        <v>Hanna</v>
      </c>
      <c r="Q1188" t="str">
        <f>MID(tblPassengerNames[[#This Row],[Name]], tblPassengerNames[[#This Row],[CommaPos]] + 2, tblPassengerNames[[#This Row],[DotPos]] - tblPassengerNames[[#This Row],[CommaPos]] - 1)</f>
        <v>Mr.</v>
      </c>
      <c r="R1188" t="str">
        <f>LEFT(tblPassengerNames[[#This Row],[Name]], tblPassengerNames[[#This Row],[CommaPos]] - 1)</f>
        <v>Samaan</v>
      </c>
    </row>
    <row r="1189" spans="2:18" x14ac:dyDescent="0.25">
      <c r="B1189" s="21">
        <v>1187</v>
      </c>
      <c r="C1189" s="21" t="s">
        <v>1321</v>
      </c>
      <c r="D1189" s="21" t="s">
        <v>138</v>
      </c>
      <c r="E1189">
        <f>FIND(",", tblPassengerNames[[#This Row],[Name]])</f>
        <v>7</v>
      </c>
      <c r="F1189">
        <f>FIND(".", tblPassengerNames[[#This Row],[Name]])</f>
        <v>11</v>
      </c>
      <c r="G1189" t="e">
        <f>FIND("(", tblPassengerNames[[#This Row],[Name]])</f>
        <v>#VALUE!</v>
      </c>
      <c r="H1189" t="e">
        <f>FIND(")", tblPassengerNames[[#This Row],[Name]])</f>
        <v>#VALUE!</v>
      </c>
      <c r="I1189">
        <f>IFERROR(tblPassengerNames[[#This Row],[OpenParPos]] - 2, LEN(tblPassengerNames[[#This Row],[Name]]))</f>
        <v>19</v>
      </c>
      <c r="J1189" t="str">
        <f>MID(tblPassengerNames[[#This Row],[Name]], tblPassengerNames[[#This Row],[DotPos]] + 2, tblPassengerNames[[#This Row],[EndOfConvFNPos]] - tblPassengerNames[[#This Row],[DotPos]] - 1)</f>
        <v>Youssef</v>
      </c>
      <c r="K1189" t="e">
        <f>MID(tblPassengerNames[[#This Row],[Name]], tblPassengerNames[[#This Row],[OpenParPos]] + 1, tblPassengerNames[[#This Row],[CloseParPos]] - tblPassengerNames[[#This Row],[OpenParPos]] - 1)</f>
        <v>#VALUE!</v>
      </c>
      <c r="L1189" t="e">
        <f>IF(AND(LEFT(tblPassengerNames[[#This Row],[InParentheses]], 1) = "'", RIGHT(tblPassengerNames[[#This Row],[InParentheses]], 1) = "'"),
    #VALUE!,
    tblPassengerNames[[#This Row],[InParentheses]]
)</f>
        <v>#VALUE!</v>
      </c>
      <c r="M1189" t="e">
        <f>LEN(tblPassengerNames[[#This Row],[InParenthesesCleaned]]) - LEN(SUBSTITUTE(tblPassengerNames[[#This Row],[InParenthesesCleaned]], " ", ""))</f>
        <v>#VALUE!</v>
      </c>
      <c r="N1189" t="e">
        <f>FIND("@", SUBSTITUTE(tblPassengerNames[[#This Row],[InParenthesesCleaned]], " ", "@", tblPassengerNames[[#This Row],[P_NSpaces]]))</f>
        <v>#VALUE!</v>
      </c>
      <c r="O1189" t="e">
        <f>IF(tblPassengerNames[[#This Row],[P_NSpaces]] = 0,
    tblPassengerNames[[#This Row],[InParenthesesCleaned]],
    LEFT(tblPassengerNames[[#This Row],[InParenthesesCleaned]], tblPassengerNames[[#This Row],[P_FinalSpacePos]] - 1)
)</f>
        <v>#VALUE!</v>
      </c>
      <c r="P1189" t="str">
        <f>IFERROR(tblPassengerNames[[#This Row],[P_Forenames]], tblPassengerNames[[#This Row],[ConvForenames]])</f>
        <v>Youssef</v>
      </c>
      <c r="Q1189" t="str">
        <f>MID(tblPassengerNames[[#This Row],[Name]], tblPassengerNames[[#This Row],[CommaPos]] + 2, tblPassengerNames[[#This Row],[DotPos]] - tblPassengerNames[[#This Row],[CommaPos]] - 1)</f>
        <v>Mr.</v>
      </c>
      <c r="R1189" t="str">
        <f>LEFT(tblPassengerNames[[#This Row],[Name]], tblPassengerNames[[#This Row],[CommaPos]] - 1)</f>
        <v>Samaan</v>
      </c>
    </row>
    <row r="1190" spans="2:18" x14ac:dyDescent="0.25">
      <c r="B1190" s="21">
        <v>1188</v>
      </c>
      <c r="C1190" s="21" t="s">
        <v>1322</v>
      </c>
      <c r="D1190" s="21" t="s">
        <v>136</v>
      </c>
      <c r="E1190">
        <f>FIND(",", tblPassengerNames[[#This Row],[Name]])</f>
        <v>10</v>
      </c>
      <c r="F1190">
        <f>FIND(".", tblPassengerNames[[#This Row],[Name]])</f>
        <v>16</v>
      </c>
      <c r="G1190" t="e">
        <f>FIND("(", tblPassengerNames[[#This Row],[Name]])</f>
        <v>#VALUE!</v>
      </c>
      <c r="H1190" t="e">
        <f>FIND(")", tblPassengerNames[[#This Row],[Name]])</f>
        <v>#VALUE!</v>
      </c>
      <c r="I1190">
        <f>IFERROR(tblPassengerNames[[#This Row],[OpenParPos]] - 2, LEN(tblPassengerNames[[#This Row],[Name]]))</f>
        <v>31</v>
      </c>
      <c r="J1190" t="str">
        <f>MID(tblPassengerNames[[#This Row],[Name]], tblPassengerNames[[#This Row],[DotPos]] + 2, tblPassengerNames[[#This Row],[EndOfConvFNPos]] - tblPassengerNames[[#This Row],[DotPos]] - 1)</f>
        <v>Beatrice Irene</v>
      </c>
      <c r="K1190" t="e">
        <f>MID(tblPassengerNames[[#This Row],[Name]], tblPassengerNames[[#This Row],[OpenParPos]] + 1, tblPassengerNames[[#This Row],[CloseParPos]] - tblPassengerNames[[#This Row],[OpenParPos]] - 1)</f>
        <v>#VALUE!</v>
      </c>
      <c r="L1190" t="e">
        <f>IF(AND(LEFT(tblPassengerNames[[#This Row],[InParentheses]], 1) = "'", RIGHT(tblPassengerNames[[#This Row],[InParentheses]], 1) = "'"),
    #VALUE!,
    tblPassengerNames[[#This Row],[InParentheses]]
)</f>
        <v>#VALUE!</v>
      </c>
      <c r="M1190" t="e">
        <f>LEN(tblPassengerNames[[#This Row],[InParenthesesCleaned]]) - LEN(SUBSTITUTE(tblPassengerNames[[#This Row],[InParenthesesCleaned]], " ", ""))</f>
        <v>#VALUE!</v>
      </c>
      <c r="N1190" t="e">
        <f>FIND("@", SUBSTITUTE(tblPassengerNames[[#This Row],[InParenthesesCleaned]], " ", "@", tblPassengerNames[[#This Row],[P_NSpaces]]))</f>
        <v>#VALUE!</v>
      </c>
      <c r="O1190" t="e">
        <f>IF(tblPassengerNames[[#This Row],[P_NSpaces]] = 0,
    tblPassengerNames[[#This Row],[InParenthesesCleaned]],
    LEFT(tblPassengerNames[[#This Row],[InParenthesesCleaned]], tblPassengerNames[[#This Row],[P_FinalSpacePos]] - 1)
)</f>
        <v>#VALUE!</v>
      </c>
      <c r="P1190" t="str">
        <f>IFERROR(tblPassengerNames[[#This Row],[P_Forenames]], tblPassengerNames[[#This Row],[ConvForenames]])</f>
        <v>Beatrice Irene</v>
      </c>
      <c r="Q1190" t="str">
        <f>MID(tblPassengerNames[[#This Row],[Name]], tblPassengerNames[[#This Row],[CommaPos]] + 2, tblPassengerNames[[#This Row],[DotPos]] - tblPassengerNames[[#This Row],[CommaPos]] - 1)</f>
        <v>Miss.</v>
      </c>
      <c r="R1190" t="str">
        <f>LEFT(tblPassengerNames[[#This Row],[Name]], tblPassengerNames[[#This Row],[CommaPos]] - 1)</f>
        <v>Sandstrom</v>
      </c>
    </row>
    <row r="1191" spans="2:18" x14ac:dyDescent="0.25">
      <c r="B1191" s="21">
        <v>1189</v>
      </c>
      <c r="C1191" s="21" t="s">
        <v>1323</v>
      </c>
      <c r="D1191" s="21" t="s">
        <v>136</v>
      </c>
      <c r="E1191">
        <f>FIND(",", tblPassengerNames[[#This Row],[Name]])</f>
        <v>10</v>
      </c>
      <c r="F1191">
        <f>FIND(".", tblPassengerNames[[#This Row],[Name]])</f>
        <v>15</v>
      </c>
      <c r="G1191">
        <f>FIND("(", tblPassengerNames[[#This Row],[Name]])</f>
        <v>25</v>
      </c>
      <c r="H1191">
        <f>FIND(")", tblPassengerNames[[#This Row],[Name]])</f>
        <v>51</v>
      </c>
      <c r="I1191">
        <f>IFERROR(tblPassengerNames[[#This Row],[OpenParPos]] - 2, LEN(tblPassengerNames[[#This Row],[Name]]))</f>
        <v>23</v>
      </c>
      <c r="J1191" t="str">
        <f>MID(tblPassengerNames[[#This Row],[Name]], tblPassengerNames[[#This Row],[DotPos]] + 2, tblPassengerNames[[#This Row],[EndOfConvFNPos]] - tblPassengerNames[[#This Row],[DotPos]] - 1)</f>
        <v>Hjalmar</v>
      </c>
      <c r="K1191" t="str">
        <f>MID(tblPassengerNames[[#This Row],[Name]], tblPassengerNames[[#This Row],[OpenParPos]] + 1, tblPassengerNames[[#This Row],[CloseParPos]] - tblPassengerNames[[#This Row],[OpenParPos]] - 1)</f>
        <v>Agnes Charlotta Bengtsson</v>
      </c>
      <c r="L1191" t="str">
        <f>IF(AND(LEFT(tblPassengerNames[[#This Row],[InParentheses]], 1) = "'", RIGHT(tblPassengerNames[[#This Row],[InParentheses]], 1) = "'"),
    #VALUE!,
    tblPassengerNames[[#This Row],[InParentheses]]
)</f>
        <v>Agnes Charlotta Bengtsson</v>
      </c>
      <c r="M1191">
        <f>LEN(tblPassengerNames[[#This Row],[InParenthesesCleaned]]) - LEN(SUBSTITUTE(tblPassengerNames[[#This Row],[InParenthesesCleaned]], " ", ""))</f>
        <v>2</v>
      </c>
      <c r="N1191">
        <f>FIND("@", SUBSTITUTE(tblPassengerNames[[#This Row],[InParenthesesCleaned]], " ", "@", tblPassengerNames[[#This Row],[P_NSpaces]]))</f>
        <v>16</v>
      </c>
      <c r="O1191" t="str">
        <f>IF(tblPassengerNames[[#This Row],[P_NSpaces]] = 0,
    tblPassengerNames[[#This Row],[InParenthesesCleaned]],
    LEFT(tblPassengerNames[[#This Row],[InParenthesesCleaned]], tblPassengerNames[[#This Row],[P_FinalSpacePos]] - 1)
)</f>
        <v>Agnes Charlotta</v>
      </c>
      <c r="P1191" t="str">
        <f>IFERROR(tblPassengerNames[[#This Row],[P_Forenames]], tblPassengerNames[[#This Row],[ConvForenames]])</f>
        <v>Agnes Charlotta</v>
      </c>
      <c r="Q1191" t="str">
        <f>MID(tblPassengerNames[[#This Row],[Name]], tblPassengerNames[[#This Row],[CommaPos]] + 2, tblPassengerNames[[#This Row],[DotPos]] - tblPassengerNames[[#This Row],[CommaPos]] - 1)</f>
        <v>Mrs.</v>
      </c>
      <c r="R1191" t="str">
        <f>LEFT(tblPassengerNames[[#This Row],[Name]], tblPassengerNames[[#This Row],[CommaPos]] - 1)</f>
        <v>Sandstrom</v>
      </c>
    </row>
    <row r="1192" spans="2:18" x14ac:dyDescent="0.25">
      <c r="B1192" s="21">
        <v>1190</v>
      </c>
      <c r="C1192" s="21" t="s">
        <v>1324</v>
      </c>
      <c r="D1192" s="21" t="s">
        <v>136</v>
      </c>
      <c r="E1192">
        <f>FIND(",", tblPassengerNames[[#This Row],[Name]])</f>
        <v>10</v>
      </c>
      <c r="F1192">
        <f>FIND(".", tblPassengerNames[[#This Row],[Name]])</f>
        <v>16</v>
      </c>
      <c r="G1192" t="e">
        <f>FIND("(", tblPassengerNames[[#This Row],[Name]])</f>
        <v>#VALUE!</v>
      </c>
      <c r="H1192" t="e">
        <f>FIND(")", tblPassengerNames[[#This Row],[Name]])</f>
        <v>#VALUE!</v>
      </c>
      <c r="I1192">
        <f>IFERROR(tblPassengerNames[[#This Row],[OpenParPos]] - 2, LEN(tblPassengerNames[[#This Row],[Name]]))</f>
        <v>31</v>
      </c>
      <c r="J1192" t="str">
        <f>MID(tblPassengerNames[[#This Row],[Name]], tblPassengerNames[[#This Row],[DotPos]] + 2, tblPassengerNames[[#This Row],[EndOfConvFNPos]] - tblPassengerNames[[#This Row],[DotPos]] - 1)</f>
        <v>Marguerite Rut</v>
      </c>
      <c r="K1192" t="e">
        <f>MID(tblPassengerNames[[#This Row],[Name]], tblPassengerNames[[#This Row],[OpenParPos]] + 1, tblPassengerNames[[#This Row],[CloseParPos]] - tblPassengerNames[[#This Row],[OpenParPos]] - 1)</f>
        <v>#VALUE!</v>
      </c>
      <c r="L1192" t="e">
        <f>IF(AND(LEFT(tblPassengerNames[[#This Row],[InParentheses]], 1) = "'", RIGHT(tblPassengerNames[[#This Row],[InParentheses]], 1) = "'"),
    #VALUE!,
    tblPassengerNames[[#This Row],[InParentheses]]
)</f>
        <v>#VALUE!</v>
      </c>
      <c r="M1192" t="e">
        <f>LEN(tblPassengerNames[[#This Row],[InParenthesesCleaned]]) - LEN(SUBSTITUTE(tblPassengerNames[[#This Row],[InParenthesesCleaned]], " ", ""))</f>
        <v>#VALUE!</v>
      </c>
      <c r="N1192" t="e">
        <f>FIND("@", SUBSTITUTE(tblPassengerNames[[#This Row],[InParenthesesCleaned]], " ", "@", tblPassengerNames[[#This Row],[P_NSpaces]]))</f>
        <v>#VALUE!</v>
      </c>
      <c r="O1192" t="e">
        <f>IF(tblPassengerNames[[#This Row],[P_NSpaces]] = 0,
    tblPassengerNames[[#This Row],[InParenthesesCleaned]],
    LEFT(tblPassengerNames[[#This Row],[InParenthesesCleaned]], tblPassengerNames[[#This Row],[P_FinalSpacePos]] - 1)
)</f>
        <v>#VALUE!</v>
      </c>
      <c r="P1192" t="str">
        <f>IFERROR(tblPassengerNames[[#This Row],[P_Forenames]], tblPassengerNames[[#This Row],[ConvForenames]])</f>
        <v>Marguerite Rut</v>
      </c>
      <c r="Q1192" t="str">
        <f>MID(tblPassengerNames[[#This Row],[Name]], tblPassengerNames[[#This Row],[CommaPos]] + 2, tblPassengerNames[[#This Row],[DotPos]] - tblPassengerNames[[#This Row],[CommaPos]] - 1)</f>
        <v>Miss.</v>
      </c>
      <c r="R1192" t="str">
        <f>LEFT(tblPassengerNames[[#This Row],[Name]], tblPassengerNames[[#This Row],[CommaPos]] - 1)</f>
        <v>Sandstrom</v>
      </c>
    </row>
    <row r="1193" spans="2:18" x14ac:dyDescent="0.25">
      <c r="B1193" s="21">
        <v>1191</v>
      </c>
      <c r="C1193" s="21" t="s">
        <v>1325</v>
      </c>
      <c r="D1193" s="21" t="s">
        <v>138</v>
      </c>
      <c r="E1193">
        <f>FIND(",", tblPassengerNames[[#This Row],[Name]])</f>
        <v>4</v>
      </c>
      <c r="F1193">
        <f>FIND(".", tblPassengerNames[[#This Row],[Name]])</f>
        <v>8</v>
      </c>
      <c r="G1193" t="e">
        <f>FIND("(", tblPassengerNames[[#This Row],[Name]])</f>
        <v>#VALUE!</v>
      </c>
      <c r="H1193" t="e">
        <f>FIND(")", tblPassengerNames[[#This Row],[Name]])</f>
        <v>#VALUE!</v>
      </c>
      <c r="I1193">
        <f>IFERROR(tblPassengerNames[[#This Row],[OpenParPos]] - 2, LEN(tblPassengerNames[[#This Row],[Name]]))</f>
        <v>15</v>
      </c>
      <c r="J1193" t="str">
        <f>MID(tblPassengerNames[[#This Row],[Name]], tblPassengerNames[[#This Row],[DotPos]] + 2, tblPassengerNames[[#This Row],[EndOfConvFNPos]] - tblPassengerNames[[#This Row],[DotPos]] - 1)</f>
        <v>Julius</v>
      </c>
      <c r="K1193" t="e">
        <f>MID(tblPassengerNames[[#This Row],[Name]], tblPassengerNames[[#This Row],[OpenParPos]] + 1, tblPassengerNames[[#This Row],[CloseParPos]] - tblPassengerNames[[#This Row],[OpenParPos]] - 1)</f>
        <v>#VALUE!</v>
      </c>
      <c r="L1193" t="e">
        <f>IF(AND(LEFT(tblPassengerNames[[#This Row],[InParentheses]], 1) = "'", RIGHT(tblPassengerNames[[#This Row],[InParentheses]], 1) = "'"),
    #VALUE!,
    tblPassengerNames[[#This Row],[InParentheses]]
)</f>
        <v>#VALUE!</v>
      </c>
      <c r="M1193" t="e">
        <f>LEN(tblPassengerNames[[#This Row],[InParenthesesCleaned]]) - LEN(SUBSTITUTE(tblPassengerNames[[#This Row],[InParenthesesCleaned]], " ", ""))</f>
        <v>#VALUE!</v>
      </c>
      <c r="N1193" t="e">
        <f>FIND("@", SUBSTITUTE(tblPassengerNames[[#This Row],[InParenthesesCleaned]], " ", "@", tblPassengerNames[[#This Row],[P_NSpaces]]))</f>
        <v>#VALUE!</v>
      </c>
      <c r="O1193" t="e">
        <f>IF(tblPassengerNames[[#This Row],[P_NSpaces]] = 0,
    tblPassengerNames[[#This Row],[InParenthesesCleaned]],
    LEFT(tblPassengerNames[[#This Row],[InParenthesesCleaned]], tblPassengerNames[[#This Row],[P_FinalSpacePos]] - 1)
)</f>
        <v>#VALUE!</v>
      </c>
      <c r="P1193" t="str">
        <f>IFERROR(tblPassengerNames[[#This Row],[P_Forenames]], tblPassengerNames[[#This Row],[ConvForenames]])</f>
        <v>Julius</v>
      </c>
      <c r="Q1193" t="str">
        <f>MID(tblPassengerNames[[#This Row],[Name]], tblPassengerNames[[#This Row],[CommaPos]] + 2, tblPassengerNames[[#This Row],[DotPos]] - tblPassengerNames[[#This Row],[CommaPos]] - 1)</f>
        <v>Mr.</v>
      </c>
      <c r="R1193" t="str">
        <f>LEFT(tblPassengerNames[[#This Row],[Name]], tblPassengerNames[[#This Row],[CommaPos]] - 1)</f>
        <v>Sap</v>
      </c>
    </row>
    <row r="1194" spans="2:18" x14ac:dyDescent="0.25">
      <c r="B1194" s="21">
        <v>1192</v>
      </c>
      <c r="C1194" s="21" t="s">
        <v>1326</v>
      </c>
      <c r="D1194" s="21" t="s">
        <v>138</v>
      </c>
      <c r="E1194">
        <f>FIND(",", tblPassengerNames[[#This Row],[Name]])</f>
        <v>12</v>
      </c>
      <c r="F1194">
        <f>FIND(".", tblPassengerNames[[#This Row],[Name]])</f>
        <v>16</v>
      </c>
      <c r="G1194" t="e">
        <f>FIND("(", tblPassengerNames[[#This Row],[Name]])</f>
        <v>#VALUE!</v>
      </c>
      <c r="H1194" t="e">
        <f>FIND(")", tblPassengerNames[[#This Row],[Name]])</f>
        <v>#VALUE!</v>
      </c>
      <c r="I1194">
        <f>IFERROR(tblPassengerNames[[#This Row],[OpenParPos]] - 2, LEN(tblPassengerNames[[#This Row],[Name]]))</f>
        <v>30</v>
      </c>
      <c r="J1194" t="str">
        <f>MID(tblPassengerNames[[#This Row],[Name]], tblPassengerNames[[#This Row],[DotPos]] + 2, tblPassengerNames[[#This Row],[EndOfConvFNPos]] - tblPassengerNames[[#This Row],[DotPos]] - 1)</f>
        <v>William Henry</v>
      </c>
      <c r="K1194" t="e">
        <f>MID(tblPassengerNames[[#This Row],[Name]], tblPassengerNames[[#This Row],[OpenParPos]] + 1, tblPassengerNames[[#This Row],[CloseParPos]] - tblPassengerNames[[#This Row],[OpenParPos]] - 1)</f>
        <v>#VALUE!</v>
      </c>
      <c r="L1194" t="e">
        <f>IF(AND(LEFT(tblPassengerNames[[#This Row],[InParentheses]], 1) = "'", RIGHT(tblPassengerNames[[#This Row],[InParentheses]], 1) = "'"),
    #VALUE!,
    tblPassengerNames[[#This Row],[InParentheses]]
)</f>
        <v>#VALUE!</v>
      </c>
      <c r="M1194" t="e">
        <f>LEN(tblPassengerNames[[#This Row],[InParenthesesCleaned]]) - LEN(SUBSTITUTE(tblPassengerNames[[#This Row],[InParenthesesCleaned]], " ", ""))</f>
        <v>#VALUE!</v>
      </c>
      <c r="N1194" t="e">
        <f>FIND("@", SUBSTITUTE(tblPassengerNames[[#This Row],[InParenthesesCleaned]], " ", "@", tblPassengerNames[[#This Row],[P_NSpaces]]))</f>
        <v>#VALUE!</v>
      </c>
      <c r="O1194" t="e">
        <f>IF(tblPassengerNames[[#This Row],[P_NSpaces]] = 0,
    tblPassengerNames[[#This Row],[InParenthesesCleaned]],
    LEFT(tblPassengerNames[[#This Row],[InParenthesesCleaned]], tblPassengerNames[[#This Row],[P_FinalSpacePos]] - 1)
)</f>
        <v>#VALUE!</v>
      </c>
      <c r="P1194" t="str">
        <f>IFERROR(tblPassengerNames[[#This Row],[P_Forenames]], tblPassengerNames[[#This Row],[ConvForenames]])</f>
        <v>William Henry</v>
      </c>
      <c r="Q1194" t="str">
        <f>MID(tblPassengerNames[[#This Row],[Name]], tblPassengerNames[[#This Row],[CommaPos]] + 2, tblPassengerNames[[#This Row],[DotPos]] - tblPassengerNames[[#This Row],[CommaPos]] - 1)</f>
        <v>Mr.</v>
      </c>
      <c r="R1194" t="str">
        <f>LEFT(tblPassengerNames[[#This Row],[Name]], tblPassengerNames[[#This Row],[CommaPos]] - 1)</f>
        <v>Saundercock</v>
      </c>
    </row>
    <row r="1195" spans="2:18" x14ac:dyDescent="0.25">
      <c r="B1195" s="21">
        <v>1193</v>
      </c>
      <c r="C1195" s="21" t="s">
        <v>1327</v>
      </c>
      <c r="D1195" s="21" t="s">
        <v>138</v>
      </c>
      <c r="E1195">
        <f>FIND(",", tblPassengerNames[[#This Row],[Name]])</f>
        <v>7</v>
      </c>
      <c r="F1195">
        <f>FIND(".", tblPassengerNames[[#This Row],[Name]])</f>
        <v>11</v>
      </c>
      <c r="G1195" t="e">
        <f>FIND("(", tblPassengerNames[[#This Row],[Name]])</f>
        <v>#VALUE!</v>
      </c>
      <c r="H1195" t="e">
        <f>FIND(")", tblPassengerNames[[#This Row],[Name]])</f>
        <v>#VALUE!</v>
      </c>
      <c r="I1195">
        <f>IFERROR(tblPassengerNames[[#This Row],[OpenParPos]] - 2, LEN(tblPassengerNames[[#This Row],[Name]]))</f>
        <v>29</v>
      </c>
      <c r="J1195" t="str">
        <f>MID(tblPassengerNames[[#This Row],[Name]], tblPassengerNames[[#This Row],[DotPos]] + 2, tblPassengerNames[[#This Row],[EndOfConvFNPos]] - tblPassengerNames[[#This Row],[DotPos]] - 1)</f>
        <v>Frederick Charles</v>
      </c>
      <c r="K1195" t="e">
        <f>MID(tblPassengerNames[[#This Row],[Name]], tblPassengerNames[[#This Row],[OpenParPos]] + 1, tblPassengerNames[[#This Row],[CloseParPos]] - tblPassengerNames[[#This Row],[OpenParPos]] - 1)</f>
        <v>#VALUE!</v>
      </c>
      <c r="L1195" t="e">
        <f>IF(AND(LEFT(tblPassengerNames[[#This Row],[InParentheses]], 1) = "'", RIGHT(tblPassengerNames[[#This Row],[InParentheses]], 1) = "'"),
    #VALUE!,
    tblPassengerNames[[#This Row],[InParentheses]]
)</f>
        <v>#VALUE!</v>
      </c>
      <c r="M1195" t="e">
        <f>LEN(tblPassengerNames[[#This Row],[InParenthesesCleaned]]) - LEN(SUBSTITUTE(tblPassengerNames[[#This Row],[InParenthesesCleaned]], " ", ""))</f>
        <v>#VALUE!</v>
      </c>
      <c r="N1195" t="e">
        <f>FIND("@", SUBSTITUTE(tblPassengerNames[[#This Row],[InParenthesesCleaned]], " ", "@", tblPassengerNames[[#This Row],[P_NSpaces]]))</f>
        <v>#VALUE!</v>
      </c>
      <c r="O1195" t="e">
        <f>IF(tblPassengerNames[[#This Row],[P_NSpaces]] = 0,
    tblPassengerNames[[#This Row],[InParenthesesCleaned]],
    LEFT(tblPassengerNames[[#This Row],[InParenthesesCleaned]], tblPassengerNames[[#This Row],[P_FinalSpacePos]] - 1)
)</f>
        <v>#VALUE!</v>
      </c>
      <c r="P1195" t="str">
        <f>IFERROR(tblPassengerNames[[#This Row],[P_Forenames]], tblPassengerNames[[#This Row],[ConvForenames]])</f>
        <v>Frederick Charles</v>
      </c>
      <c r="Q1195" t="str">
        <f>MID(tblPassengerNames[[#This Row],[Name]], tblPassengerNames[[#This Row],[CommaPos]] + 2, tblPassengerNames[[#This Row],[DotPos]] - tblPassengerNames[[#This Row],[CommaPos]] - 1)</f>
        <v>Mr.</v>
      </c>
      <c r="R1195" t="str">
        <f>LEFT(tblPassengerNames[[#This Row],[Name]], tblPassengerNames[[#This Row],[CommaPos]] - 1)</f>
        <v>Sawyer</v>
      </c>
    </row>
    <row r="1196" spans="2:18" x14ac:dyDescent="0.25">
      <c r="B1196" s="21">
        <v>1194</v>
      </c>
      <c r="C1196" s="21" t="s">
        <v>1328</v>
      </c>
      <c r="D1196" s="21" t="s">
        <v>138</v>
      </c>
      <c r="E1196">
        <f>FIND(",", tblPassengerNames[[#This Row],[Name]])</f>
        <v>8</v>
      </c>
      <c r="F1196">
        <f>FIND(".", tblPassengerNames[[#This Row],[Name]])</f>
        <v>12</v>
      </c>
      <c r="G1196" t="e">
        <f>FIND("(", tblPassengerNames[[#This Row],[Name]])</f>
        <v>#VALUE!</v>
      </c>
      <c r="H1196" t="e">
        <f>FIND(")", tblPassengerNames[[#This Row],[Name]])</f>
        <v>#VALUE!</v>
      </c>
      <c r="I1196">
        <f>IFERROR(tblPassengerNames[[#This Row],[OpenParPos]] - 2, LEN(tblPassengerNames[[#This Row],[Name]]))</f>
        <v>18</v>
      </c>
      <c r="J1196" t="str">
        <f>MID(tblPassengerNames[[#This Row],[Name]], tblPassengerNames[[#This Row],[DotPos]] + 2, tblPassengerNames[[#This Row],[EndOfConvFNPos]] - tblPassengerNames[[#This Row],[DotPos]] - 1)</f>
        <v>James</v>
      </c>
      <c r="K1196" t="e">
        <f>MID(tblPassengerNames[[#This Row],[Name]], tblPassengerNames[[#This Row],[OpenParPos]] + 1, tblPassengerNames[[#This Row],[CloseParPos]] - tblPassengerNames[[#This Row],[OpenParPos]] - 1)</f>
        <v>#VALUE!</v>
      </c>
      <c r="L1196" t="e">
        <f>IF(AND(LEFT(tblPassengerNames[[#This Row],[InParentheses]], 1) = "'", RIGHT(tblPassengerNames[[#This Row],[InParentheses]], 1) = "'"),
    #VALUE!,
    tblPassengerNames[[#This Row],[InParentheses]]
)</f>
        <v>#VALUE!</v>
      </c>
      <c r="M1196" t="e">
        <f>LEN(tblPassengerNames[[#This Row],[InParenthesesCleaned]]) - LEN(SUBSTITUTE(tblPassengerNames[[#This Row],[InParenthesesCleaned]], " ", ""))</f>
        <v>#VALUE!</v>
      </c>
      <c r="N1196" t="e">
        <f>FIND("@", SUBSTITUTE(tblPassengerNames[[#This Row],[InParenthesesCleaned]], " ", "@", tblPassengerNames[[#This Row],[P_NSpaces]]))</f>
        <v>#VALUE!</v>
      </c>
      <c r="O1196" t="e">
        <f>IF(tblPassengerNames[[#This Row],[P_NSpaces]] = 0,
    tblPassengerNames[[#This Row],[InParenthesesCleaned]],
    LEFT(tblPassengerNames[[#This Row],[InParenthesesCleaned]], tblPassengerNames[[#This Row],[P_FinalSpacePos]] - 1)
)</f>
        <v>#VALUE!</v>
      </c>
      <c r="P1196" t="str">
        <f>IFERROR(tblPassengerNames[[#This Row],[P_Forenames]], tblPassengerNames[[#This Row],[ConvForenames]])</f>
        <v>James</v>
      </c>
      <c r="Q1196" t="str">
        <f>MID(tblPassengerNames[[#This Row],[Name]], tblPassengerNames[[#This Row],[CommaPos]] + 2, tblPassengerNames[[#This Row],[DotPos]] - tblPassengerNames[[#This Row],[CommaPos]] - 1)</f>
        <v>Mr.</v>
      </c>
      <c r="R1196" t="str">
        <f>LEFT(tblPassengerNames[[#This Row],[Name]], tblPassengerNames[[#This Row],[CommaPos]] - 1)</f>
        <v>Scanlan</v>
      </c>
    </row>
    <row r="1197" spans="2:18" x14ac:dyDescent="0.25">
      <c r="B1197" s="21">
        <v>1195</v>
      </c>
      <c r="C1197" s="21" t="s">
        <v>1329</v>
      </c>
      <c r="D1197" s="21" t="s">
        <v>138</v>
      </c>
      <c r="E1197">
        <f>FIND(",", tblPassengerNames[[#This Row],[Name]])</f>
        <v>8</v>
      </c>
      <c r="F1197">
        <f>FIND(".", tblPassengerNames[[#This Row],[Name]])</f>
        <v>12</v>
      </c>
      <c r="G1197" t="e">
        <f>FIND("(", tblPassengerNames[[#This Row],[Name]])</f>
        <v>#VALUE!</v>
      </c>
      <c r="H1197" t="e">
        <f>FIND(")", tblPassengerNames[[#This Row],[Name]])</f>
        <v>#VALUE!</v>
      </c>
      <c r="I1197">
        <f>IFERROR(tblPassengerNames[[#This Row],[OpenParPos]] - 2, LEN(tblPassengerNames[[#This Row],[Name]]))</f>
        <v>18</v>
      </c>
      <c r="J1197" t="str">
        <f>MID(tblPassengerNames[[#This Row],[Name]], tblPassengerNames[[#This Row],[DotPos]] + 2, tblPassengerNames[[#This Row],[EndOfConvFNPos]] - tblPassengerNames[[#This Row],[DotPos]] - 1)</f>
        <v>Todor</v>
      </c>
      <c r="K1197" t="e">
        <f>MID(tblPassengerNames[[#This Row],[Name]], tblPassengerNames[[#This Row],[OpenParPos]] + 1, tblPassengerNames[[#This Row],[CloseParPos]] - tblPassengerNames[[#This Row],[OpenParPos]] - 1)</f>
        <v>#VALUE!</v>
      </c>
      <c r="L1197" t="e">
        <f>IF(AND(LEFT(tblPassengerNames[[#This Row],[InParentheses]], 1) = "'", RIGHT(tblPassengerNames[[#This Row],[InParentheses]], 1) = "'"),
    #VALUE!,
    tblPassengerNames[[#This Row],[InParentheses]]
)</f>
        <v>#VALUE!</v>
      </c>
      <c r="M1197" t="e">
        <f>LEN(tblPassengerNames[[#This Row],[InParenthesesCleaned]]) - LEN(SUBSTITUTE(tblPassengerNames[[#This Row],[InParenthesesCleaned]], " ", ""))</f>
        <v>#VALUE!</v>
      </c>
      <c r="N1197" t="e">
        <f>FIND("@", SUBSTITUTE(tblPassengerNames[[#This Row],[InParenthesesCleaned]], " ", "@", tblPassengerNames[[#This Row],[P_NSpaces]]))</f>
        <v>#VALUE!</v>
      </c>
      <c r="O1197" t="e">
        <f>IF(tblPassengerNames[[#This Row],[P_NSpaces]] = 0,
    tblPassengerNames[[#This Row],[InParenthesesCleaned]],
    LEFT(tblPassengerNames[[#This Row],[InParenthesesCleaned]], tblPassengerNames[[#This Row],[P_FinalSpacePos]] - 1)
)</f>
        <v>#VALUE!</v>
      </c>
      <c r="P1197" t="str">
        <f>IFERROR(tblPassengerNames[[#This Row],[P_Forenames]], tblPassengerNames[[#This Row],[ConvForenames]])</f>
        <v>Todor</v>
      </c>
      <c r="Q1197" t="str">
        <f>MID(tblPassengerNames[[#This Row],[Name]], tblPassengerNames[[#This Row],[CommaPos]] + 2, tblPassengerNames[[#This Row],[DotPos]] - tblPassengerNames[[#This Row],[CommaPos]] - 1)</f>
        <v>Mr.</v>
      </c>
      <c r="R1197" t="str">
        <f>LEFT(tblPassengerNames[[#This Row],[Name]], tblPassengerNames[[#This Row],[CommaPos]] - 1)</f>
        <v>Sdycoff</v>
      </c>
    </row>
    <row r="1198" spans="2:18" x14ac:dyDescent="0.25">
      <c r="B1198" s="21">
        <v>1196</v>
      </c>
      <c r="C1198" s="21" t="s">
        <v>1330</v>
      </c>
      <c r="D1198" s="21" t="s">
        <v>138</v>
      </c>
      <c r="E1198">
        <f>FIND(",", tblPassengerNames[[#This Row],[Name]])</f>
        <v>12</v>
      </c>
      <c r="F1198">
        <f>FIND(".", tblPassengerNames[[#This Row],[Name]])</f>
        <v>16</v>
      </c>
      <c r="G1198" t="e">
        <f>FIND("(", tblPassengerNames[[#This Row],[Name]])</f>
        <v>#VALUE!</v>
      </c>
      <c r="H1198" t="e">
        <f>FIND(")", tblPassengerNames[[#This Row],[Name]])</f>
        <v>#VALUE!</v>
      </c>
      <c r="I1198">
        <f>IFERROR(tblPassengerNames[[#This Row],[OpenParPos]] - 2, LEN(tblPassengerNames[[#This Row],[Name]]))</f>
        <v>24</v>
      </c>
      <c r="J1198" t="str">
        <f>MID(tblPassengerNames[[#This Row],[Name]], tblPassengerNames[[#This Row],[DotPos]] + 2, tblPassengerNames[[#This Row],[EndOfConvFNPos]] - tblPassengerNames[[#This Row],[DotPos]] - 1)</f>
        <v>Patrick</v>
      </c>
      <c r="K1198" t="e">
        <f>MID(tblPassengerNames[[#This Row],[Name]], tblPassengerNames[[#This Row],[OpenParPos]] + 1, tblPassengerNames[[#This Row],[CloseParPos]] - tblPassengerNames[[#This Row],[OpenParPos]] - 1)</f>
        <v>#VALUE!</v>
      </c>
      <c r="L1198" t="e">
        <f>IF(AND(LEFT(tblPassengerNames[[#This Row],[InParentheses]], 1) = "'", RIGHT(tblPassengerNames[[#This Row],[InParentheses]], 1) = "'"),
    #VALUE!,
    tblPassengerNames[[#This Row],[InParentheses]]
)</f>
        <v>#VALUE!</v>
      </c>
      <c r="M1198" t="e">
        <f>LEN(tblPassengerNames[[#This Row],[InParenthesesCleaned]]) - LEN(SUBSTITUTE(tblPassengerNames[[#This Row],[InParenthesesCleaned]], " ", ""))</f>
        <v>#VALUE!</v>
      </c>
      <c r="N1198" t="e">
        <f>FIND("@", SUBSTITUTE(tblPassengerNames[[#This Row],[InParenthesesCleaned]], " ", "@", tblPassengerNames[[#This Row],[P_NSpaces]]))</f>
        <v>#VALUE!</v>
      </c>
      <c r="O1198" t="e">
        <f>IF(tblPassengerNames[[#This Row],[P_NSpaces]] = 0,
    tblPassengerNames[[#This Row],[InParenthesesCleaned]],
    LEFT(tblPassengerNames[[#This Row],[InParenthesesCleaned]], tblPassengerNames[[#This Row],[P_FinalSpacePos]] - 1)
)</f>
        <v>#VALUE!</v>
      </c>
      <c r="P1198" t="str">
        <f>IFERROR(tblPassengerNames[[#This Row],[P_Forenames]], tblPassengerNames[[#This Row],[ConvForenames]])</f>
        <v>Patrick</v>
      </c>
      <c r="Q1198" t="str">
        <f>MID(tblPassengerNames[[#This Row],[Name]], tblPassengerNames[[#This Row],[CommaPos]] + 2, tblPassengerNames[[#This Row],[DotPos]] - tblPassengerNames[[#This Row],[CommaPos]] - 1)</f>
        <v>Mr.</v>
      </c>
      <c r="R1198" t="str">
        <f>LEFT(tblPassengerNames[[#This Row],[Name]], tblPassengerNames[[#This Row],[CommaPos]] - 1)</f>
        <v>Shaughnessy</v>
      </c>
    </row>
    <row r="1199" spans="2:18" x14ac:dyDescent="0.25">
      <c r="B1199" s="21">
        <v>1197</v>
      </c>
      <c r="C1199" s="21" t="s">
        <v>1331</v>
      </c>
      <c r="D1199" s="21" t="s">
        <v>138</v>
      </c>
      <c r="E1199">
        <f>FIND(",", tblPassengerNames[[#This Row],[Name]])</f>
        <v>11</v>
      </c>
      <c r="F1199">
        <f>FIND(".", tblPassengerNames[[#This Row],[Name]])</f>
        <v>15</v>
      </c>
      <c r="G1199" t="e">
        <f>FIND("(", tblPassengerNames[[#This Row],[Name]])</f>
        <v>#VALUE!</v>
      </c>
      <c r="H1199" t="e">
        <f>FIND(")", tblPassengerNames[[#This Row],[Name]])</f>
        <v>#VALUE!</v>
      </c>
      <c r="I1199">
        <f>IFERROR(tblPassengerNames[[#This Row],[OpenParPos]] - 2, LEN(tblPassengerNames[[#This Row],[Name]]))</f>
        <v>27</v>
      </c>
      <c r="J1199" t="str">
        <f>MID(tblPassengerNames[[#This Row],[Name]], tblPassengerNames[[#This Row],[DotPos]] + 2, tblPassengerNames[[#This Row],[EndOfConvFNPos]] - tblPassengerNames[[#This Row],[DotPos]] - 1)</f>
        <v>Jan Baptist</v>
      </c>
      <c r="K1199" t="e">
        <f>MID(tblPassengerNames[[#This Row],[Name]], tblPassengerNames[[#This Row],[OpenParPos]] + 1, tblPassengerNames[[#This Row],[CloseParPos]] - tblPassengerNames[[#This Row],[OpenParPos]] - 1)</f>
        <v>#VALUE!</v>
      </c>
      <c r="L1199" t="e">
        <f>IF(AND(LEFT(tblPassengerNames[[#This Row],[InParentheses]], 1) = "'", RIGHT(tblPassengerNames[[#This Row],[InParentheses]], 1) = "'"),
    #VALUE!,
    tblPassengerNames[[#This Row],[InParentheses]]
)</f>
        <v>#VALUE!</v>
      </c>
      <c r="M1199" t="e">
        <f>LEN(tblPassengerNames[[#This Row],[InParenthesesCleaned]]) - LEN(SUBSTITUTE(tblPassengerNames[[#This Row],[InParenthesesCleaned]], " ", ""))</f>
        <v>#VALUE!</v>
      </c>
      <c r="N1199" t="e">
        <f>FIND("@", SUBSTITUTE(tblPassengerNames[[#This Row],[InParenthesesCleaned]], " ", "@", tblPassengerNames[[#This Row],[P_NSpaces]]))</f>
        <v>#VALUE!</v>
      </c>
      <c r="O1199" t="e">
        <f>IF(tblPassengerNames[[#This Row],[P_NSpaces]] = 0,
    tblPassengerNames[[#This Row],[InParenthesesCleaned]],
    LEFT(tblPassengerNames[[#This Row],[InParenthesesCleaned]], tblPassengerNames[[#This Row],[P_FinalSpacePos]] - 1)
)</f>
        <v>#VALUE!</v>
      </c>
      <c r="P1199" t="str">
        <f>IFERROR(tblPassengerNames[[#This Row],[P_Forenames]], tblPassengerNames[[#This Row],[ConvForenames]])</f>
        <v>Jan Baptist</v>
      </c>
      <c r="Q1199" t="str">
        <f>MID(tblPassengerNames[[#This Row],[Name]], tblPassengerNames[[#This Row],[CommaPos]] + 2, tblPassengerNames[[#This Row],[DotPos]] - tblPassengerNames[[#This Row],[CommaPos]] - 1)</f>
        <v>Mr.</v>
      </c>
      <c r="R1199" t="str">
        <f>LEFT(tblPassengerNames[[#This Row],[Name]], tblPassengerNames[[#This Row],[CommaPos]] - 1)</f>
        <v>Sheerlinck</v>
      </c>
    </row>
    <row r="1200" spans="2:18" x14ac:dyDescent="0.25">
      <c r="B1200" s="21">
        <v>1198</v>
      </c>
      <c r="C1200" s="21" t="s">
        <v>1332</v>
      </c>
      <c r="D1200" s="21" t="s">
        <v>138</v>
      </c>
      <c r="E1200">
        <f>FIND(",", tblPassengerNames[[#This Row],[Name]])</f>
        <v>9</v>
      </c>
      <c r="F1200">
        <f>FIND(".", tblPassengerNames[[#This Row],[Name]])</f>
        <v>13</v>
      </c>
      <c r="G1200" t="e">
        <f>FIND("(", tblPassengerNames[[#This Row],[Name]])</f>
        <v>#VALUE!</v>
      </c>
      <c r="H1200" t="e">
        <f>FIND(")", tblPassengerNames[[#This Row],[Name]])</f>
        <v>#VALUE!</v>
      </c>
      <c r="I1200">
        <f>IFERROR(tblPassengerNames[[#This Row],[OpenParPos]] - 2, LEN(tblPassengerNames[[#This Row],[Name]]))</f>
        <v>31</v>
      </c>
      <c r="J1200" t="str">
        <f>MID(tblPassengerNames[[#This Row],[Name]], tblPassengerNames[[#This Row],[DotPos]] + 2, tblPassengerNames[[#This Row],[EndOfConvFNPos]] - tblPassengerNames[[#This Row],[DotPos]] - 1)</f>
        <v>Frederick William</v>
      </c>
      <c r="K1200" t="e">
        <f>MID(tblPassengerNames[[#This Row],[Name]], tblPassengerNames[[#This Row],[OpenParPos]] + 1, tblPassengerNames[[#This Row],[CloseParPos]] - tblPassengerNames[[#This Row],[OpenParPos]] - 1)</f>
        <v>#VALUE!</v>
      </c>
      <c r="L1200" t="e">
        <f>IF(AND(LEFT(tblPassengerNames[[#This Row],[InParentheses]], 1) = "'", RIGHT(tblPassengerNames[[#This Row],[InParentheses]], 1) = "'"),
    #VALUE!,
    tblPassengerNames[[#This Row],[InParentheses]]
)</f>
        <v>#VALUE!</v>
      </c>
      <c r="M1200" t="e">
        <f>LEN(tblPassengerNames[[#This Row],[InParenthesesCleaned]]) - LEN(SUBSTITUTE(tblPassengerNames[[#This Row],[InParenthesesCleaned]], " ", ""))</f>
        <v>#VALUE!</v>
      </c>
      <c r="N1200" t="e">
        <f>FIND("@", SUBSTITUTE(tblPassengerNames[[#This Row],[InParenthesesCleaned]], " ", "@", tblPassengerNames[[#This Row],[P_NSpaces]]))</f>
        <v>#VALUE!</v>
      </c>
      <c r="O1200" t="e">
        <f>IF(tblPassengerNames[[#This Row],[P_NSpaces]] = 0,
    tblPassengerNames[[#This Row],[InParenthesesCleaned]],
    LEFT(tblPassengerNames[[#This Row],[InParenthesesCleaned]], tblPassengerNames[[#This Row],[P_FinalSpacePos]] - 1)
)</f>
        <v>#VALUE!</v>
      </c>
      <c r="P1200" t="str">
        <f>IFERROR(tblPassengerNames[[#This Row],[P_Forenames]], tblPassengerNames[[#This Row],[ConvForenames]])</f>
        <v>Frederick William</v>
      </c>
      <c r="Q1200" t="str">
        <f>MID(tblPassengerNames[[#This Row],[Name]], tblPassengerNames[[#This Row],[CommaPos]] + 2, tblPassengerNames[[#This Row],[DotPos]] - tblPassengerNames[[#This Row],[CommaPos]] - 1)</f>
        <v>Mr.</v>
      </c>
      <c r="R1200" t="str">
        <f>LEFT(tblPassengerNames[[#This Row],[Name]], tblPassengerNames[[#This Row],[CommaPos]] - 1)</f>
        <v>Shellard</v>
      </c>
    </row>
    <row r="1201" spans="2:18" x14ac:dyDescent="0.25">
      <c r="B1201" s="21">
        <v>1199</v>
      </c>
      <c r="C1201" s="21" t="s">
        <v>1333</v>
      </c>
      <c r="D1201" s="21" t="s">
        <v>136</v>
      </c>
      <c r="E1201">
        <f>FIND(",", tblPassengerNames[[#This Row],[Name]])</f>
        <v>6</v>
      </c>
      <c r="F1201">
        <f>FIND(".", tblPassengerNames[[#This Row],[Name]])</f>
        <v>12</v>
      </c>
      <c r="G1201" t="e">
        <f>FIND("(", tblPassengerNames[[#This Row],[Name]])</f>
        <v>#VALUE!</v>
      </c>
      <c r="H1201" t="e">
        <f>FIND(")", tblPassengerNames[[#This Row],[Name]])</f>
        <v>#VALUE!</v>
      </c>
      <c r="I1201">
        <f>IFERROR(tblPassengerNames[[#This Row],[OpenParPos]] - 2, LEN(tblPassengerNames[[#This Row],[Name]]))</f>
        <v>26</v>
      </c>
      <c r="J1201" t="str">
        <f>MID(tblPassengerNames[[#This Row],[Name]], tblPassengerNames[[#This Row],[DotPos]] + 2, tblPassengerNames[[#This Row],[EndOfConvFNPos]] - tblPassengerNames[[#This Row],[DotPos]] - 1)</f>
        <v>Ellen Natalia</v>
      </c>
      <c r="K1201" t="e">
        <f>MID(tblPassengerNames[[#This Row],[Name]], tblPassengerNames[[#This Row],[OpenParPos]] + 1, tblPassengerNames[[#This Row],[CloseParPos]] - tblPassengerNames[[#This Row],[OpenParPos]] - 1)</f>
        <v>#VALUE!</v>
      </c>
      <c r="L1201" t="e">
        <f>IF(AND(LEFT(tblPassengerNames[[#This Row],[InParentheses]], 1) = "'", RIGHT(tblPassengerNames[[#This Row],[InParentheses]], 1) = "'"),
    #VALUE!,
    tblPassengerNames[[#This Row],[InParentheses]]
)</f>
        <v>#VALUE!</v>
      </c>
      <c r="M1201" t="e">
        <f>LEN(tblPassengerNames[[#This Row],[InParenthesesCleaned]]) - LEN(SUBSTITUTE(tblPassengerNames[[#This Row],[InParenthesesCleaned]], " ", ""))</f>
        <v>#VALUE!</v>
      </c>
      <c r="N1201" t="e">
        <f>FIND("@", SUBSTITUTE(tblPassengerNames[[#This Row],[InParenthesesCleaned]], " ", "@", tblPassengerNames[[#This Row],[P_NSpaces]]))</f>
        <v>#VALUE!</v>
      </c>
      <c r="O1201" t="e">
        <f>IF(tblPassengerNames[[#This Row],[P_NSpaces]] = 0,
    tblPassengerNames[[#This Row],[InParenthesesCleaned]],
    LEFT(tblPassengerNames[[#This Row],[InParenthesesCleaned]], tblPassengerNames[[#This Row],[P_FinalSpacePos]] - 1)
)</f>
        <v>#VALUE!</v>
      </c>
      <c r="P1201" t="str">
        <f>IFERROR(tblPassengerNames[[#This Row],[P_Forenames]], tblPassengerNames[[#This Row],[ConvForenames]])</f>
        <v>Ellen Natalia</v>
      </c>
      <c r="Q1201" t="str">
        <f>MID(tblPassengerNames[[#This Row],[Name]], tblPassengerNames[[#This Row],[CommaPos]] + 2, tblPassengerNames[[#This Row],[DotPos]] - tblPassengerNames[[#This Row],[CommaPos]] - 1)</f>
        <v>Miss.</v>
      </c>
      <c r="R1201" t="str">
        <f>LEFT(tblPassengerNames[[#This Row],[Name]], tblPassengerNames[[#This Row],[CommaPos]] - 1)</f>
        <v>Shine</v>
      </c>
    </row>
    <row r="1202" spans="2:18" x14ac:dyDescent="0.25">
      <c r="B1202" s="21">
        <v>1200</v>
      </c>
      <c r="C1202" s="21" t="s">
        <v>1334</v>
      </c>
      <c r="D1202" s="21" t="s">
        <v>138</v>
      </c>
      <c r="E1202">
        <f>FIND(",", tblPassengerNames[[#This Row],[Name]])</f>
        <v>8</v>
      </c>
      <c r="F1202">
        <f>FIND(".", tblPassengerNames[[#This Row],[Name]])</f>
        <v>12</v>
      </c>
      <c r="G1202" t="e">
        <f>FIND("(", tblPassengerNames[[#This Row],[Name]])</f>
        <v>#VALUE!</v>
      </c>
      <c r="H1202" t="e">
        <f>FIND(")", tblPassengerNames[[#This Row],[Name]])</f>
        <v>#VALUE!</v>
      </c>
      <c r="I1202">
        <f>IFERROR(tblPassengerNames[[#This Row],[OpenParPos]] - 2, LEN(tblPassengerNames[[#This Row],[Name]]))</f>
        <v>27</v>
      </c>
      <c r="J1202" t="str">
        <f>MID(tblPassengerNames[[#This Row],[Name]], tblPassengerNames[[#This Row],[DotPos]] + 2, tblPassengerNames[[#This Row],[EndOfConvFNPos]] - tblPassengerNames[[#This Row],[DotPos]] - 1)</f>
        <v>Charles Joseph</v>
      </c>
      <c r="K1202" t="e">
        <f>MID(tblPassengerNames[[#This Row],[Name]], tblPassengerNames[[#This Row],[OpenParPos]] + 1, tblPassengerNames[[#This Row],[CloseParPos]] - tblPassengerNames[[#This Row],[OpenParPos]] - 1)</f>
        <v>#VALUE!</v>
      </c>
      <c r="L1202" t="e">
        <f>IF(AND(LEFT(tblPassengerNames[[#This Row],[InParentheses]], 1) = "'", RIGHT(tblPassengerNames[[#This Row],[InParentheses]], 1) = "'"),
    #VALUE!,
    tblPassengerNames[[#This Row],[InParentheses]]
)</f>
        <v>#VALUE!</v>
      </c>
      <c r="M1202" t="e">
        <f>LEN(tblPassengerNames[[#This Row],[InParenthesesCleaned]]) - LEN(SUBSTITUTE(tblPassengerNames[[#This Row],[InParenthesesCleaned]], " ", ""))</f>
        <v>#VALUE!</v>
      </c>
      <c r="N1202" t="e">
        <f>FIND("@", SUBSTITUTE(tblPassengerNames[[#This Row],[InParenthesesCleaned]], " ", "@", tblPassengerNames[[#This Row],[P_NSpaces]]))</f>
        <v>#VALUE!</v>
      </c>
      <c r="O1202" t="e">
        <f>IF(tblPassengerNames[[#This Row],[P_NSpaces]] = 0,
    tblPassengerNames[[#This Row],[InParenthesesCleaned]],
    LEFT(tblPassengerNames[[#This Row],[InParenthesesCleaned]], tblPassengerNames[[#This Row],[P_FinalSpacePos]] - 1)
)</f>
        <v>#VALUE!</v>
      </c>
      <c r="P1202" t="str">
        <f>IFERROR(tblPassengerNames[[#This Row],[P_Forenames]], tblPassengerNames[[#This Row],[ConvForenames]])</f>
        <v>Charles Joseph</v>
      </c>
      <c r="Q1202" t="str">
        <f>MID(tblPassengerNames[[#This Row],[Name]], tblPassengerNames[[#This Row],[CommaPos]] + 2, tblPassengerNames[[#This Row],[DotPos]] - tblPassengerNames[[#This Row],[CommaPos]] - 1)</f>
        <v>Mr.</v>
      </c>
      <c r="R1202" t="str">
        <f>LEFT(tblPassengerNames[[#This Row],[Name]], tblPassengerNames[[#This Row],[CommaPos]] - 1)</f>
        <v>Shorney</v>
      </c>
    </row>
    <row r="1203" spans="2:18" x14ac:dyDescent="0.25">
      <c r="B1203" s="21">
        <v>1201</v>
      </c>
      <c r="C1203" s="21" t="s">
        <v>1335</v>
      </c>
      <c r="D1203" s="21" t="s">
        <v>138</v>
      </c>
      <c r="E1203">
        <f>FIND(",", tblPassengerNames[[#This Row],[Name]])</f>
        <v>8</v>
      </c>
      <c r="F1203">
        <f>FIND(".", tblPassengerNames[[#This Row],[Name]])</f>
        <v>12</v>
      </c>
      <c r="G1203" t="e">
        <f>FIND("(", tblPassengerNames[[#This Row],[Name]])</f>
        <v>#VALUE!</v>
      </c>
      <c r="H1203" t="e">
        <f>FIND(")", tblPassengerNames[[#This Row],[Name]])</f>
        <v>#VALUE!</v>
      </c>
      <c r="I1203">
        <f>IFERROR(tblPassengerNames[[#This Row],[OpenParPos]] - 2, LEN(tblPassengerNames[[#This Row],[Name]]))</f>
        <v>17</v>
      </c>
      <c r="J1203" t="str">
        <f>MID(tblPassengerNames[[#This Row],[Name]], tblPassengerNames[[#This Row],[DotPos]] + 2, tblPassengerNames[[#This Row],[EndOfConvFNPos]] - tblPassengerNames[[#This Row],[DotPos]] - 1)</f>
        <v>John</v>
      </c>
      <c r="K1203" t="e">
        <f>MID(tblPassengerNames[[#This Row],[Name]], tblPassengerNames[[#This Row],[OpenParPos]] + 1, tblPassengerNames[[#This Row],[CloseParPos]] - tblPassengerNames[[#This Row],[OpenParPos]] - 1)</f>
        <v>#VALUE!</v>
      </c>
      <c r="L1203" t="e">
        <f>IF(AND(LEFT(tblPassengerNames[[#This Row],[InParentheses]], 1) = "'", RIGHT(tblPassengerNames[[#This Row],[InParentheses]], 1) = "'"),
    #VALUE!,
    tblPassengerNames[[#This Row],[InParentheses]]
)</f>
        <v>#VALUE!</v>
      </c>
      <c r="M1203" t="e">
        <f>LEN(tblPassengerNames[[#This Row],[InParenthesesCleaned]]) - LEN(SUBSTITUTE(tblPassengerNames[[#This Row],[InParenthesesCleaned]], " ", ""))</f>
        <v>#VALUE!</v>
      </c>
      <c r="N1203" t="e">
        <f>FIND("@", SUBSTITUTE(tblPassengerNames[[#This Row],[InParenthesesCleaned]], " ", "@", tblPassengerNames[[#This Row],[P_NSpaces]]))</f>
        <v>#VALUE!</v>
      </c>
      <c r="O1203" t="e">
        <f>IF(tblPassengerNames[[#This Row],[P_NSpaces]] = 0,
    tblPassengerNames[[#This Row],[InParenthesesCleaned]],
    LEFT(tblPassengerNames[[#This Row],[InParenthesesCleaned]], tblPassengerNames[[#This Row],[P_FinalSpacePos]] - 1)
)</f>
        <v>#VALUE!</v>
      </c>
      <c r="P1203" t="str">
        <f>IFERROR(tblPassengerNames[[#This Row],[P_Forenames]], tblPassengerNames[[#This Row],[ConvForenames]])</f>
        <v>John</v>
      </c>
      <c r="Q1203" t="str">
        <f>MID(tblPassengerNames[[#This Row],[Name]], tblPassengerNames[[#This Row],[CommaPos]] + 2, tblPassengerNames[[#This Row],[DotPos]] - tblPassengerNames[[#This Row],[CommaPos]] - 1)</f>
        <v>Mr.</v>
      </c>
      <c r="R1203" t="str">
        <f>LEFT(tblPassengerNames[[#This Row],[Name]], tblPassengerNames[[#This Row],[CommaPos]] - 1)</f>
        <v>Simmons</v>
      </c>
    </row>
    <row r="1204" spans="2:18" x14ac:dyDescent="0.25">
      <c r="B1204" s="21">
        <v>1202</v>
      </c>
      <c r="C1204" s="21" t="s">
        <v>1336</v>
      </c>
      <c r="D1204" s="21" t="s">
        <v>138</v>
      </c>
      <c r="E1204">
        <f>FIND(",", tblPassengerNames[[#This Row],[Name]])</f>
        <v>11</v>
      </c>
      <c r="F1204">
        <f>FIND(".", tblPassengerNames[[#This Row],[Name]])</f>
        <v>15</v>
      </c>
      <c r="G1204" t="e">
        <f>FIND("(", tblPassengerNames[[#This Row],[Name]])</f>
        <v>#VALUE!</v>
      </c>
      <c r="H1204" t="e">
        <f>FIND(")", tblPassengerNames[[#This Row],[Name]])</f>
        <v>#VALUE!</v>
      </c>
      <c r="I1204">
        <f>IFERROR(tblPassengerNames[[#This Row],[OpenParPos]] - 2, LEN(tblPassengerNames[[#This Row],[Name]]))</f>
        <v>21</v>
      </c>
      <c r="J1204" t="str">
        <f>MID(tblPassengerNames[[#This Row],[Name]], tblPassengerNames[[#This Row],[DotPos]] + 2, tblPassengerNames[[#This Row],[EndOfConvFNPos]] - tblPassengerNames[[#This Row],[DotPos]] - 1)</f>
        <v>Orsen</v>
      </c>
      <c r="K1204" t="e">
        <f>MID(tblPassengerNames[[#This Row],[Name]], tblPassengerNames[[#This Row],[OpenParPos]] + 1, tblPassengerNames[[#This Row],[CloseParPos]] - tblPassengerNames[[#This Row],[OpenParPos]] - 1)</f>
        <v>#VALUE!</v>
      </c>
      <c r="L1204" t="e">
        <f>IF(AND(LEFT(tblPassengerNames[[#This Row],[InParentheses]], 1) = "'", RIGHT(tblPassengerNames[[#This Row],[InParentheses]], 1) = "'"),
    #VALUE!,
    tblPassengerNames[[#This Row],[InParentheses]]
)</f>
        <v>#VALUE!</v>
      </c>
      <c r="M1204" t="e">
        <f>LEN(tblPassengerNames[[#This Row],[InParenthesesCleaned]]) - LEN(SUBSTITUTE(tblPassengerNames[[#This Row],[InParenthesesCleaned]], " ", ""))</f>
        <v>#VALUE!</v>
      </c>
      <c r="N1204" t="e">
        <f>FIND("@", SUBSTITUTE(tblPassengerNames[[#This Row],[InParenthesesCleaned]], " ", "@", tblPassengerNames[[#This Row],[P_NSpaces]]))</f>
        <v>#VALUE!</v>
      </c>
      <c r="O1204" t="e">
        <f>IF(tblPassengerNames[[#This Row],[P_NSpaces]] = 0,
    tblPassengerNames[[#This Row],[InParenthesesCleaned]],
    LEFT(tblPassengerNames[[#This Row],[InParenthesesCleaned]], tblPassengerNames[[#This Row],[P_FinalSpacePos]] - 1)
)</f>
        <v>#VALUE!</v>
      </c>
      <c r="P1204" t="str">
        <f>IFERROR(tblPassengerNames[[#This Row],[P_Forenames]], tblPassengerNames[[#This Row],[ConvForenames]])</f>
        <v>Orsen</v>
      </c>
      <c r="Q1204" t="str">
        <f>MID(tblPassengerNames[[#This Row],[Name]], tblPassengerNames[[#This Row],[CommaPos]] + 2, tblPassengerNames[[#This Row],[DotPos]] - tblPassengerNames[[#This Row],[CommaPos]] - 1)</f>
        <v>Mr.</v>
      </c>
      <c r="R1204" t="str">
        <f>LEFT(tblPassengerNames[[#This Row],[Name]], tblPassengerNames[[#This Row],[CommaPos]] - 1)</f>
        <v>Sirayanian</v>
      </c>
    </row>
    <row r="1205" spans="2:18" x14ac:dyDescent="0.25">
      <c r="B1205" s="21">
        <v>1203</v>
      </c>
      <c r="C1205" s="21" t="s">
        <v>1337</v>
      </c>
      <c r="D1205" s="21" t="s">
        <v>138</v>
      </c>
      <c r="E1205">
        <f>FIND(",", tblPassengerNames[[#This Row],[Name]])</f>
        <v>7</v>
      </c>
      <c r="F1205">
        <f>FIND(".", tblPassengerNames[[#This Row],[Name]])</f>
        <v>11</v>
      </c>
      <c r="G1205" t="e">
        <f>FIND("(", tblPassengerNames[[#This Row],[Name]])</f>
        <v>#VALUE!</v>
      </c>
      <c r="H1205" t="e">
        <f>FIND(")", tblPassengerNames[[#This Row],[Name]])</f>
        <v>#VALUE!</v>
      </c>
      <c r="I1205">
        <f>IFERROR(tblPassengerNames[[#This Row],[OpenParPos]] - 2, LEN(tblPassengerNames[[#This Row],[Name]]))</f>
        <v>19</v>
      </c>
      <c r="J1205" t="str">
        <f>MID(tblPassengerNames[[#This Row],[Name]], tblPassengerNames[[#This Row],[DotPos]] + 2, tblPassengerNames[[#This Row],[EndOfConvFNPos]] - tblPassengerNames[[#This Row],[DotPos]] - 1)</f>
        <v>Maurice</v>
      </c>
      <c r="K1205" t="e">
        <f>MID(tblPassengerNames[[#This Row],[Name]], tblPassengerNames[[#This Row],[OpenParPos]] + 1, tblPassengerNames[[#This Row],[CloseParPos]] - tblPassengerNames[[#This Row],[OpenParPos]] - 1)</f>
        <v>#VALUE!</v>
      </c>
      <c r="L1205" t="e">
        <f>IF(AND(LEFT(tblPassengerNames[[#This Row],[InParentheses]], 1) = "'", RIGHT(tblPassengerNames[[#This Row],[InParentheses]], 1) = "'"),
    #VALUE!,
    tblPassengerNames[[#This Row],[InParentheses]]
)</f>
        <v>#VALUE!</v>
      </c>
      <c r="M1205" t="e">
        <f>LEN(tblPassengerNames[[#This Row],[InParenthesesCleaned]]) - LEN(SUBSTITUTE(tblPassengerNames[[#This Row],[InParenthesesCleaned]], " ", ""))</f>
        <v>#VALUE!</v>
      </c>
      <c r="N1205" t="e">
        <f>FIND("@", SUBSTITUTE(tblPassengerNames[[#This Row],[InParenthesesCleaned]], " ", "@", tblPassengerNames[[#This Row],[P_NSpaces]]))</f>
        <v>#VALUE!</v>
      </c>
      <c r="O1205" t="e">
        <f>IF(tblPassengerNames[[#This Row],[P_NSpaces]] = 0,
    tblPassengerNames[[#This Row],[InParenthesesCleaned]],
    LEFT(tblPassengerNames[[#This Row],[InParenthesesCleaned]], tblPassengerNames[[#This Row],[P_FinalSpacePos]] - 1)
)</f>
        <v>#VALUE!</v>
      </c>
      <c r="P1205" t="str">
        <f>IFERROR(tblPassengerNames[[#This Row],[P_Forenames]], tblPassengerNames[[#This Row],[ConvForenames]])</f>
        <v>Maurice</v>
      </c>
      <c r="Q1205" t="str">
        <f>MID(tblPassengerNames[[#This Row],[Name]], tblPassengerNames[[#This Row],[CommaPos]] + 2, tblPassengerNames[[#This Row],[DotPos]] - tblPassengerNames[[#This Row],[CommaPos]] - 1)</f>
        <v>Mr.</v>
      </c>
      <c r="R1205" t="str">
        <f>LEFT(tblPassengerNames[[#This Row],[Name]], tblPassengerNames[[#This Row],[CommaPos]] - 1)</f>
        <v>Sirota</v>
      </c>
    </row>
    <row r="1206" spans="2:18" x14ac:dyDescent="0.25">
      <c r="B1206" s="21">
        <v>1204</v>
      </c>
      <c r="C1206" s="21" t="s">
        <v>1338</v>
      </c>
      <c r="D1206" s="21" t="s">
        <v>138</v>
      </c>
      <c r="E1206">
        <f>FIND(",", tblPassengerNames[[#This Row],[Name]])</f>
        <v>6</v>
      </c>
      <c r="F1206">
        <f>FIND(".", tblPassengerNames[[#This Row],[Name]])</f>
        <v>10</v>
      </c>
      <c r="G1206" t="e">
        <f>FIND("(", tblPassengerNames[[#This Row],[Name]])</f>
        <v>#VALUE!</v>
      </c>
      <c r="H1206" t="e">
        <f>FIND(")", tblPassengerNames[[#This Row],[Name]])</f>
        <v>#VALUE!</v>
      </c>
      <c r="I1206">
        <f>IFERROR(tblPassengerNames[[#This Row],[OpenParPos]] - 2, LEN(tblPassengerNames[[#This Row],[Name]]))</f>
        <v>17</v>
      </c>
      <c r="J1206" t="str">
        <f>MID(tblPassengerNames[[#This Row],[Name]], tblPassengerNames[[#This Row],[DotPos]] + 2, tblPassengerNames[[#This Row],[EndOfConvFNPos]] - tblPassengerNames[[#This Row],[DotPos]] - 1)</f>
        <v>Husein</v>
      </c>
      <c r="K1206" t="e">
        <f>MID(tblPassengerNames[[#This Row],[Name]], tblPassengerNames[[#This Row],[OpenParPos]] + 1, tblPassengerNames[[#This Row],[CloseParPos]] - tblPassengerNames[[#This Row],[OpenParPos]] - 1)</f>
        <v>#VALUE!</v>
      </c>
      <c r="L1206" t="e">
        <f>IF(AND(LEFT(tblPassengerNames[[#This Row],[InParentheses]], 1) = "'", RIGHT(tblPassengerNames[[#This Row],[InParentheses]], 1) = "'"),
    #VALUE!,
    tblPassengerNames[[#This Row],[InParentheses]]
)</f>
        <v>#VALUE!</v>
      </c>
      <c r="M1206" t="e">
        <f>LEN(tblPassengerNames[[#This Row],[InParenthesesCleaned]]) - LEN(SUBSTITUTE(tblPassengerNames[[#This Row],[InParenthesesCleaned]], " ", ""))</f>
        <v>#VALUE!</v>
      </c>
      <c r="N1206" t="e">
        <f>FIND("@", SUBSTITUTE(tblPassengerNames[[#This Row],[InParenthesesCleaned]], " ", "@", tblPassengerNames[[#This Row],[P_NSpaces]]))</f>
        <v>#VALUE!</v>
      </c>
      <c r="O1206" t="e">
        <f>IF(tblPassengerNames[[#This Row],[P_NSpaces]] = 0,
    tblPassengerNames[[#This Row],[InParenthesesCleaned]],
    LEFT(tblPassengerNames[[#This Row],[InParenthesesCleaned]], tblPassengerNames[[#This Row],[P_FinalSpacePos]] - 1)
)</f>
        <v>#VALUE!</v>
      </c>
      <c r="P1206" t="str">
        <f>IFERROR(tblPassengerNames[[#This Row],[P_Forenames]], tblPassengerNames[[#This Row],[ConvForenames]])</f>
        <v>Husein</v>
      </c>
      <c r="Q1206" t="str">
        <f>MID(tblPassengerNames[[#This Row],[Name]], tblPassengerNames[[#This Row],[CommaPos]] + 2, tblPassengerNames[[#This Row],[DotPos]] - tblPassengerNames[[#This Row],[CommaPos]] - 1)</f>
        <v>Mr.</v>
      </c>
      <c r="R1206" t="str">
        <f>LEFT(tblPassengerNames[[#This Row],[Name]], tblPassengerNames[[#This Row],[CommaPos]] - 1)</f>
        <v>Sivic</v>
      </c>
    </row>
    <row r="1207" spans="2:18" x14ac:dyDescent="0.25">
      <c r="B1207" s="21">
        <v>1205</v>
      </c>
      <c r="C1207" s="21" t="s">
        <v>1339</v>
      </c>
      <c r="D1207" s="21" t="s">
        <v>138</v>
      </c>
      <c r="E1207">
        <f>FIND(",", tblPassengerNames[[#This Row],[Name]])</f>
        <v>7</v>
      </c>
      <c r="F1207">
        <f>FIND(".", tblPassengerNames[[#This Row],[Name]])</f>
        <v>11</v>
      </c>
      <c r="G1207" t="e">
        <f>FIND("(", tblPassengerNames[[#This Row],[Name]])</f>
        <v>#VALUE!</v>
      </c>
      <c r="H1207" t="e">
        <f>FIND(")", tblPassengerNames[[#This Row],[Name]])</f>
        <v>#VALUE!</v>
      </c>
      <c r="I1207">
        <f>IFERROR(tblPassengerNames[[#This Row],[OpenParPos]] - 2, LEN(tblPassengerNames[[#This Row],[Name]]))</f>
        <v>25</v>
      </c>
      <c r="J1207" t="str">
        <f>MID(tblPassengerNames[[#This Row],[Name]], tblPassengerNames[[#This Row],[DotPos]] + 2, tblPassengerNames[[#This Row],[EndOfConvFNPos]] - tblPassengerNames[[#This Row],[DotPos]] - 1)</f>
        <v>Antti Wilhelm</v>
      </c>
      <c r="K1207" t="e">
        <f>MID(tblPassengerNames[[#This Row],[Name]], tblPassengerNames[[#This Row],[OpenParPos]] + 1, tblPassengerNames[[#This Row],[CloseParPos]] - tblPassengerNames[[#This Row],[OpenParPos]] - 1)</f>
        <v>#VALUE!</v>
      </c>
      <c r="L1207" t="e">
        <f>IF(AND(LEFT(tblPassengerNames[[#This Row],[InParentheses]], 1) = "'", RIGHT(tblPassengerNames[[#This Row],[InParentheses]], 1) = "'"),
    #VALUE!,
    tblPassengerNames[[#This Row],[InParentheses]]
)</f>
        <v>#VALUE!</v>
      </c>
      <c r="M1207" t="e">
        <f>LEN(tblPassengerNames[[#This Row],[InParenthesesCleaned]]) - LEN(SUBSTITUTE(tblPassengerNames[[#This Row],[InParenthesesCleaned]], " ", ""))</f>
        <v>#VALUE!</v>
      </c>
      <c r="N1207" t="e">
        <f>FIND("@", SUBSTITUTE(tblPassengerNames[[#This Row],[InParenthesesCleaned]], " ", "@", tblPassengerNames[[#This Row],[P_NSpaces]]))</f>
        <v>#VALUE!</v>
      </c>
      <c r="O1207" t="e">
        <f>IF(tblPassengerNames[[#This Row],[P_NSpaces]] = 0,
    tblPassengerNames[[#This Row],[InParenthesesCleaned]],
    LEFT(tblPassengerNames[[#This Row],[InParenthesesCleaned]], tblPassengerNames[[#This Row],[P_FinalSpacePos]] - 1)
)</f>
        <v>#VALUE!</v>
      </c>
      <c r="P1207" t="str">
        <f>IFERROR(tblPassengerNames[[#This Row],[P_Forenames]], tblPassengerNames[[#This Row],[ConvForenames]])</f>
        <v>Antti Wilhelm</v>
      </c>
      <c r="Q1207" t="str">
        <f>MID(tblPassengerNames[[#This Row],[Name]], tblPassengerNames[[#This Row],[CommaPos]] + 2, tblPassengerNames[[#This Row],[DotPos]] - tblPassengerNames[[#This Row],[CommaPos]] - 1)</f>
        <v>Mr.</v>
      </c>
      <c r="R1207" t="str">
        <f>LEFT(tblPassengerNames[[#This Row],[Name]], tblPassengerNames[[#This Row],[CommaPos]] - 1)</f>
        <v>Sivola</v>
      </c>
    </row>
    <row r="1208" spans="2:18" x14ac:dyDescent="0.25">
      <c r="B1208" s="21">
        <v>1206</v>
      </c>
      <c r="C1208" s="21" t="s">
        <v>1340</v>
      </c>
      <c r="D1208" s="21" t="s">
        <v>136</v>
      </c>
      <c r="E1208">
        <f>FIND(",", tblPassengerNames[[#This Row],[Name]])</f>
        <v>8</v>
      </c>
      <c r="F1208">
        <f>FIND(".", tblPassengerNames[[#This Row],[Name]])</f>
        <v>14</v>
      </c>
      <c r="G1208" t="e">
        <f>FIND("(", tblPassengerNames[[#This Row],[Name]])</f>
        <v>#VALUE!</v>
      </c>
      <c r="H1208" t="e">
        <f>FIND(")", tblPassengerNames[[#This Row],[Name]])</f>
        <v>#VALUE!</v>
      </c>
      <c r="I1208">
        <f>IFERROR(tblPassengerNames[[#This Row],[OpenParPos]] - 2, LEN(tblPassengerNames[[#This Row],[Name]]))</f>
        <v>25</v>
      </c>
      <c r="J1208" t="str">
        <f>MID(tblPassengerNames[[#This Row],[Name]], tblPassengerNames[[#This Row],[DotPos]] + 2, tblPassengerNames[[#This Row],[EndOfConvFNPos]] - tblPassengerNames[[#This Row],[DotPos]] - 1)</f>
        <v>Anna Sofia</v>
      </c>
      <c r="K1208" t="e">
        <f>MID(tblPassengerNames[[#This Row],[Name]], tblPassengerNames[[#This Row],[OpenParPos]] + 1, tblPassengerNames[[#This Row],[CloseParPos]] - tblPassengerNames[[#This Row],[OpenParPos]] - 1)</f>
        <v>#VALUE!</v>
      </c>
      <c r="L1208" t="e">
        <f>IF(AND(LEFT(tblPassengerNames[[#This Row],[InParentheses]], 1) = "'", RIGHT(tblPassengerNames[[#This Row],[InParentheses]], 1) = "'"),
    #VALUE!,
    tblPassengerNames[[#This Row],[InParentheses]]
)</f>
        <v>#VALUE!</v>
      </c>
      <c r="M1208" t="e">
        <f>LEN(tblPassengerNames[[#This Row],[InParenthesesCleaned]]) - LEN(SUBSTITUTE(tblPassengerNames[[#This Row],[InParenthesesCleaned]], " ", ""))</f>
        <v>#VALUE!</v>
      </c>
      <c r="N1208" t="e">
        <f>FIND("@", SUBSTITUTE(tblPassengerNames[[#This Row],[InParenthesesCleaned]], " ", "@", tblPassengerNames[[#This Row],[P_NSpaces]]))</f>
        <v>#VALUE!</v>
      </c>
      <c r="O1208" t="e">
        <f>IF(tblPassengerNames[[#This Row],[P_NSpaces]] = 0,
    tblPassengerNames[[#This Row],[InParenthesesCleaned]],
    LEFT(tblPassengerNames[[#This Row],[InParenthesesCleaned]], tblPassengerNames[[#This Row],[P_FinalSpacePos]] - 1)
)</f>
        <v>#VALUE!</v>
      </c>
      <c r="P1208" t="str">
        <f>IFERROR(tblPassengerNames[[#This Row],[P_Forenames]], tblPassengerNames[[#This Row],[ConvForenames]])</f>
        <v>Anna Sofia</v>
      </c>
      <c r="Q1208" t="str">
        <f>MID(tblPassengerNames[[#This Row],[Name]], tblPassengerNames[[#This Row],[CommaPos]] + 2, tblPassengerNames[[#This Row],[DotPos]] - tblPassengerNames[[#This Row],[CommaPos]] - 1)</f>
        <v>Miss.</v>
      </c>
      <c r="R1208" t="str">
        <f>LEFT(tblPassengerNames[[#This Row],[Name]], tblPassengerNames[[#This Row],[CommaPos]] - 1)</f>
        <v>Sjoblom</v>
      </c>
    </row>
    <row r="1209" spans="2:18" x14ac:dyDescent="0.25">
      <c r="B1209" s="21">
        <v>1207</v>
      </c>
      <c r="C1209" s="21" t="s">
        <v>1341</v>
      </c>
      <c r="D1209" s="21" t="s">
        <v>138</v>
      </c>
      <c r="E1209">
        <f>FIND(",", tblPassengerNames[[#This Row],[Name]])</f>
        <v>6</v>
      </c>
      <c r="F1209">
        <f>FIND(".", tblPassengerNames[[#This Row],[Name]])</f>
        <v>14</v>
      </c>
      <c r="G1209" t="e">
        <f>FIND("(", tblPassengerNames[[#This Row],[Name]])</f>
        <v>#VALUE!</v>
      </c>
      <c r="H1209" t="e">
        <f>FIND(")", tblPassengerNames[[#This Row],[Name]])</f>
        <v>#VALUE!</v>
      </c>
      <c r="I1209">
        <f>IFERROR(tblPassengerNames[[#This Row],[OpenParPos]] - 2, LEN(tblPassengerNames[[#This Row],[Name]]))</f>
        <v>21</v>
      </c>
      <c r="J1209" t="str">
        <f>MID(tblPassengerNames[[#This Row],[Name]], tblPassengerNames[[#This Row],[DotPos]] + 2, tblPassengerNames[[#This Row],[EndOfConvFNPos]] - tblPassengerNames[[#This Row],[DotPos]] - 1)</f>
        <v>Harald</v>
      </c>
      <c r="K1209" t="e">
        <f>MID(tblPassengerNames[[#This Row],[Name]], tblPassengerNames[[#This Row],[OpenParPos]] + 1, tblPassengerNames[[#This Row],[CloseParPos]] - tblPassengerNames[[#This Row],[OpenParPos]] - 1)</f>
        <v>#VALUE!</v>
      </c>
      <c r="L1209" t="e">
        <f>IF(AND(LEFT(tblPassengerNames[[#This Row],[InParentheses]], 1) = "'", RIGHT(tblPassengerNames[[#This Row],[InParentheses]], 1) = "'"),
    #VALUE!,
    tblPassengerNames[[#This Row],[InParentheses]]
)</f>
        <v>#VALUE!</v>
      </c>
      <c r="M1209" t="e">
        <f>LEN(tblPassengerNames[[#This Row],[InParenthesesCleaned]]) - LEN(SUBSTITUTE(tblPassengerNames[[#This Row],[InParenthesesCleaned]], " ", ""))</f>
        <v>#VALUE!</v>
      </c>
      <c r="N1209" t="e">
        <f>FIND("@", SUBSTITUTE(tblPassengerNames[[#This Row],[InParenthesesCleaned]], " ", "@", tblPassengerNames[[#This Row],[P_NSpaces]]))</f>
        <v>#VALUE!</v>
      </c>
      <c r="O1209" t="e">
        <f>IF(tblPassengerNames[[#This Row],[P_NSpaces]] = 0,
    tblPassengerNames[[#This Row],[InParenthesesCleaned]],
    LEFT(tblPassengerNames[[#This Row],[InParenthesesCleaned]], tblPassengerNames[[#This Row],[P_FinalSpacePos]] - 1)
)</f>
        <v>#VALUE!</v>
      </c>
      <c r="P1209" t="str">
        <f>IFERROR(tblPassengerNames[[#This Row],[P_Forenames]], tblPassengerNames[[#This Row],[ConvForenames]])</f>
        <v>Harald</v>
      </c>
      <c r="Q1209" t="str">
        <f>MID(tblPassengerNames[[#This Row],[Name]], tblPassengerNames[[#This Row],[CommaPos]] + 2, tblPassengerNames[[#This Row],[DotPos]] - tblPassengerNames[[#This Row],[CommaPos]] - 1)</f>
        <v>Master.</v>
      </c>
      <c r="R1209" t="str">
        <f>LEFT(tblPassengerNames[[#This Row],[Name]], tblPassengerNames[[#This Row],[CommaPos]] - 1)</f>
        <v>Skoog</v>
      </c>
    </row>
    <row r="1210" spans="2:18" x14ac:dyDescent="0.25">
      <c r="B1210" s="21">
        <v>1208</v>
      </c>
      <c r="C1210" s="21" t="s">
        <v>1342</v>
      </c>
      <c r="D1210" s="21" t="s">
        <v>138</v>
      </c>
      <c r="E1210">
        <f>FIND(",", tblPassengerNames[[#This Row],[Name]])</f>
        <v>6</v>
      </c>
      <c r="F1210">
        <f>FIND(".", tblPassengerNames[[#This Row],[Name]])</f>
        <v>14</v>
      </c>
      <c r="G1210" t="e">
        <f>FIND("(", tblPassengerNames[[#This Row],[Name]])</f>
        <v>#VALUE!</v>
      </c>
      <c r="H1210" t="e">
        <f>FIND(")", tblPassengerNames[[#This Row],[Name]])</f>
        <v>#VALUE!</v>
      </c>
      <c r="I1210">
        <f>IFERROR(tblPassengerNames[[#This Row],[OpenParPos]] - 2, LEN(tblPassengerNames[[#This Row],[Name]]))</f>
        <v>28</v>
      </c>
      <c r="J1210" t="str">
        <f>MID(tblPassengerNames[[#This Row],[Name]], tblPassengerNames[[#This Row],[DotPos]] + 2, tblPassengerNames[[#This Row],[EndOfConvFNPos]] - tblPassengerNames[[#This Row],[DotPos]] - 1)</f>
        <v>Karl Thorsten</v>
      </c>
      <c r="K1210" t="e">
        <f>MID(tblPassengerNames[[#This Row],[Name]], tblPassengerNames[[#This Row],[OpenParPos]] + 1, tblPassengerNames[[#This Row],[CloseParPos]] - tblPassengerNames[[#This Row],[OpenParPos]] - 1)</f>
        <v>#VALUE!</v>
      </c>
      <c r="L1210" t="e">
        <f>IF(AND(LEFT(tblPassengerNames[[#This Row],[InParentheses]], 1) = "'", RIGHT(tblPassengerNames[[#This Row],[InParentheses]], 1) = "'"),
    #VALUE!,
    tblPassengerNames[[#This Row],[InParentheses]]
)</f>
        <v>#VALUE!</v>
      </c>
      <c r="M1210" t="e">
        <f>LEN(tblPassengerNames[[#This Row],[InParenthesesCleaned]]) - LEN(SUBSTITUTE(tblPassengerNames[[#This Row],[InParenthesesCleaned]], " ", ""))</f>
        <v>#VALUE!</v>
      </c>
      <c r="N1210" t="e">
        <f>FIND("@", SUBSTITUTE(tblPassengerNames[[#This Row],[InParenthesesCleaned]], " ", "@", tblPassengerNames[[#This Row],[P_NSpaces]]))</f>
        <v>#VALUE!</v>
      </c>
      <c r="O1210" t="e">
        <f>IF(tblPassengerNames[[#This Row],[P_NSpaces]] = 0,
    tblPassengerNames[[#This Row],[InParenthesesCleaned]],
    LEFT(tblPassengerNames[[#This Row],[InParenthesesCleaned]], tblPassengerNames[[#This Row],[P_FinalSpacePos]] - 1)
)</f>
        <v>#VALUE!</v>
      </c>
      <c r="P1210" t="str">
        <f>IFERROR(tblPassengerNames[[#This Row],[P_Forenames]], tblPassengerNames[[#This Row],[ConvForenames]])</f>
        <v>Karl Thorsten</v>
      </c>
      <c r="Q1210" t="str">
        <f>MID(tblPassengerNames[[#This Row],[Name]], tblPassengerNames[[#This Row],[CommaPos]] + 2, tblPassengerNames[[#This Row],[DotPos]] - tblPassengerNames[[#This Row],[CommaPos]] - 1)</f>
        <v>Master.</v>
      </c>
      <c r="R1210" t="str">
        <f>LEFT(tblPassengerNames[[#This Row],[Name]], tblPassengerNames[[#This Row],[CommaPos]] - 1)</f>
        <v>Skoog</v>
      </c>
    </row>
    <row r="1211" spans="2:18" x14ac:dyDescent="0.25">
      <c r="B1211" s="21">
        <v>1209</v>
      </c>
      <c r="C1211" s="21" t="s">
        <v>1343</v>
      </c>
      <c r="D1211" s="21" t="s">
        <v>136</v>
      </c>
      <c r="E1211">
        <f>FIND(",", tblPassengerNames[[#This Row],[Name]])</f>
        <v>6</v>
      </c>
      <c r="F1211">
        <f>FIND(".", tblPassengerNames[[#This Row],[Name]])</f>
        <v>12</v>
      </c>
      <c r="G1211" t="e">
        <f>FIND("(", tblPassengerNames[[#This Row],[Name]])</f>
        <v>#VALUE!</v>
      </c>
      <c r="H1211" t="e">
        <f>FIND(")", tblPassengerNames[[#This Row],[Name]])</f>
        <v>#VALUE!</v>
      </c>
      <c r="I1211">
        <f>IFERROR(tblPassengerNames[[#This Row],[OpenParPos]] - 2, LEN(tblPassengerNames[[#This Row],[Name]]))</f>
        <v>18</v>
      </c>
      <c r="J1211" t="str">
        <f>MID(tblPassengerNames[[#This Row],[Name]], tblPassengerNames[[#This Row],[DotPos]] + 2, tblPassengerNames[[#This Row],[EndOfConvFNPos]] - tblPassengerNames[[#This Row],[DotPos]] - 1)</f>
        <v>Mabel</v>
      </c>
      <c r="K1211" t="e">
        <f>MID(tblPassengerNames[[#This Row],[Name]], tblPassengerNames[[#This Row],[OpenParPos]] + 1, tblPassengerNames[[#This Row],[CloseParPos]] - tblPassengerNames[[#This Row],[OpenParPos]] - 1)</f>
        <v>#VALUE!</v>
      </c>
      <c r="L1211" t="e">
        <f>IF(AND(LEFT(tblPassengerNames[[#This Row],[InParentheses]], 1) = "'", RIGHT(tblPassengerNames[[#This Row],[InParentheses]], 1) = "'"),
    #VALUE!,
    tblPassengerNames[[#This Row],[InParentheses]]
)</f>
        <v>#VALUE!</v>
      </c>
      <c r="M1211" t="e">
        <f>LEN(tblPassengerNames[[#This Row],[InParenthesesCleaned]]) - LEN(SUBSTITUTE(tblPassengerNames[[#This Row],[InParenthesesCleaned]], " ", ""))</f>
        <v>#VALUE!</v>
      </c>
      <c r="N1211" t="e">
        <f>FIND("@", SUBSTITUTE(tblPassengerNames[[#This Row],[InParenthesesCleaned]], " ", "@", tblPassengerNames[[#This Row],[P_NSpaces]]))</f>
        <v>#VALUE!</v>
      </c>
      <c r="O1211" t="e">
        <f>IF(tblPassengerNames[[#This Row],[P_NSpaces]] = 0,
    tblPassengerNames[[#This Row],[InParenthesesCleaned]],
    LEFT(tblPassengerNames[[#This Row],[InParenthesesCleaned]], tblPassengerNames[[#This Row],[P_FinalSpacePos]] - 1)
)</f>
        <v>#VALUE!</v>
      </c>
      <c r="P1211" t="str">
        <f>IFERROR(tblPassengerNames[[#This Row],[P_Forenames]], tblPassengerNames[[#This Row],[ConvForenames]])</f>
        <v>Mabel</v>
      </c>
      <c r="Q1211" t="str">
        <f>MID(tblPassengerNames[[#This Row],[Name]], tblPassengerNames[[#This Row],[CommaPos]] + 2, tblPassengerNames[[#This Row],[DotPos]] - tblPassengerNames[[#This Row],[CommaPos]] - 1)</f>
        <v>Miss.</v>
      </c>
      <c r="R1211" t="str">
        <f>LEFT(tblPassengerNames[[#This Row],[Name]], tblPassengerNames[[#This Row],[CommaPos]] - 1)</f>
        <v>Skoog</v>
      </c>
    </row>
    <row r="1212" spans="2:18" x14ac:dyDescent="0.25">
      <c r="B1212" s="21">
        <v>1210</v>
      </c>
      <c r="C1212" s="21" t="s">
        <v>1344</v>
      </c>
      <c r="D1212" s="21" t="s">
        <v>136</v>
      </c>
      <c r="E1212">
        <f>FIND(",", tblPassengerNames[[#This Row],[Name]])</f>
        <v>6</v>
      </c>
      <c r="F1212">
        <f>FIND(".", tblPassengerNames[[#This Row],[Name]])</f>
        <v>12</v>
      </c>
      <c r="G1212" t="e">
        <f>FIND("(", tblPassengerNames[[#This Row],[Name]])</f>
        <v>#VALUE!</v>
      </c>
      <c r="H1212" t="e">
        <f>FIND(")", tblPassengerNames[[#This Row],[Name]])</f>
        <v>#VALUE!</v>
      </c>
      <c r="I1212">
        <f>IFERROR(tblPassengerNames[[#This Row],[OpenParPos]] - 2, LEN(tblPassengerNames[[#This Row],[Name]]))</f>
        <v>29</v>
      </c>
      <c r="J1212" t="str">
        <f>MID(tblPassengerNames[[#This Row],[Name]], tblPassengerNames[[#This Row],[DotPos]] + 2, tblPassengerNames[[#This Row],[EndOfConvFNPos]] - tblPassengerNames[[#This Row],[DotPos]] - 1)</f>
        <v>Margit Elizabeth</v>
      </c>
      <c r="K1212" t="e">
        <f>MID(tblPassengerNames[[#This Row],[Name]], tblPassengerNames[[#This Row],[OpenParPos]] + 1, tblPassengerNames[[#This Row],[CloseParPos]] - tblPassengerNames[[#This Row],[OpenParPos]] - 1)</f>
        <v>#VALUE!</v>
      </c>
      <c r="L1212" t="e">
        <f>IF(AND(LEFT(tblPassengerNames[[#This Row],[InParentheses]], 1) = "'", RIGHT(tblPassengerNames[[#This Row],[InParentheses]], 1) = "'"),
    #VALUE!,
    tblPassengerNames[[#This Row],[InParentheses]]
)</f>
        <v>#VALUE!</v>
      </c>
      <c r="M1212" t="e">
        <f>LEN(tblPassengerNames[[#This Row],[InParenthesesCleaned]]) - LEN(SUBSTITUTE(tblPassengerNames[[#This Row],[InParenthesesCleaned]], " ", ""))</f>
        <v>#VALUE!</v>
      </c>
      <c r="N1212" t="e">
        <f>FIND("@", SUBSTITUTE(tblPassengerNames[[#This Row],[InParenthesesCleaned]], " ", "@", tblPassengerNames[[#This Row],[P_NSpaces]]))</f>
        <v>#VALUE!</v>
      </c>
      <c r="O1212" t="e">
        <f>IF(tblPassengerNames[[#This Row],[P_NSpaces]] = 0,
    tblPassengerNames[[#This Row],[InParenthesesCleaned]],
    LEFT(tblPassengerNames[[#This Row],[InParenthesesCleaned]], tblPassengerNames[[#This Row],[P_FinalSpacePos]] - 1)
)</f>
        <v>#VALUE!</v>
      </c>
      <c r="P1212" t="str">
        <f>IFERROR(tblPassengerNames[[#This Row],[P_Forenames]], tblPassengerNames[[#This Row],[ConvForenames]])</f>
        <v>Margit Elizabeth</v>
      </c>
      <c r="Q1212" t="str">
        <f>MID(tblPassengerNames[[#This Row],[Name]], tblPassengerNames[[#This Row],[CommaPos]] + 2, tblPassengerNames[[#This Row],[DotPos]] - tblPassengerNames[[#This Row],[CommaPos]] - 1)</f>
        <v>Miss.</v>
      </c>
      <c r="R1212" t="str">
        <f>LEFT(tblPassengerNames[[#This Row],[Name]], tblPassengerNames[[#This Row],[CommaPos]] - 1)</f>
        <v>Skoog</v>
      </c>
    </row>
    <row r="1213" spans="2:18" x14ac:dyDescent="0.25">
      <c r="B1213" s="21">
        <v>1211</v>
      </c>
      <c r="C1213" s="21" t="s">
        <v>1345</v>
      </c>
      <c r="D1213" s="21" t="s">
        <v>138</v>
      </c>
      <c r="E1213">
        <f>FIND(",", tblPassengerNames[[#This Row],[Name]])</f>
        <v>6</v>
      </c>
      <c r="F1213">
        <f>FIND(".", tblPassengerNames[[#This Row],[Name]])</f>
        <v>10</v>
      </c>
      <c r="G1213" t="e">
        <f>FIND("(", tblPassengerNames[[#This Row],[Name]])</f>
        <v>#VALUE!</v>
      </c>
      <c r="H1213" t="e">
        <f>FIND(")", tblPassengerNames[[#This Row],[Name]])</f>
        <v>#VALUE!</v>
      </c>
      <c r="I1213">
        <f>IFERROR(tblPassengerNames[[#This Row],[OpenParPos]] - 2, LEN(tblPassengerNames[[#This Row],[Name]]))</f>
        <v>18</v>
      </c>
      <c r="J1213" t="str">
        <f>MID(tblPassengerNames[[#This Row],[Name]], tblPassengerNames[[#This Row],[DotPos]] + 2, tblPassengerNames[[#This Row],[EndOfConvFNPos]] - tblPassengerNames[[#This Row],[DotPos]] - 1)</f>
        <v>Wilhelm</v>
      </c>
      <c r="K1213" t="e">
        <f>MID(tblPassengerNames[[#This Row],[Name]], tblPassengerNames[[#This Row],[OpenParPos]] + 1, tblPassengerNames[[#This Row],[CloseParPos]] - tblPassengerNames[[#This Row],[OpenParPos]] - 1)</f>
        <v>#VALUE!</v>
      </c>
      <c r="L1213" t="e">
        <f>IF(AND(LEFT(tblPassengerNames[[#This Row],[InParentheses]], 1) = "'", RIGHT(tblPassengerNames[[#This Row],[InParentheses]], 1) = "'"),
    #VALUE!,
    tblPassengerNames[[#This Row],[InParentheses]]
)</f>
        <v>#VALUE!</v>
      </c>
      <c r="M1213" t="e">
        <f>LEN(tblPassengerNames[[#This Row],[InParenthesesCleaned]]) - LEN(SUBSTITUTE(tblPassengerNames[[#This Row],[InParenthesesCleaned]], " ", ""))</f>
        <v>#VALUE!</v>
      </c>
      <c r="N1213" t="e">
        <f>FIND("@", SUBSTITUTE(tblPassengerNames[[#This Row],[InParenthesesCleaned]], " ", "@", tblPassengerNames[[#This Row],[P_NSpaces]]))</f>
        <v>#VALUE!</v>
      </c>
      <c r="O1213" t="e">
        <f>IF(tblPassengerNames[[#This Row],[P_NSpaces]] = 0,
    tblPassengerNames[[#This Row],[InParenthesesCleaned]],
    LEFT(tblPassengerNames[[#This Row],[InParenthesesCleaned]], tblPassengerNames[[#This Row],[P_FinalSpacePos]] - 1)
)</f>
        <v>#VALUE!</v>
      </c>
      <c r="P1213" t="str">
        <f>IFERROR(tblPassengerNames[[#This Row],[P_Forenames]], tblPassengerNames[[#This Row],[ConvForenames]])</f>
        <v>Wilhelm</v>
      </c>
      <c r="Q1213" t="str">
        <f>MID(tblPassengerNames[[#This Row],[Name]], tblPassengerNames[[#This Row],[CommaPos]] + 2, tblPassengerNames[[#This Row],[DotPos]] - tblPassengerNames[[#This Row],[CommaPos]] - 1)</f>
        <v>Mr.</v>
      </c>
      <c r="R1213" t="str">
        <f>LEFT(tblPassengerNames[[#This Row],[Name]], tblPassengerNames[[#This Row],[CommaPos]] - 1)</f>
        <v>Skoog</v>
      </c>
    </row>
    <row r="1214" spans="2:18" x14ac:dyDescent="0.25">
      <c r="B1214" s="21">
        <v>1212</v>
      </c>
      <c r="C1214" s="21" t="s">
        <v>1346</v>
      </c>
      <c r="D1214" s="21" t="s">
        <v>136</v>
      </c>
      <c r="E1214">
        <f>FIND(",", tblPassengerNames[[#This Row],[Name]])</f>
        <v>6</v>
      </c>
      <c r="F1214">
        <f>FIND(".", tblPassengerNames[[#This Row],[Name]])</f>
        <v>11</v>
      </c>
      <c r="G1214">
        <f>FIND("(", tblPassengerNames[[#This Row],[Name]])</f>
        <v>21</v>
      </c>
      <c r="H1214">
        <f>FIND(")", tblPassengerNames[[#This Row],[Name]])</f>
        <v>47</v>
      </c>
      <c r="I1214">
        <f>IFERROR(tblPassengerNames[[#This Row],[OpenParPos]] - 2, LEN(tblPassengerNames[[#This Row],[Name]]))</f>
        <v>19</v>
      </c>
      <c r="J1214" t="str">
        <f>MID(tblPassengerNames[[#This Row],[Name]], tblPassengerNames[[#This Row],[DotPos]] + 2, tblPassengerNames[[#This Row],[EndOfConvFNPos]] - tblPassengerNames[[#This Row],[DotPos]] - 1)</f>
        <v>William</v>
      </c>
      <c r="K1214" t="str">
        <f>MID(tblPassengerNames[[#This Row],[Name]], tblPassengerNames[[#This Row],[OpenParPos]] + 1, tblPassengerNames[[#This Row],[CloseParPos]] - tblPassengerNames[[#This Row],[OpenParPos]] - 1)</f>
        <v>Anna Bernhardina Karlsson</v>
      </c>
      <c r="L1214" t="str">
        <f>IF(AND(LEFT(tblPassengerNames[[#This Row],[InParentheses]], 1) = "'", RIGHT(tblPassengerNames[[#This Row],[InParentheses]], 1) = "'"),
    #VALUE!,
    tblPassengerNames[[#This Row],[InParentheses]]
)</f>
        <v>Anna Bernhardina Karlsson</v>
      </c>
      <c r="M1214">
        <f>LEN(tblPassengerNames[[#This Row],[InParenthesesCleaned]]) - LEN(SUBSTITUTE(tblPassengerNames[[#This Row],[InParenthesesCleaned]], " ", ""))</f>
        <v>2</v>
      </c>
      <c r="N1214">
        <f>FIND("@", SUBSTITUTE(tblPassengerNames[[#This Row],[InParenthesesCleaned]], " ", "@", tblPassengerNames[[#This Row],[P_NSpaces]]))</f>
        <v>17</v>
      </c>
      <c r="O1214" t="str">
        <f>IF(tblPassengerNames[[#This Row],[P_NSpaces]] = 0,
    tblPassengerNames[[#This Row],[InParenthesesCleaned]],
    LEFT(tblPassengerNames[[#This Row],[InParenthesesCleaned]], tblPassengerNames[[#This Row],[P_FinalSpacePos]] - 1)
)</f>
        <v>Anna Bernhardina</v>
      </c>
      <c r="P1214" t="str">
        <f>IFERROR(tblPassengerNames[[#This Row],[P_Forenames]], tblPassengerNames[[#This Row],[ConvForenames]])</f>
        <v>Anna Bernhardina</v>
      </c>
      <c r="Q1214" t="str">
        <f>MID(tblPassengerNames[[#This Row],[Name]], tblPassengerNames[[#This Row],[CommaPos]] + 2, tblPassengerNames[[#This Row],[DotPos]] - tblPassengerNames[[#This Row],[CommaPos]] - 1)</f>
        <v>Mrs.</v>
      </c>
      <c r="R1214" t="str">
        <f>LEFT(tblPassengerNames[[#This Row],[Name]], tblPassengerNames[[#This Row],[CommaPos]] - 1)</f>
        <v>Skoog</v>
      </c>
    </row>
    <row r="1215" spans="2:18" x14ac:dyDescent="0.25">
      <c r="B1215" s="21">
        <v>1213</v>
      </c>
      <c r="C1215" s="21" t="s">
        <v>1347</v>
      </c>
      <c r="D1215" s="21" t="s">
        <v>138</v>
      </c>
      <c r="E1215">
        <f>FIND(",", tblPassengerNames[[#This Row],[Name]])</f>
        <v>10</v>
      </c>
      <c r="F1215">
        <f>FIND(".", tblPassengerNames[[#This Row],[Name]])</f>
        <v>14</v>
      </c>
      <c r="G1215" t="e">
        <f>FIND("(", tblPassengerNames[[#This Row],[Name]])</f>
        <v>#VALUE!</v>
      </c>
      <c r="H1215" t="e">
        <f>FIND(")", tblPassengerNames[[#This Row],[Name]])</f>
        <v>#VALUE!</v>
      </c>
      <c r="I1215">
        <f>IFERROR(tblPassengerNames[[#This Row],[OpenParPos]] - 2, LEN(tblPassengerNames[[#This Row],[Name]]))</f>
        <v>20</v>
      </c>
      <c r="J1215" t="str">
        <f>MID(tblPassengerNames[[#This Row],[Name]], tblPassengerNames[[#This Row],[DotPos]] + 2, tblPassengerNames[[#This Row],[EndOfConvFNPos]] - tblPassengerNames[[#This Row],[DotPos]] - 1)</f>
        <v>Petco</v>
      </c>
      <c r="K1215" t="e">
        <f>MID(tblPassengerNames[[#This Row],[Name]], tblPassengerNames[[#This Row],[OpenParPos]] + 1, tblPassengerNames[[#This Row],[CloseParPos]] - tblPassengerNames[[#This Row],[OpenParPos]] - 1)</f>
        <v>#VALUE!</v>
      </c>
      <c r="L1215" t="e">
        <f>IF(AND(LEFT(tblPassengerNames[[#This Row],[InParentheses]], 1) = "'", RIGHT(tblPassengerNames[[#This Row],[InParentheses]], 1) = "'"),
    #VALUE!,
    tblPassengerNames[[#This Row],[InParentheses]]
)</f>
        <v>#VALUE!</v>
      </c>
      <c r="M1215" t="e">
        <f>LEN(tblPassengerNames[[#This Row],[InParenthesesCleaned]]) - LEN(SUBSTITUTE(tblPassengerNames[[#This Row],[InParenthesesCleaned]], " ", ""))</f>
        <v>#VALUE!</v>
      </c>
      <c r="N1215" t="e">
        <f>FIND("@", SUBSTITUTE(tblPassengerNames[[#This Row],[InParenthesesCleaned]], " ", "@", tblPassengerNames[[#This Row],[P_NSpaces]]))</f>
        <v>#VALUE!</v>
      </c>
      <c r="O1215" t="e">
        <f>IF(tblPassengerNames[[#This Row],[P_NSpaces]] = 0,
    tblPassengerNames[[#This Row],[InParenthesesCleaned]],
    LEFT(tblPassengerNames[[#This Row],[InParenthesesCleaned]], tblPassengerNames[[#This Row],[P_FinalSpacePos]] - 1)
)</f>
        <v>#VALUE!</v>
      </c>
      <c r="P1215" t="str">
        <f>IFERROR(tblPassengerNames[[#This Row],[P_Forenames]], tblPassengerNames[[#This Row],[ConvForenames]])</f>
        <v>Petco</v>
      </c>
      <c r="Q1215" t="str">
        <f>MID(tblPassengerNames[[#This Row],[Name]], tblPassengerNames[[#This Row],[CommaPos]] + 2, tblPassengerNames[[#This Row],[DotPos]] - tblPassengerNames[[#This Row],[CommaPos]] - 1)</f>
        <v>Mr.</v>
      </c>
      <c r="R1215" t="str">
        <f>LEFT(tblPassengerNames[[#This Row],[Name]], tblPassengerNames[[#This Row],[CommaPos]] - 1)</f>
        <v>Slabenoff</v>
      </c>
    </row>
    <row r="1216" spans="2:18" x14ac:dyDescent="0.25">
      <c r="B1216" s="21">
        <v>1214</v>
      </c>
      <c r="C1216" s="21" t="s">
        <v>1348</v>
      </c>
      <c r="D1216" s="21" t="s">
        <v>138</v>
      </c>
      <c r="E1216">
        <f>FIND(",", tblPassengerNames[[#This Row],[Name]])</f>
        <v>10</v>
      </c>
      <c r="F1216">
        <f>FIND(".", tblPassengerNames[[#This Row],[Name]])</f>
        <v>14</v>
      </c>
      <c r="G1216" t="e">
        <f>FIND("(", tblPassengerNames[[#This Row],[Name]])</f>
        <v>#VALUE!</v>
      </c>
      <c r="H1216" t="e">
        <f>FIND(")", tblPassengerNames[[#This Row],[Name]])</f>
        <v>#VALUE!</v>
      </c>
      <c r="I1216">
        <f>IFERROR(tblPassengerNames[[#This Row],[OpenParPos]] - 2, LEN(tblPassengerNames[[#This Row],[Name]]))</f>
        <v>29</v>
      </c>
      <c r="J1216" t="str">
        <f>MID(tblPassengerNames[[#This Row],[Name]], tblPassengerNames[[#This Row],[DotPos]] + 2, tblPassengerNames[[#This Row],[EndOfConvFNPos]] - tblPassengerNames[[#This Row],[DotPos]] - 1)</f>
        <v>Selman Francis</v>
      </c>
      <c r="K1216" t="e">
        <f>MID(tblPassengerNames[[#This Row],[Name]], tblPassengerNames[[#This Row],[OpenParPos]] + 1, tblPassengerNames[[#This Row],[CloseParPos]] - tblPassengerNames[[#This Row],[OpenParPos]] - 1)</f>
        <v>#VALUE!</v>
      </c>
      <c r="L1216" t="e">
        <f>IF(AND(LEFT(tblPassengerNames[[#This Row],[InParentheses]], 1) = "'", RIGHT(tblPassengerNames[[#This Row],[InParentheses]], 1) = "'"),
    #VALUE!,
    tblPassengerNames[[#This Row],[InParentheses]]
)</f>
        <v>#VALUE!</v>
      </c>
      <c r="M1216" t="e">
        <f>LEN(tblPassengerNames[[#This Row],[InParenthesesCleaned]]) - LEN(SUBSTITUTE(tblPassengerNames[[#This Row],[InParenthesesCleaned]], " ", ""))</f>
        <v>#VALUE!</v>
      </c>
      <c r="N1216" t="e">
        <f>FIND("@", SUBSTITUTE(tblPassengerNames[[#This Row],[InParenthesesCleaned]], " ", "@", tblPassengerNames[[#This Row],[P_NSpaces]]))</f>
        <v>#VALUE!</v>
      </c>
      <c r="O1216" t="e">
        <f>IF(tblPassengerNames[[#This Row],[P_NSpaces]] = 0,
    tblPassengerNames[[#This Row],[InParenthesesCleaned]],
    LEFT(tblPassengerNames[[#This Row],[InParenthesesCleaned]], tblPassengerNames[[#This Row],[P_FinalSpacePos]] - 1)
)</f>
        <v>#VALUE!</v>
      </c>
      <c r="P1216" t="str">
        <f>IFERROR(tblPassengerNames[[#This Row],[P_Forenames]], tblPassengerNames[[#This Row],[ConvForenames]])</f>
        <v>Selman Francis</v>
      </c>
      <c r="Q1216" t="str">
        <f>MID(tblPassengerNames[[#This Row],[Name]], tblPassengerNames[[#This Row],[CommaPos]] + 2, tblPassengerNames[[#This Row],[DotPos]] - tblPassengerNames[[#This Row],[CommaPos]] - 1)</f>
        <v>Mr.</v>
      </c>
      <c r="R1216" t="str">
        <f>LEFT(tblPassengerNames[[#This Row],[Name]], tblPassengerNames[[#This Row],[CommaPos]] - 1)</f>
        <v>Slocovski</v>
      </c>
    </row>
    <row r="1217" spans="2:18" x14ac:dyDescent="0.25">
      <c r="B1217" s="21">
        <v>1215</v>
      </c>
      <c r="C1217" s="21" t="s">
        <v>1349</v>
      </c>
      <c r="D1217" s="21" t="s">
        <v>138</v>
      </c>
      <c r="E1217">
        <f>FIND(",", tblPassengerNames[[#This Row],[Name]])</f>
        <v>10</v>
      </c>
      <c r="F1217">
        <f>FIND(".", tblPassengerNames[[#This Row],[Name]])</f>
        <v>14</v>
      </c>
      <c r="G1217" t="e">
        <f>FIND("(", tblPassengerNames[[#This Row],[Name]])</f>
        <v>#VALUE!</v>
      </c>
      <c r="H1217" t="e">
        <f>FIND(")", tblPassengerNames[[#This Row],[Name]])</f>
        <v>#VALUE!</v>
      </c>
      <c r="I1217">
        <f>IFERROR(tblPassengerNames[[#This Row],[OpenParPos]] - 2, LEN(tblPassengerNames[[#This Row],[Name]]))</f>
        <v>19</v>
      </c>
      <c r="J1217" t="str">
        <f>MID(tblPassengerNames[[#This Row],[Name]], tblPassengerNames[[#This Row],[DotPos]] + 2, tblPassengerNames[[#This Row],[EndOfConvFNPos]] - tblPassengerNames[[#This Row],[DotPos]] - 1)</f>
        <v>Mile</v>
      </c>
      <c r="K1217" t="e">
        <f>MID(tblPassengerNames[[#This Row],[Name]], tblPassengerNames[[#This Row],[OpenParPos]] + 1, tblPassengerNames[[#This Row],[CloseParPos]] - tblPassengerNames[[#This Row],[OpenParPos]] - 1)</f>
        <v>#VALUE!</v>
      </c>
      <c r="L1217" t="e">
        <f>IF(AND(LEFT(tblPassengerNames[[#This Row],[InParentheses]], 1) = "'", RIGHT(tblPassengerNames[[#This Row],[InParentheses]], 1) = "'"),
    #VALUE!,
    tblPassengerNames[[#This Row],[InParentheses]]
)</f>
        <v>#VALUE!</v>
      </c>
      <c r="M1217" t="e">
        <f>LEN(tblPassengerNames[[#This Row],[InParenthesesCleaned]]) - LEN(SUBSTITUTE(tblPassengerNames[[#This Row],[InParenthesesCleaned]], " ", ""))</f>
        <v>#VALUE!</v>
      </c>
      <c r="N1217" t="e">
        <f>FIND("@", SUBSTITUTE(tblPassengerNames[[#This Row],[InParenthesesCleaned]], " ", "@", tblPassengerNames[[#This Row],[P_NSpaces]]))</f>
        <v>#VALUE!</v>
      </c>
      <c r="O1217" t="e">
        <f>IF(tblPassengerNames[[#This Row],[P_NSpaces]] = 0,
    tblPassengerNames[[#This Row],[InParenthesesCleaned]],
    LEFT(tblPassengerNames[[#This Row],[InParenthesesCleaned]], tblPassengerNames[[#This Row],[P_FinalSpacePos]] - 1)
)</f>
        <v>#VALUE!</v>
      </c>
      <c r="P1217" t="str">
        <f>IFERROR(tblPassengerNames[[#This Row],[P_Forenames]], tblPassengerNames[[#This Row],[ConvForenames]])</f>
        <v>Mile</v>
      </c>
      <c r="Q1217" t="str">
        <f>MID(tblPassengerNames[[#This Row],[Name]], tblPassengerNames[[#This Row],[CommaPos]] + 2, tblPassengerNames[[#This Row],[DotPos]] - tblPassengerNames[[#This Row],[CommaPos]] - 1)</f>
        <v>Mr.</v>
      </c>
      <c r="R1217" t="str">
        <f>LEFT(tblPassengerNames[[#This Row],[Name]], tblPassengerNames[[#This Row],[CommaPos]] - 1)</f>
        <v>Smiljanic</v>
      </c>
    </row>
    <row r="1218" spans="2:18" x14ac:dyDescent="0.25">
      <c r="B1218" s="21">
        <v>1216</v>
      </c>
      <c r="C1218" s="21" t="s">
        <v>1350</v>
      </c>
      <c r="D1218" s="21" t="s">
        <v>138</v>
      </c>
      <c r="E1218">
        <f>FIND(",", tblPassengerNames[[#This Row],[Name]])</f>
        <v>6</v>
      </c>
      <c r="F1218">
        <f>FIND(".", tblPassengerNames[[#This Row],[Name]])</f>
        <v>10</v>
      </c>
      <c r="G1218" t="e">
        <f>FIND("(", tblPassengerNames[[#This Row],[Name]])</f>
        <v>#VALUE!</v>
      </c>
      <c r="H1218" t="e">
        <f>FIND(")", tblPassengerNames[[#This Row],[Name]])</f>
        <v>#VALUE!</v>
      </c>
      <c r="I1218">
        <f>IFERROR(tblPassengerNames[[#This Row],[OpenParPos]] - 2, LEN(tblPassengerNames[[#This Row],[Name]]))</f>
        <v>17</v>
      </c>
      <c r="J1218" t="str">
        <f>MID(tblPassengerNames[[#This Row],[Name]], tblPassengerNames[[#This Row],[DotPos]] + 2, tblPassengerNames[[#This Row],[EndOfConvFNPos]] - tblPassengerNames[[#This Row],[DotPos]] - 1)</f>
        <v>Thomas</v>
      </c>
      <c r="K1218" t="e">
        <f>MID(tblPassengerNames[[#This Row],[Name]], tblPassengerNames[[#This Row],[OpenParPos]] + 1, tblPassengerNames[[#This Row],[CloseParPos]] - tblPassengerNames[[#This Row],[OpenParPos]] - 1)</f>
        <v>#VALUE!</v>
      </c>
      <c r="L1218" t="e">
        <f>IF(AND(LEFT(tblPassengerNames[[#This Row],[InParentheses]], 1) = "'", RIGHT(tblPassengerNames[[#This Row],[InParentheses]], 1) = "'"),
    #VALUE!,
    tblPassengerNames[[#This Row],[InParentheses]]
)</f>
        <v>#VALUE!</v>
      </c>
      <c r="M1218" t="e">
        <f>LEN(tblPassengerNames[[#This Row],[InParenthesesCleaned]]) - LEN(SUBSTITUTE(tblPassengerNames[[#This Row],[InParenthesesCleaned]], " ", ""))</f>
        <v>#VALUE!</v>
      </c>
      <c r="N1218" t="e">
        <f>FIND("@", SUBSTITUTE(tblPassengerNames[[#This Row],[InParenthesesCleaned]], " ", "@", tblPassengerNames[[#This Row],[P_NSpaces]]))</f>
        <v>#VALUE!</v>
      </c>
      <c r="O1218" t="e">
        <f>IF(tblPassengerNames[[#This Row],[P_NSpaces]] = 0,
    tblPassengerNames[[#This Row],[InParenthesesCleaned]],
    LEFT(tblPassengerNames[[#This Row],[InParenthesesCleaned]], tblPassengerNames[[#This Row],[P_FinalSpacePos]] - 1)
)</f>
        <v>#VALUE!</v>
      </c>
      <c r="P1218" t="str">
        <f>IFERROR(tblPassengerNames[[#This Row],[P_Forenames]], tblPassengerNames[[#This Row],[ConvForenames]])</f>
        <v>Thomas</v>
      </c>
      <c r="Q1218" t="str">
        <f>MID(tblPassengerNames[[#This Row],[Name]], tblPassengerNames[[#This Row],[CommaPos]] + 2, tblPassengerNames[[#This Row],[DotPos]] - tblPassengerNames[[#This Row],[CommaPos]] - 1)</f>
        <v>Mr.</v>
      </c>
      <c r="R1218" t="str">
        <f>LEFT(tblPassengerNames[[#This Row],[Name]], tblPassengerNames[[#This Row],[CommaPos]] - 1)</f>
        <v>Smith</v>
      </c>
    </row>
    <row r="1219" spans="2:18" x14ac:dyDescent="0.25">
      <c r="B1219" s="21">
        <v>1217</v>
      </c>
      <c r="C1219" s="21" t="s">
        <v>1351</v>
      </c>
      <c r="D1219" s="21" t="s">
        <v>136</v>
      </c>
      <c r="E1219">
        <f>FIND(",", tblPassengerNames[[#This Row],[Name]])</f>
        <v>6</v>
      </c>
      <c r="F1219">
        <f>FIND(".", tblPassengerNames[[#This Row],[Name]])</f>
        <v>12</v>
      </c>
      <c r="G1219" t="e">
        <f>FIND("(", tblPassengerNames[[#This Row],[Name]])</f>
        <v>#VALUE!</v>
      </c>
      <c r="H1219" t="e">
        <f>FIND(")", tblPassengerNames[[#This Row],[Name]])</f>
        <v>#VALUE!</v>
      </c>
      <c r="I1219">
        <f>IFERROR(tblPassengerNames[[#This Row],[OpenParPos]] - 2, LEN(tblPassengerNames[[#This Row],[Name]]))</f>
        <v>18</v>
      </c>
      <c r="J1219" t="str">
        <f>MID(tblPassengerNames[[#This Row],[Name]], tblPassengerNames[[#This Row],[DotPos]] + 2, tblPassengerNames[[#This Row],[EndOfConvFNPos]] - tblPassengerNames[[#This Row],[DotPos]] - 1)</f>
        <v>Julia</v>
      </c>
      <c r="K1219" t="e">
        <f>MID(tblPassengerNames[[#This Row],[Name]], tblPassengerNames[[#This Row],[OpenParPos]] + 1, tblPassengerNames[[#This Row],[CloseParPos]] - tblPassengerNames[[#This Row],[OpenParPos]] - 1)</f>
        <v>#VALUE!</v>
      </c>
      <c r="L1219" t="e">
        <f>IF(AND(LEFT(tblPassengerNames[[#This Row],[InParentheses]], 1) = "'", RIGHT(tblPassengerNames[[#This Row],[InParentheses]], 1) = "'"),
    #VALUE!,
    tblPassengerNames[[#This Row],[InParentheses]]
)</f>
        <v>#VALUE!</v>
      </c>
      <c r="M1219" t="e">
        <f>LEN(tblPassengerNames[[#This Row],[InParenthesesCleaned]]) - LEN(SUBSTITUTE(tblPassengerNames[[#This Row],[InParenthesesCleaned]], " ", ""))</f>
        <v>#VALUE!</v>
      </c>
      <c r="N1219" t="e">
        <f>FIND("@", SUBSTITUTE(tblPassengerNames[[#This Row],[InParenthesesCleaned]], " ", "@", tblPassengerNames[[#This Row],[P_NSpaces]]))</f>
        <v>#VALUE!</v>
      </c>
      <c r="O1219" t="e">
        <f>IF(tblPassengerNames[[#This Row],[P_NSpaces]] = 0,
    tblPassengerNames[[#This Row],[InParenthesesCleaned]],
    LEFT(tblPassengerNames[[#This Row],[InParenthesesCleaned]], tblPassengerNames[[#This Row],[P_FinalSpacePos]] - 1)
)</f>
        <v>#VALUE!</v>
      </c>
      <c r="P1219" t="str">
        <f>IFERROR(tblPassengerNames[[#This Row],[P_Forenames]], tblPassengerNames[[#This Row],[ConvForenames]])</f>
        <v>Julia</v>
      </c>
      <c r="Q1219" t="str">
        <f>MID(tblPassengerNames[[#This Row],[Name]], tblPassengerNames[[#This Row],[CommaPos]] + 2, tblPassengerNames[[#This Row],[DotPos]] - tblPassengerNames[[#This Row],[CommaPos]] - 1)</f>
        <v>Miss.</v>
      </c>
      <c r="R1219" t="str">
        <f>LEFT(tblPassengerNames[[#This Row],[Name]], tblPassengerNames[[#This Row],[CommaPos]] - 1)</f>
        <v>Smyth</v>
      </c>
    </row>
    <row r="1220" spans="2:18" x14ac:dyDescent="0.25">
      <c r="B1220" s="21">
        <v>1218</v>
      </c>
      <c r="C1220" s="21" t="s">
        <v>1352</v>
      </c>
      <c r="D1220" s="21" t="s">
        <v>138</v>
      </c>
      <c r="E1220">
        <f>FIND(",", tblPassengerNames[[#This Row],[Name]])</f>
        <v>7</v>
      </c>
      <c r="F1220">
        <f>FIND(".", tblPassengerNames[[#This Row],[Name]])</f>
        <v>11</v>
      </c>
      <c r="G1220" t="e">
        <f>FIND("(", tblPassengerNames[[#This Row],[Name]])</f>
        <v>#VALUE!</v>
      </c>
      <c r="H1220" t="e">
        <f>FIND(")", tblPassengerNames[[#This Row],[Name]])</f>
        <v>#VALUE!</v>
      </c>
      <c r="I1220">
        <f>IFERROR(tblPassengerNames[[#This Row],[OpenParPos]] - 2, LEN(tblPassengerNames[[#This Row],[Name]]))</f>
        <v>42</v>
      </c>
      <c r="J1220" t="str">
        <f>MID(tblPassengerNames[[#This Row],[Name]], tblPassengerNames[[#This Row],[DotPos]] + 2, tblPassengerNames[[#This Row],[EndOfConvFNPos]] - tblPassengerNames[[#This Row],[DotPos]] - 1)</f>
        <v>Peter Andreas Lauritz Andersen</v>
      </c>
      <c r="K1220" t="e">
        <f>MID(tblPassengerNames[[#This Row],[Name]], tblPassengerNames[[#This Row],[OpenParPos]] + 1, tblPassengerNames[[#This Row],[CloseParPos]] - tblPassengerNames[[#This Row],[OpenParPos]] - 1)</f>
        <v>#VALUE!</v>
      </c>
      <c r="L1220" t="e">
        <f>IF(AND(LEFT(tblPassengerNames[[#This Row],[InParentheses]], 1) = "'", RIGHT(tblPassengerNames[[#This Row],[InParentheses]], 1) = "'"),
    #VALUE!,
    tblPassengerNames[[#This Row],[InParentheses]]
)</f>
        <v>#VALUE!</v>
      </c>
      <c r="M1220" t="e">
        <f>LEN(tblPassengerNames[[#This Row],[InParenthesesCleaned]]) - LEN(SUBSTITUTE(tblPassengerNames[[#This Row],[InParenthesesCleaned]], " ", ""))</f>
        <v>#VALUE!</v>
      </c>
      <c r="N1220" t="e">
        <f>FIND("@", SUBSTITUTE(tblPassengerNames[[#This Row],[InParenthesesCleaned]], " ", "@", tblPassengerNames[[#This Row],[P_NSpaces]]))</f>
        <v>#VALUE!</v>
      </c>
      <c r="O1220" t="e">
        <f>IF(tblPassengerNames[[#This Row],[P_NSpaces]] = 0,
    tblPassengerNames[[#This Row],[InParenthesesCleaned]],
    LEFT(tblPassengerNames[[#This Row],[InParenthesesCleaned]], tblPassengerNames[[#This Row],[P_FinalSpacePos]] - 1)
)</f>
        <v>#VALUE!</v>
      </c>
      <c r="P1220" t="str">
        <f>IFERROR(tblPassengerNames[[#This Row],[P_Forenames]], tblPassengerNames[[#This Row],[ConvForenames]])</f>
        <v>Peter Andreas Lauritz Andersen</v>
      </c>
      <c r="Q1220" t="str">
        <f>MID(tblPassengerNames[[#This Row],[Name]], tblPassengerNames[[#This Row],[CommaPos]] + 2, tblPassengerNames[[#This Row],[DotPos]] - tblPassengerNames[[#This Row],[CommaPos]] - 1)</f>
        <v>Mr.</v>
      </c>
      <c r="R1220" t="str">
        <f>LEFT(tblPassengerNames[[#This Row],[Name]], tblPassengerNames[[#This Row],[CommaPos]] - 1)</f>
        <v>Soholt</v>
      </c>
    </row>
    <row r="1221" spans="2:18" x14ac:dyDescent="0.25">
      <c r="B1221" s="21">
        <v>1219</v>
      </c>
      <c r="C1221" s="21" t="s">
        <v>1353</v>
      </c>
      <c r="D1221" s="21" t="s">
        <v>138</v>
      </c>
      <c r="E1221">
        <f>FIND(",", tblPassengerNames[[#This Row],[Name]])</f>
        <v>9</v>
      </c>
      <c r="F1221">
        <f>FIND(".", tblPassengerNames[[#This Row],[Name]])</f>
        <v>13</v>
      </c>
      <c r="G1221" t="e">
        <f>FIND("(", tblPassengerNames[[#This Row],[Name]])</f>
        <v>#VALUE!</v>
      </c>
      <c r="H1221" t="e">
        <f>FIND(")", tblPassengerNames[[#This Row],[Name]])</f>
        <v>#VALUE!</v>
      </c>
      <c r="I1221">
        <f>IFERROR(tblPassengerNames[[#This Row],[OpenParPos]] - 2, LEN(tblPassengerNames[[#This Row],[Name]]))</f>
        <v>29</v>
      </c>
      <c r="J1221" t="str">
        <f>MID(tblPassengerNames[[#This Row],[Name]], tblPassengerNames[[#This Row],[DotPos]] + 2, tblPassengerNames[[#This Row],[EndOfConvFNPos]] - tblPassengerNames[[#This Row],[DotPos]] - 1)</f>
        <v>Francis William</v>
      </c>
      <c r="K1221" t="e">
        <f>MID(tblPassengerNames[[#This Row],[Name]], tblPassengerNames[[#This Row],[OpenParPos]] + 1, tblPassengerNames[[#This Row],[CloseParPos]] - tblPassengerNames[[#This Row],[OpenParPos]] - 1)</f>
        <v>#VALUE!</v>
      </c>
      <c r="L1221" t="e">
        <f>IF(AND(LEFT(tblPassengerNames[[#This Row],[InParentheses]], 1) = "'", RIGHT(tblPassengerNames[[#This Row],[InParentheses]], 1) = "'"),
    #VALUE!,
    tblPassengerNames[[#This Row],[InParentheses]]
)</f>
        <v>#VALUE!</v>
      </c>
      <c r="M1221" t="e">
        <f>LEN(tblPassengerNames[[#This Row],[InParenthesesCleaned]]) - LEN(SUBSTITUTE(tblPassengerNames[[#This Row],[InParenthesesCleaned]], " ", ""))</f>
        <v>#VALUE!</v>
      </c>
      <c r="N1221" t="e">
        <f>FIND("@", SUBSTITUTE(tblPassengerNames[[#This Row],[InParenthesesCleaned]], " ", "@", tblPassengerNames[[#This Row],[P_NSpaces]]))</f>
        <v>#VALUE!</v>
      </c>
      <c r="O1221" t="e">
        <f>IF(tblPassengerNames[[#This Row],[P_NSpaces]] = 0,
    tblPassengerNames[[#This Row],[InParenthesesCleaned]],
    LEFT(tblPassengerNames[[#This Row],[InParenthesesCleaned]], tblPassengerNames[[#This Row],[P_FinalSpacePos]] - 1)
)</f>
        <v>#VALUE!</v>
      </c>
      <c r="P1221" t="str">
        <f>IFERROR(tblPassengerNames[[#This Row],[P_Forenames]], tblPassengerNames[[#This Row],[ConvForenames]])</f>
        <v>Francis William</v>
      </c>
      <c r="Q1221" t="str">
        <f>MID(tblPassengerNames[[#This Row],[Name]], tblPassengerNames[[#This Row],[CommaPos]] + 2, tblPassengerNames[[#This Row],[DotPos]] - tblPassengerNames[[#This Row],[CommaPos]] - 1)</f>
        <v>Mr.</v>
      </c>
      <c r="R1221" t="str">
        <f>LEFT(tblPassengerNames[[#This Row],[Name]], tblPassengerNames[[#This Row],[CommaPos]] - 1)</f>
        <v>Somerton</v>
      </c>
    </row>
    <row r="1222" spans="2:18" x14ac:dyDescent="0.25">
      <c r="B1222" s="21">
        <v>1220</v>
      </c>
      <c r="C1222" s="21" t="s">
        <v>1354</v>
      </c>
      <c r="D1222" s="21" t="s">
        <v>138</v>
      </c>
      <c r="E1222">
        <f>FIND(",", tblPassengerNames[[#This Row],[Name]])</f>
        <v>8</v>
      </c>
      <c r="F1222">
        <f>FIND(".", tblPassengerNames[[#This Row],[Name]])</f>
        <v>12</v>
      </c>
      <c r="G1222" t="e">
        <f>FIND("(", tblPassengerNames[[#This Row],[Name]])</f>
        <v>#VALUE!</v>
      </c>
      <c r="H1222" t="e">
        <f>FIND(")", tblPassengerNames[[#This Row],[Name]])</f>
        <v>#VALUE!</v>
      </c>
      <c r="I1222">
        <f>IFERROR(tblPassengerNames[[#This Row],[OpenParPos]] - 2, LEN(tblPassengerNames[[#This Row],[Name]]))</f>
        <v>18</v>
      </c>
      <c r="J1222" t="str">
        <f>MID(tblPassengerNames[[#This Row],[Name]], tblPassengerNames[[#This Row],[DotPos]] + 2, tblPassengerNames[[#This Row],[EndOfConvFNPos]] - tblPassengerNames[[#This Row],[DotPos]] - 1)</f>
        <v>Woolf</v>
      </c>
      <c r="K1222" t="e">
        <f>MID(tblPassengerNames[[#This Row],[Name]], tblPassengerNames[[#This Row],[OpenParPos]] + 1, tblPassengerNames[[#This Row],[CloseParPos]] - tblPassengerNames[[#This Row],[OpenParPos]] - 1)</f>
        <v>#VALUE!</v>
      </c>
      <c r="L1222" t="e">
        <f>IF(AND(LEFT(tblPassengerNames[[#This Row],[InParentheses]], 1) = "'", RIGHT(tblPassengerNames[[#This Row],[InParentheses]], 1) = "'"),
    #VALUE!,
    tblPassengerNames[[#This Row],[InParentheses]]
)</f>
        <v>#VALUE!</v>
      </c>
      <c r="M1222" t="e">
        <f>LEN(tblPassengerNames[[#This Row],[InParenthesesCleaned]]) - LEN(SUBSTITUTE(tblPassengerNames[[#This Row],[InParenthesesCleaned]], " ", ""))</f>
        <v>#VALUE!</v>
      </c>
      <c r="N1222" t="e">
        <f>FIND("@", SUBSTITUTE(tblPassengerNames[[#This Row],[InParenthesesCleaned]], " ", "@", tblPassengerNames[[#This Row],[P_NSpaces]]))</f>
        <v>#VALUE!</v>
      </c>
      <c r="O1222" t="e">
        <f>IF(tblPassengerNames[[#This Row],[P_NSpaces]] = 0,
    tblPassengerNames[[#This Row],[InParenthesesCleaned]],
    LEFT(tblPassengerNames[[#This Row],[InParenthesesCleaned]], tblPassengerNames[[#This Row],[P_FinalSpacePos]] - 1)
)</f>
        <v>#VALUE!</v>
      </c>
      <c r="P1222" t="str">
        <f>IFERROR(tblPassengerNames[[#This Row],[P_Forenames]], tblPassengerNames[[#This Row],[ConvForenames]])</f>
        <v>Woolf</v>
      </c>
      <c r="Q1222" t="str">
        <f>MID(tblPassengerNames[[#This Row],[Name]], tblPassengerNames[[#This Row],[CommaPos]] + 2, tblPassengerNames[[#This Row],[DotPos]] - tblPassengerNames[[#This Row],[CommaPos]] - 1)</f>
        <v>Mr.</v>
      </c>
      <c r="R1222" t="str">
        <f>LEFT(tblPassengerNames[[#This Row],[Name]], tblPassengerNames[[#This Row],[CommaPos]] - 1)</f>
        <v>Spector</v>
      </c>
    </row>
    <row r="1223" spans="2:18" x14ac:dyDescent="0.25">
      <c r="B1223" s="21">
        <v>1221</v>
      </c>
      <c r="C1223" s="21" t="s">
        <v>1355</v>
      </c>
      <c r="D1223" s="21" t="s">
        <v>138</v>
      </c>
      <c r="E1223">
        <f>FIND(",", tblPassengerNames[[#This Row],[Name]])</f>
        <v>8</v>
      </c>
      <c r="F1223">
        <f>FIND(".", tblPassengerNames[[#This Row],[Name]])</f>
        <v>12</v>
      </c>
      <c r="G1223" t="e">
        <f>FIND("(", tblPassengerNames[[#This Row],[Name]])</f>
        <v>#VALUE!</v>
      </c>
      <c r="H1223" t="e">
        <f>FIND(")", tblPassengerNames[[#This Row],[Name]])</f>
        <v>#VALUE!</v>
      </c>
      <c r="I1223">
        <f>IFERROR(tblPassengerNames[[#This Row],[OpenParPos]] - 2, LEN(tblPassengerNames[[#This Row],[Name]]))</f>
        <v>23</v>
      </c>
      <c r="J1223" t="str">
        <f>MID(tblPassengerNames[[#This Row],[Name]], tblPassengerNames[[#This Row],[DotPos]] + 2, tblPassengerNames[[#This Row],[EndOfConvFNPos]] - tblPassengerNames[[#This Row],[DotPos]] - 1)</f>
        <v>Henry John</v>
      </c>
      <c r="K1223" t="e">
        <f>MID(tblPassengerNames[[#This Row],[Name]], tblPassengerNames[[#This Row],[OpenParPos]] + 1, tblPassengerNames[[#This Row],[CloseParPos]] - tblPassengerNames[[#This Row],[OpenParPos]] - 1)</f>
        <v>#VALUE!</v>
      </c>
      <c r="L1223" t="e">
        <f>IF(AND(LEFT(tblPassengerNames[[#This Row],[InParentheses]], 1) = "'", RIGHT(tblPassengerNames[[#This Row],[InParentheses]], 1) = "'"),
    #VALUE!,
    tblPassengerNames[[#This Row],[InParentheses]]
)</f>
        <v>#VALUE!</v>
      </c>
      <c r="M1223" t="e">
        <f>LEN(tblPassengerNames[[#This Row],[InParenthesesCleaned]]) - LEN(SUBSTITUTE(tblPassengerNames[[#This Row],[InParenthesesCleaned]], " ", ""))</f>
        <v>#VALUE!</v>
      </c>
      <c r="N1223" t="e">
        <f>FIND("@", SUBSTITUTE(tblPassengerNames[[#This Row],[InParenthesesCleaned]], " ", "@", tblPassengerNames[[#This Row],[P_NSpaces]]))</f>
        <v>#VALUE!</v>
      </c>
      <c r="O1223" t="e">
        <f>IF(tblPassengerNames[[#This Row],[P_NSpaces]] = 0,
    tblPassengerNames[[#This Row],[InParenthesesCleaned]],
    LEFT(tblPassengerNames[[#This Row],[InParenthesesCleaned]], tblPassengerNames[[#This Row],[P_FinalSpacePos]] - 1)
)</f>
        <v>#VALUE!</v>
      </c>
      <c r="P1223" t="str">
        <f>IFERROR(tblPassengerNames[[#This Row],[P_Forenames]], tblPassengerNames[[#This Row],[ConvForenames]])</f>
        <v>Henry John</v>
      </c>
      <c r="Q1223" t="str">
        <f>MID(tblPassengerNames[[#This Row],[Name]], tblPassengerNames[[#This Row],[CommaPos]] + 2, tblPassengerNames[[#This Row],[DotPos]] - tblPassengerNames[[#This Row],[CommaPos]] - 1)</f>
        <v>Mr.</v>
      </c>
      <c r="R1223" t="str">
        <f>LEFT(tblPassengerNames[[#This Row],[Name]], tblPassengerNames[[#This Row],[CommaPos]] - 1)</f>
        <v>Spinner</v>
      </c>
    </row>
    <row r="1224" spans="2:18" x14ac:dyDescent="0.25">
      <c r="B1224" s="21">
        <v>1222</v>
      </c>
      <c r="C1224" s="21" t="s">
        <v>1356</v>
      </c>
      <c r="D1224" s="21" t="s">
        <v>138</v>
      </c>
      <c r="E1224">
        <f>FIND(",", tblPassengerNames[[#This Row],[Name]])</f>
        <v>8</v>
      </c>
      <c r="F1224">
        <f>FIND(".", tblPassengerNames[[#This Row],[Name]])</f>
        <v>12</v>
      </c>
      <c r="G1224" t="e">
        <f>FIND("(", tblPassengerNames[[#This Row],[Name]])</f>
        <v>#VALUE!</v>
      </c>
      <c r="H1224" t="e">
        <f>FIND(")", tblPassengerNames[[#This Row],[Name]])</f>
        <v>#VALUE!</v>
      </c>
      <c r="I1224">
        <f>IFERROR(tblPassengerNames[[#This Row],[OpenParPos]] - 2, LEN(tblPassengerNames[[#This Row],[Name]]))</f>
        <v>17</v>
      </c>
      <c r="J1224" t="str">
        <f>MID(tblPassengerNames[[#This Row],[Name]], tblPassengerNames[[#This Row],[DotPos]] + 2, tblPassengerNames[[#This Row],[EndOfConvFNPos]] - tblPassengerNames[[#This Row],[DotPos]] - 1)</f>
        <v>Ivan</v>
      </c>
      <c r="K1224" t="e">
        <f>MID(tblPassengerNames[[#This Row],[Name]], tblPassengerNames[[#This Row],[OpenParPos]] + 1, tblPassengerNames[[#This Row],[CloseParPos]] - tblPassengerNames[[#This Row],[OpenParPos]] - 1)</f>
        <v>#VALUE!</v>
      </c>
      <c r="L1224" t="e">
        <f>IF(AND(LEFT(tblPassengerNames[[#This Row],[InParentheses]], 1) = "'", RIGHT(tblPassengerNames[[#This Row],[InParentheses]], 1) = "'"),
    #VALUE!,
    tblPassengerNames[[#This Row],[InParentheses]]
)</f>
        <v>#VALUE!</v>
      </c>
      <c r="M1224" t="e">
        <f>LEN(tblPassengerNames[[#This Row],[InParenthesesCleaned]]) - LEN(SUBSTITUTE(tblPassengerNames[[#This Row],[InParenthesesCleaned]], " ", ""))</f>
        <v>#VALUE!</v>
      </c>
      <c r="N1224" t="e">
        <f>FIND("@", SUBSTITUTE(tblPassengerNames[[#This Row],[InParenthesesCleaned]], " ", "@", tblPassengerNames[[#This Row],[P_NSpaces]]))</f>
        <v>#VALUE!</v>
      </c>
      <c r="O1224" t="e">
        <f>IF(tblPassengerNames[[#This Row],[P_NSpaces]] = 0,
    tblPassengerNames[[#This Row],[InParenthesesCleaned]],
    LEFT(tblPassengerNames[[#This Row],[InParenthesesCleaned]], tblPassengerNames[[#This Row],[P_FinalSpacePos]] - 1)
)</f>
        <v>#VALUE!</v>
      </c>
      <c r="P1224" t="str">
        <f>IFERROR(tblPassengerNames[[#This Row],[P_Forenames]], tblPassengerNames[[#This Row],[ConvForenames]])</f>
        <v>Ivan</v>
      </c>
      <c r="Q1224" t="str">
        <f>MID(tblPassengerNames[[#This Row],[Name]], tblPassengerNames[[#This Row],[CommaPos]] + 2, tblPassengerNames[[#This Row],[DotPos]] - tblPassengerNames[[#This Row],[CommaPos]] - 1)</f>
        <v>Mr.</v>
      </c>
      <c r="R1224" t="str">
        <f>LEFT(tblPassengerNames[[#This Row],[Name]], tblPassengerNames[[#This Row],[CommaPos]] - 1)</f>
        <v>Staneff</v>
      </c>
    </row>
    <row r="1225" spans="2:18" x14ac:dyDescent="0.25">
      <c r="B1225" s="21">
        <v>1223</v>
      </c>
      <c r="C1225" s="21" t="s">
        <v>1357</v>
      </c>
      <c r="D1225" s="21" t="s">
        <v>138</v>
      </c>
      <c r="E1225">
        <f>FIND(",", tblPassengerNames[[#This Row],[Name]])</f>
        <v>10</v>
      </c>
      <c r="F1225">
        <f>FIND(".", tblPassengerNames[[#This Row],[Name]])</f>
        <v>14</v>
      </c>
      <c r="G1225" t="e">
        <f>FIND("(", tblPassengerNames[[#This Row],[Name]])</f>
        <v>#VALUE!</v>
      </c>
      <c r="H1225" t="e">
        <f>FIND(")", tblPassengerNames[[#This Row],[Name]])</f>
        <v>#VALUE!</v>
      </c>
      <c r="I1225">
        <f>IFERROR(tblPassengerNames[[#This Row],[OpenParPos]] - 2, LEN(tblPassengerNames[[#This Row],[Name]]))</f>
        <v>19</v>
      </c>
      <c r="J1225" t="str">
        <f>MID(tblPassengerNames[[#This Row],[Name]], tblPassengerNames[[#This Row],[DotPos]] + 2, tblPassengerNames[[#This Row],[EndOfConvFNPos]] - tblPassengerNames[[#This Row],[DotPos]] - 1)</f>
        <v>Ivan</v>
      </c>
      <c r="K1225" t="e">
        <f>MID(tblPassengerNames[[#This Row],[Name]], tblPassengerNames[[#This Row],[OpenParPos]] + 1, tblPassengerNames[[#This Row],[CloseParPos]] - tblPassengerNames[[#This Row],[OpenParPos]] - 1)</f>
        <v>#VALUE!</v>
      </c>
      <c r="L1225" t="e">
        <f>IF(AND(LEFT(tblPassengerNames[[#This Row],[InParentheses]], 1) = "'", RIGHT(tblPassengerNames[[#This Row],[InParentheses]], 1) = "'"),
    #VALUE!,
    tblPassengerNames[[#This Row],[InParentheses]]
)</f>
        <v>#VALUE!</v>
      </c>
      <c r="M1225" t="e">
        <f>LEN(tblPassengerNames[[#This Row],[InParenthesesCleaned]]) - LEN(SUBSTITUTE(tblPassengerNames[[#This Row],[InParenthesesCleaned]], " ", ""))</f>
        <v>#VALUE!</v>
      </c>
      <c r="N1225" t="e">
        <f>FIND("@", SUBSTITUTE(tblPassengerNames[[#This Row],[InParenthesesCleaned]], " ", "@", tblPassengerNames[[#This Row],[P_NSpaces]]))</f>
        <v>#VALUE!</v>
      </c>
      <c r="O1225" t="e">
        <f>IF(tblPassengerNames[[#This Row],[P_NSpaces]] = 0,
    tblPassengerNames[[#This Row],[InParenthesesCleaned]],
    LEFT(tblPassengerNames[[#This Row],[InParenthesesCleaned]], tblPassengerNames[[#This Row],[P_FinalSpacePos]] - 1)
)</f>
        <v>#VALUE!</v>
      </c>
      <c r="P1225" t="str">
        <f>IFERROR(tblPassengerNames[[#This Row],[P_Forenames]], tblPassengerNames[[#This Row],[ConvForenames]])</f>
        <v>Ivan</v>
      </c>
      <c r="Q1225" t="str">
        <f>MID(tblPassengerNames[[#This Row],[Name]], tblPassengerNames[[#This Row],[CommaPos]] + 2, tblPassengerNames[[#This Row],[DotPos]] - tblPassengerNames[[#This Row],[CommaPos]] - 1)</f>
        <v>Mr.</v>
      </c>
      <c r="R1225" t="str">
        <f>LEFT(tblPassengerNames[[#This Row],[Name]], tblPassengerNames[[#This Row],[CommaPos]] - 1)</f>
        <v>Stankovic</v>
      </c>
    </row>
    <row r="1226" spans="2:18" x14ac:dyDescent="0.25">
      <c r="B1226" s="21">
        <v>1224</v>
      </c>
      <c r="C1226" s="21" t="s">
        <v>1358</v>
      </c>
      <c r="D1226" s="21" t="s">
        <v>136</v>
      </c>
      <c r="E1226">
        <f>FIND(",", tblPassengerNames[[#This Row],[Name]])</f>
        <v>8</v>
      </c>
      <c r="F1226">
        <f>FIND(".", tblPassengerNames[[#This Row],[Name]])</f>
        <v>14</v>
      </c>
      <c r="G1226" t="e">
        <f>FIND("(", tblPassengerNames[[#This Row],[Name]])</f>
        <v>#VALUE!</v>
      </c>
      <c r="H1226" t="e">
        <f>FIND(")", tblPassengerNames[[#This Row],[Name]])</f>
        <v>#VALUE!</v>
      </c>
      <c r="I1226">
        <f>IFERROR(tblPassengerNames[[#This Row],[OpenParPos]] - 2, LEN(tblPassengerNames[[#This Row],[Name]]))</f>
        <v>31</v>
      </c>
      <c r="J1226" t="str">
        <f>MID(tblPassengerNames[[#This Row],[Name]], tblPassengerNames[[#This Row],[DotPos]] + 2, tblPassengerNames[[#This Row],[EndOfConvFNPos]] - tblPassengerNames[[#This Row],[DotPos]] - 1)</f>
        <v>Amy Zillah Elsie</v>
      </c>
      <c r="K1226" t="e">
        <f>MID(tblPassengerNames[[#This Row],[Name]], tblPassengerNames[[#This Row],[OpenParPos]] + 1, tblPassengerNames[[#This Row],[CloseParPos]] - tblPassengerNames[[#This Row],[OpenParPos]] - 1)</f>
        <v>#VALUE!</v>
      </c>
      <c r="L1226" t="e">
        <f>IF(AND(LEFT(tblPassengerNames[[#This Row],[InParentheses]], 1) = "'", RIGHT(tblPassengerNames[[#This Row],[InParentheses]], 1) = "'"),
    #VALUE!,
    tblPassengerNames[[#This Row],[InParentheses]]
)</f>
        <v>#VALUE!</v>
      </c>
      <c r="M1226" t="e">
        <f>LEN(tblPassengerNames[[#This Row],[InParenthesesCleaned]]) - LEN(SUBSTITUTE(tblPassengerNames[[#This Row],[InParenthesesCleaned]], " ", ""))</f>
        <v>#VALUE!</v>
      </c>
      <c r="N1226" t="e">
        <f>FIND("@", SUBSTITUTE(tblPassengerNames[[#This Row],[InParenthesesCleaned]], " ", "@", tblPassengerNames[[#This Row],[P_NSpaces]]))</f>
        <v>#VALUE!</v>
      </c>
      <c r="O1226" t="e">
        <f>IF(tblPassengerNames[[#This Row],[P_NSpaces]] = 0,
    tblPassengerNames[[#This Row],[InParenthesesCleaned]],
    LEFT(tblPassengerNames[[#This Row],[InParenthesesCleaned]], tblPassengerNames[[#This Row],[P_FinalSpacePos]] - 1)
)</f>
        <v>#VALUE!</v>
      </c>
      <c r="P1226" t="str">
        <f>IFERROR(tblPassengerNames[[#This Row],[P_Forenames]], tblPassengerNames[[#This Row],[ConvForenames]])</f>
        <v>Amy Zillah Elsie</v>
      </c>
      <c r="Q1226" t="str">
        <f>MID(tblPassengerNames[[#This Row],[Name]], tblPassengerNames[[#This Row],[CommaPos]] + 2, tblPassengerNames[[#This Row],[DotPos]] - tblPassengerNames[[#This Row],[CommaPos]] - 1)</f>
        <v>Miss.</v>
      </c>
      <c r="R1226" t="str">
        <f>LEFT(tblPassengerNames[[#This Row],[Name]], tblPassengerNames[[#This Row],[CommaPos]] - 1)</f>
        <v>Stanley</v>
      </c>
    </row>
    <row r="1227" spans="2:18" x14ac:dyDescent="0.25">
      <c r="B1227" s="21">
        <v>1225</v>
      </c>
      <c r="C1227" s="21" t="s">
        <v>1359</v>
      </c>
      <c r="D1227" s="21" t="s">
        <v>138</v>
      </c>
      <c r="E1227">
        <f>FIND(",", tblPassengerNames[[#This Row],[Name]])</f>
        <v>8</v>
      </c>
      <c r="F1227">
        <f>FIND(".", tblPassengerNames[[#This Row],[Name]])</f>
        <v>12</v>
      </c>
      <c r="G1227" t="e">
        <f>FIND("(", tblPassengerNames[[#This Row],[Name]])</f>
        <v>#VALUE!</v>
      </c>
      <c r="H1227" t="e">
        <f>FIND(")", tblPassengerNames[[#This Row],[Name]])</f>
        <v>#VALUE!</v>
      </c>
      <c r="I1227">
        <f>IFERROR(tblPassengerNames[[#This Row],[OpenParPos]] - 2, LEN(tblPassengerNames[[#This Row],[Name]]))</f>
        <v>26</v>
      </c>
      <c r="J1227" t="str">
        <f>MID(tblPassengerNames[[#This Row],[Name]], tblPassengerNames[[#This Row],[DotPos]] + 2, tblPassengerNames[[#This Row],[EndOfConvFNPos]] - tblPassengerNames[[#This Row],[DotPos]] - 1)</f>
        <v>Edward Roland</v>
      </c>
      <c r="K1227" t="e">
        <f>MID(tblPassengerNames[[#This Row],[Name]], tblPassengerNames[[#This Row],[OpenParPos]] + 1, tblPassengerNames[[#This Row],[CloseParPos]] - tblPassengerNames[[#This Row],[OpenParPos]] - 1)</f>
        <v>#VALUE!</v>
      </c>
      <c r="L1227" t="e">
        <f>IF(AND(LEFT(tblPassengerNames[[#This Row],[InParentheses]], 1) = "'", RIGHT(tblPassengerNames[[#This Row],[InParentheses]], 1) = "'"),
    #VALUE!,
    tblPassengerNames[[#This Row],[InParentheses]]
)</f>
        <v>#VALUE!</v>
      </c>
      <c r="M1227" t="e">
        <f>LEN(tblPassengerNames[[#This Row],[InParenthesesCleaned]]) - LEN(SUBSTITUTE(tblPassengerNames[[#This Row],[InParenthesesCleaned]], " ", ""))</f>
        <v>#VALUE!</v>
      </c>
      <c r="N1227" t="e">
        <f>FIND("@", SUBSTITUTE(tblPassengerNames[[#This Row],[InParenthesesCleaned]], " ", "@", tblPassengerNames[[#This Row],[P_NSpaces]]))</f>
        <v>#VALUE!</v>
      </c>
      <c r="O1227" t="e">
        <f>IF(tblPassengerNames[[#This Row],[P_NSpaces]] = 0,
    tblPassengerNames[[#This Row],[InParenthesesCleaned]],
    LEFT(tblPassengerNames[[#This Row],[InParenthesesCleaned]], tblPassengerNames[[#This Row],[P_FinalSpacePos]] - 1)
)</f>
        <v>#VALUE!</v>
      </c>
      <c r="P1227" t="str">
        <f>IFERROR(tblPassengerNames[[#This Row],[P_Forenames]], tblPassengerNames[[#This Row],[ConvForenames]])</f>
        <v>Edward Roland</v>
      </c>
      <c r="Q1227" t="str">
        <f>MID(tblPassengerNames[[#This Row],[Name]], tblPassengerNames[[#This Row],[CommaPos]] + 2, tblPassengerNames[[#This Row],[DotPos]] - tblPassengerNames[[#This Row],[CommaPos]] - 1)</f>
        <v>Mr.</v>
      </c>
      <c r="R1227" t="str">
        <f>LEFT(tblPassengerNames[[#This Row],[Name]], tblPassengerNames[[#This Row],[CommaPos]] - 1)</f>
        <v>Stanley</v>
      </c>
    </row>
    <row r="1228" spans="2:18" x14ac:dyDescent="0.25">
      <c r="B1228" s="21">
        <v>1226</v>
      </c>
      <c r="C1228" s="21" t="s">
        <v>1360</v>
      </c>
      <c r="D1228" s="21" t="s">
        <v>138</v>
      </c>
      <c r="E1228">
        <f>FIND(",", tblPassengerNames[[#This Row],[Name]])</f>
        <v>7</v>
      </c>
      <c r="F1228">
        <f>FIND(".", tblPassengerNames[[#This Row],[Name]])</f>
        <v>11</v>
      </c>
      <c r="G1228" t="e">
        <f>FIND("(", tblPassengerNames[[#This Row],[Name]])</f>
        <v>#VALUE!</v>
      </c>
      <c r="H1228" t="e">
        <f>FIND(")", tblPassengerNames[[#This Row],[Name]])</f>
        <v>#VALUE!</v>
      </c>
      <c r="I1228">
        <f>IFERROR(tblPassengerNames[[#This Row],[OpenParPos]] - 2, LEN(tblPassengerNames[[#This Row],[Name]]))</f>
        <v>18</v>
      </c>
      <c r="J1228" t="str">
        <f>MID(tblPassengerNames[[#This Row],[Name]], tblPassengerNames[[#This Row],[DotPos]] + 2, tblPassengerNames[[#This Row],[EndOfConvFNPos]] - tblPassengerNames[[#This Row],[DotPos]] - 1)</f>
        <v>Thomas</v>
      </c>
      <c r="K1228" t="e">
        <f>MID(tblPassengerNames[[#This Row],[Name]], tblPassengerNames[[#This Row],[OpenParPos]] + 1, tblPassengerNames[[#This Row],[CloseParPos]] - tblPassengerNames[[#This Row],[OpenParPos]] - 1)</f>
        <v>#VALUE!</v>
      </c>
      <c r="L1228" t="e">
        <f>IF(AND(LEFT(tblPassengerNames[[#This Row],[InParentheses]], 1) = "'", RIGHT(tblPassengerNames[[#This Row],[InParentheses]], 1) = "'"),
    #VALUE!,
    tblPassengerNames[[#This Row],[InParentheses]]
)</f>
        <v>#VALUE!</v>
      </c>
      <c r="M1228" t="e">
        <f>LEN(tblPassengerNames[[#This Row],[InParenthesesCleaned]]) - LEN(SUBSTITUTE(tblPassengerNames[[#This Row],[InParenthesesCleaned]], " ", ""))</f>
        <v>#VALUE!</v>
      </c>
      <c r="N1228" t="e">
        <f>FIND("@", SUBSTITUTE(tblPassengerNames[[#This Row],[InParenthesesCleaned]], " ", "@", tblPassengerNames[[#This Row],[P_NSpaces]]))</f>
        <v>#VALUE!</v>
      </c>
      <c r="O1228" t="e">
        <f>IF(tblPassengerNames[[#This Row],[P_NSpaces]] = 0,
    tblPassengerNames[[#This Row],[InParenthesesCleaned]],
    LEFT(tblPassengerNames[[#This Row],[InParenthesesCleaned]], tblPassengerNames[[#This Row],[P_FinalSpacePos]] - 1)
)</f>
        <v>#VALUE!</v>
      </c>
      <c r="P1228" t="str">
        <f>IFERROR(tblPassengerNames[[#This Row],[P_Forenames]], tblPassengerNames[[#This Row],[ConvForenames]])</f>
        <v>Thomas</v>
      </c>
      <c r="Q1228" t="str">
        <f>MID(tblPassengerNames[[#This Row],[Name]], tblPassengerNames[[#This Row],[CommaPos]] + 2, tblPassengerNames[[#This Row],[DotPos]] - tblPassengerNames[[#This Row],[CommaPos]] - 1)</f>
        <v>Mr.</v>
      </c>
      <c r="R1228" t="str">
        <f>LEFT(tblPassengerNames[[#This Row],[Name]], tblPassengerNames[[#This Row],[CommaPos]] - 1)</f>
        <v>Storey</v>
      </c>
    </row>
    <row r="1229" spans="2:18" x14ac:dyDescent="0.25">
      <c r="B1229" s="21">
        <v>1227</v>
      </c>
      <c r="C1229" s="21" t="s">
        <v>1361</v>
      </c>
      <c r="D1229" s="21" t="s">
        <v>138</v>
      </c>
      <c r="E1229">
        <f>FIND(",", tblPassengerNames[[#This Row],[Name]])</f>
        <v>11</v>
      </c>
      <c r="F1229">
        <f>FIND(".", tblPassengerNames[[#This Row],[Name]])</f>
        <v>15</v>
      </c>
      <c r="G1229" t="e">
        <f>FIND("(", tblPassengerNames[[#This Row],[Name]])</f>
        <v>#VALUE!</v>
      </c>
      <c r="H1229" t="e">
        <f>FIND(")", tblPassengerNames[[#This Row],[Name]])</f>
        <v>#VALUE!</v>
      </c>
      <c r="I1229">
        <f>IFERROR(tblPassengerNames[[#This Row],[OpenParPos]] - 2, LEN(tblPassengerNames[[#This Row],[Name]]))</f>
        <v>20</v>
      </c>
      <c r="J1229" t="str">
        <f>MID(tblPassengerNames[[#This Row],[Name]], tblPassengerNames[[#This Row],[DotPos]] + 2, tblPassengerNames[[#This Row],[EndOfConvFNPos]] - tblPassengerNames[[#This Row],[DotPos]] - 1)</f>
        <v>Ilia</v>
      </c>
      <c r="K1229" t="e">
        <f>MID(tblPassengerNames[[#This Row],[Name]], tblPassengerNames[[#This Row],[OpenParPos]] + 1, tblPassengerNames[[#This Row],[CloseParPos]] - tblPassengerNames[[#This Row],[OpenParPos]] - 1)</f>
        <v>#VALUE!</v>
      </c>
      <c r="L1229" t="e">
        <f>IF(AND(LEFT(tblPassengerNames[[#This Row],[InParentheses]], 1) = "'", RIGHT(tblPassengerNames[[#This Row],[InParentheses]], 1) = "'"),
    #VALUE!,
    tblPassengerNames[[#This Row],[InParentheses]]
)</f>
        <v>#VALUE!</v>
      </c>
      <c r="M1229" t="e">
        <f>LEN(tblPassengerNames[[#This Row],[InParenthesesCleaned]]) - LEN(SUBSTITUTE(tblPassengerNames[[#This Row],[InParenthesesCleaned]], " ", ""))</f>
        <v>#VALUE!</v>
      </c>
      <c r="N1229" t="e">
        <f>FIND("@", SUBSTITUTE(tblPassengerNames[[#This Row],[InParenthesesCleaned]], " ", "@", tblPassengerNames[[#This Row],[P_NSpaces]]))</f>
        <v>#VALUE!</v>
      </c>
      <c r="O1229" t="e">
        <f>IF(tblPassengerNames[[#This Row],[P_NSpaces]] = 0,
    tblPassengerNames[[#This Row],[InParenthesesCleaned]],
    LEFT(tblPassengerNames[[#This Row],[InParenthesesCleaned]], tblPassengerNames[[#This Row],[P_FinalSpacePos]] - 1)
)</f>
        <v>#VALUE!</v>
      </c>
      <c r="P1229" t="str">
        <f>IFERROR(tblPassengerNames[[#This Row],[P_Forenames]], tblPassengerNames[[#This Row],[ConvForenames]])</f>
        <v>Ilia</v>
      </c>
      <c r="Q1229" t="str">
        <f>MID(tblPassengerNames[[#This Row],[Name]], tblPassengerNames[[#This Row],[CommaPos]] + 2, tblPassengerNames[[#This Row],[DotPos]] - tblPassengerNames[[#This Row],[CommaPos]] - 1)</f>
        <v>Mr.</v>
      </c>
      <c r="R1229" t="str">
        <f>LEFT(tblPassengerNames[[#This Row],[Name]], tblPassengerNames[[#This Row],[CommaPos]] - 1)</f>
        <v>Stoytcheff</v>
      </c>
    </row>
    <row r="1230" spans="2:18" x14ac:dyDescent="0.25">
      <c r="B1230" s="21">
        <v>1228</v>
      </c>
      <c r="C1230" s="21" t="s">
        <v>1362</v>
      </c>
      <c r="D1230" s="21" t="s">
        <v>136</v>
      </c>
      <c r="E1230">
        <f>FIND(",", tblPassengerNames[[#This Row],[Name]])</f>
        <v>11</v>
      </c>
      <c r="F1230">
        <f>FIND(".", tblPassengerNames[[#This Row],[Name]])</f>
        <v>17</v>
      </c>
      <c r="G1230" t="e">
        <f>FIND("(", tblPassengerNames[[#This Row],[Name]])</f>
        <v>#VALUE!</v>
      </c>
      <c r="H1230" t="e">
        <f>FIND(")", tblPassengerNames[[#This Row],[Name]])</f>
        <v>#VALUE!</v>
      </c>
      <c r="I1230">
        <f>IFERROR(tblPassengerNames[[#This Row],[OpenParPos]] - 2, LEN(tblPassengerNames[[#This Row],[Name]]))</f>
        <v>27</v>
      </c>
      <c r="J1230" t="str">
        <f>MID(tblPassengerNames[[#This Row],[Name]], tblPassengerNames[[#This Row],[DotPos]] + 2, tblPassengerNames[[#This Row],[EndOfConvFNPos]] - tblPassengerNames[[#This Row],[DotPos]] - 1)</f>
        <v>Ida Sofia</v>
      </c>
      <c r="K1230" t="e">
        <f>MID(tblPassengerNames[[#This Row],[Name]], tblPassengerNames[[#This Row],[OpenParPos]] + 1, tblPassengerNames[[#This Row],[CloseParPos]] - tblPassengerNames[[#This Row],[OpenParPos]] - 1)</f>
        <v>#VALUE!</v>
      </c>
      <c r="L1230" t="e">
        <f>IF(AND(LEFT(tblPassengerNames[[#This Row],[InParentheses]], 1) = "'", RIGHT(tblPassengerNames[[#This Row],[InParentheses]], 1) = "'"),
    #VALUE!,
    tblPassengerNames[[#This Row],[InParentheses]]
)</f>
        <v>#VALUE!</v>
      </c>
      <c r="M1230" t="e">
        <f>LEN(tblPassengerNames[[#This Row],[InParenthesesCleaned]]) - LEN(SUBSTITUTE(tblPassengerNames[[#This Row],[InParenthesesCleaned]], " ", ""))</f>
        <v>#VALUE!</v>
      </c>
      <c r="N1230" t="e">
        <f>FIND("@", SUBSTITUTE(tblPassengerNames[[#This Row],[InParenthesesCleaned]], " ", "@", tblPassengerNames[[#This Row],[P_NSpaces]]))</f>
        <v>#VALUE!</v>
      </c>
      <c r="O1230" t="e">
        <f>IF(tblPassengerNames[[#This Row],[P_NSpaces]] = 0,
    tblPassengerNames[[#This Row],[InParenthesesCleaned]],
    LEFT(tblPassengerNames[[#This Row],[InParenthesesCleaned]], tblPassengerNames[[#This Row],[P_FinalSpacePos]] - 1)
)</f>
        <v>#VALUE!</v>
      </c>
      <c r="P1230" t="str">
        <f>IFERROR(tblPassengerNames[[#This Row],[P_Forenames]], tblPassengerNames[[#This Row],[ConvForenames]])</f>
        <v>Ida Sofia</v>
      </c>
      <c r="Q1230" t="str">
        <f>MID(tblPassengerNames[[#This Row],[Name]], tblPassengerNames[[#This Row],[CommaPos]] + 2, tblPassengerNames[[#This Row],[DotPos]] - tblPassengerNames[[#This Row],[CommaPos]] - 1)</f>
        <v>Miss.</v>
      </c>
      <c r="R1230" t="str">
        <f>LEFT(tblPassengerNames[[#This Row],[Name]], tblPassengerNames[[#This Row],[CommaPos]] - 1)</f>
        <v>Strandberg</v>
      </c>
    </row>
    <row r="1231" spans="2:18" x14ac:dyDescent="0.25">
      <c r="B1231" s="21">
        <v>1229</v>
      </c>
      <c r="C1231" s="21" t="s">
        <v>1363</v>
      </c>
      <c r="D1231" s="21" t="s">
        <v>138</v>
      </c>
      <c r="E1231">
        <f>FIND(",", tblPassengerNames[[#This Row],[Name]])</f>
        <v>9</v>
      </c>
      <c r="F1231">
        <f>FIND(".", tblPassengerNames[[#This Row],[Name]])</f>
        <v>13</v>
      </c>
      <c r="G1231" t="e">
        <f>FIND("(", tblPassengerNames[[#This Row],[Name]])</f>
        <v>#VALUE!</v>
      </c>
      <c r="H1231" t="e">
        <f>FIND(")", tblPassengerNames[[#This Row],[Name]])</f>
        <v>#VALUE!</v>
      </c>
      <c r="I1231">
        <f>IFERROR(tblPassengerNames[[#This Row],[OpenParPos]] - 2, LEN(tblPassengerNames[[#This Row],[Name]]))</f>
        <v>18</v>
      </c>
      <c r="J1231" t="str">
        <f>MID(tblPassengerNames[[#This Row],[Name]], tblPassengerNames[[#This Row],[DotPos]] + 2, tblPassengerNames[[#This Row],[EndOfConvFNPos]] - tblPassengerNames[[#This Row],[DotPos]] - 1)</f>
        <v>Juho</v>
      </c>
      <c r="K1231" t="e">
        <f>MID(tblPassengerNames[[#This Row],[Name]], tblPassengerNames[[#This Row],[OpenParPos]] + 1, tblPassengerNames[[#This Row],[CloseParPos]] - tblPassengerNames[[#This Row],[OpenParPos]] - 1)</f>
        <v>#VALUE!</v>
      </c>
      <c r="L1231" t="e">
        <f>IF(AND(LEFT(tblPassengerNames[[#This Row],[InParentheses]], 1) = "'", RIGHT(tblPassengerNames[[#This Row],[InParentheses]], 1) = "'"),
    #VALUE!,
    tblPassengerNames[[#This Row],[InParentheses]]
)</f>
        <v>#VALUE!</v>
      </c>
      <c r="M1231" t="e">
        <f>LEN(tblPassengerNames[[#This Row],[InParenthesesCleaned]]) - LEN(SUBSTITUTE(tblPassengerNames[[#This Row],[InParenthesesCleaned]], " ", ""))</f>
        <v>#VALUE!</v>
      </c>
      <c r="N1231" t="e">
        <f>FIND("@", SUBSTITUTE(tblPassengerNames[[#This Row],[InParenthesesCleaned]], " ", "@", tblPassengerNames[[#This Row],[P_NSpaces]]))</f>
        <v>#VALUE!</v>
      </c>
      <c r="O1231" t="e">
        <f>IF(tblPassengerNames[[#This Row],[P_NSpaces]] = 0,
    tblPassengerNames[[#This Row],[InParenthesesCleaned]],
    LEFT(tblPassengerNames[[#This Row],[InParenthesesCleaned]], tblPassengerNames[[#This Row],[P_FinalSpacePos]] - 1)
)</f>
        <v>#VALUE!</v>
      </c>
      <c r="P1231" t="str">
        <f>IFERROR(tblPassengerNames[[#This Row],[P_Forenames]], tblPassengerNames[[#This Row],[ConvForenames]])</f>
        <v>Juho</v>
      </c>
      <c r="Q1231" t="str">
        <f>MID(tblPassengerNames[[#This Row],[Name]], tblPassengerNames[[#This Row],[CommaPos]] + 2, tblPassengerNames[[#This Row],[DotPos]] - tblPassengerNames[[#This Row],[CommaPos]] - 1)</f>
        <v>Mr.</v>
      </c>
      <c r="R1231" t="str">
        <f>LEFT(tblPassengerNames[[#This Row],[Name]], tblPassengerNames[[#This Row],[CommaPos]] - 1)</f>
        <v>Stranden</v>
      </c>
    </row>
    <row r="1232" spans="2:18" x14ac:dyDescent="0.25">
      <c r="B1232" s="21">
        <v>1230</v>
      </c>
      <c r="C1232" s="21" t="s">
        <v>1364</v>
      </c>
      <c r="D1232" s="21" t="s">
        <v>138</v>
      </c>
      <c r="E1232">
        <f>FIND(",", tblPassengerNames[[#This Row],[Name]])</f>
        <v>8</v>
      </c>
      <c r="F1232">
        <f>FIND(".", tblPassengerNames[[#This Row],[Name]])</f>
        <v>12</v>
      </c>
      <c r="G1232" t="e">
        <f>FIND("(", tblPassengerNames[[#This Row],[Name]])</f>
        <v>#VALUE!</v>
      </c>
      <c r="H1232" t="e">
        <f>FIND(")", tblPassengerNames[[#This Row],[Name]])</f>
        <v>#VALUE!</v>
      </c>
      <c r="I1232">
        <f>IFERROR(tblPassengerNames[[#This Row],[OpenParPos]] - 2, LEN(tblPassengerNames[[#This Row],[Name]]))</f>
        <v>17</v>
      </c>
      <c r="J1232" t="str">
        <f>MID(tblPassengerNames[[#This Row],[Name]], tblPassengerNames[[#This Row],[DotPos]] + 2, tblPassengerNames[[#This Row],[EndOfConvFNPos]] - tblPassengerNames[[#This Row],[DotPos]] - 1)</f>
        <v>Ivan</v>
      </c>
      <c r="K1232" t="e">
        <f>MID(tblPassengerNames[[#This Row],[Name]], tblPassengerNames[[#This Row],[OpenParPos]] + 1, tblPassengerNames[[#This Row],[CloseParPos]] - tblPassengerNames[[#This Row],[OpenParPos]] - 1)</f>
        <v>#VALUE!</v>
      </c>
      <c r="L1232" t="e">
        <f>IF(AND(LEFT(tblPassengerNames[[#This Row],[InParentheses]], 1) = "'", RIGHT(tblPassengerNames[[#This Row],[InParentheses]], 1) = "'"),
    #VALUE!,
    tblPassengerNames[[#This Row],[InParentheses]]
)</f>
        <v>#VALUE!</v>
      </c>
      <c r="M1232" t="e">
        <f>LEN(tblPassengerNames[[#This Row],[InParenthesesCleaned]]) - LEN(SUBSTITUTE(tblPassengerNames[[#This Row],[InParenthesesCleaned]], " ", ""))</f>
        <v>#VALUE!</v>
      </c>
      <c r="N1232" t="e">
        <f>FIND("@", SUBSTITUTE(tblPassengerNames[[#This Row],[InParenthesesCleaned]], " ", "@", tblPassengerNames[[#This Row],[P_NSpaces]]))</f>
        <v>#VALUE!</v>
      </c>
      <c r="O1232" t="e">
        <f>IF(tblPassengerNames[[#This Row],[P_NSpaces]] = 0,
    tblPassengerNames[[#This Row],[InParenthesesCleaned]],
    LEFT(tblPassengerNames[[#This Row],[InParenthesesCleaned]], tblPassengerNames[[#This Row],[P_FinalSpacePos]] - 1)
)</f>
        <v>#VALUE!</v>
      </c>
      <c r="P1232" t="str">
        <f>IFERROR(tblPassengerNames[[#This Row],[P_Forenames]], tblPassengerNames[[#This Row],[ConvForenames]])</f>
        <v>Ivan</v>
      </c>
      <c r="Q1232" t="str">
        <f>MID(tblPassengerNames[[#This Row],[Name]], tblPassengerNames[[#This Row],[CommaPos]] + 2, tblPassengerNames[[#This Row],[DotPos]] - tblPassengerNames[[#This Row],[CommaPos]] - 1)</f>
        <v>Mr.</v>
      </c>
      <c r="R1232" t="str">
        <f>LEFT(tblPassengerNames[[#This Row],[Name]], tblPassengerNames[[#This Row],[CommaPos]] - 1)</f>
        <v>Strilic</v>
      </c>
    </row>
    <row r="1233" spans="2:18" x14ac:dyDescent="0.25">
      <c r="B1233" s="21">
        <v>1231</v>
      </c>
      <c r="C1233" s="21" t="s">
        <v>1365</v>
      </c>
      <c r="D1233" s="21" t="s">
        <v>136</v>
      </c>
      <c r="E1233">
        <f>FIND(",", tblPassengerNames[[#This Row],[Name]])</f>
        <v>6</v>
      </c>
      <c r="F1233">
        <f>FIND(".", tblPassengerNames[[#This Row],[Name]])</f>
        <v>12</v>
      </c>
      <c r="G1233" t="e">
        <f>FIND("(", tblPassengerNames[[#This Row],[Name]])</f>
        <v>#VALUE!</v>
      </c>
      <c r="H1233" t="e">
        <f>FIND(")", tblPassengerNames[[#This Row],[Name]])</f>
        <v>#VALUE!</v>
      </c>
      <c r="I1233">
        <f>IFERROR(tblPassengerNames[[#This Row],[OpenParPos]] - 2, LEN(tblPassengerNames[[#This Row],[Name]]))</f>
        <v>26</v>
      </c>
      <c r="J1233" t="str">
        <f>MID(tblPassengerNames[[#This Row],[Name]], tblPassengerNames[[#This Row],[DotPos]] + 2, tblPassengerNames[[#This Row],[EndOfConvFNPos]] - tblPassengerNames[[#This Row],[DotPos]] - 1)</f>
        <v>Telma Matilda</v>
      </c>
      <c r="K1233" t="e">
        <f>MID(tblPassengerNames[[#This Row],[Name]], tblPassengerNames[[#This Row],[OpenParPos]] + 1, tblPassengerNames[[#This Row],[CloseParPos]] - tblPassengerNames[[#This Row],[OpenParPos]] - 1)</f>
        <v>#VALUE!</v>
      </c>
      <c r="L1233" t="e">
        <f>IF(AND(LEFT(tblPassengerNames[[#This Row],[InParentheses]], 1) = "'", RIGHT(tblPassengerNames[[#This Row],[InParentheses]], 1) = "'"),
    #VALUE!,
    tblPassengerNames[[#This Row],[InParentheses]]
)</f>
        <v>#VALUE!</v>
      </c>
      <c r="M1233" t="e">
        <f>LEN(tblPassengerNames[[#This Row],[InParenthesesCleaned]]) - LEN(SUBSTITUTE(tblPassengerNames[[#This Row],[InParenthesesCleaned]], " ", ""))</f>
        <v>#VALUE!</v>
      </c>
      <c r="N1233" t="e">
        <f>FIND("@", SUBSTITUTE(tblPassengerNames[[#This Row],[InParenthesesCleaned]], " ", "@", tblPassengerNames[[#This Row],[P_NSpaces]]))</f>
        <v>#VALUE!</v>
      </c>
      <c r="O1233" t="e">
        <f>IF(tblPassengerNames[[#This Row],[P_NSpaces]] = 0,
    tblPassengerNames[[#This Row],[InParenthesesCleaned]],
    LEFT(tblPassengerNames[[#This Row],[InParenthesesCleaned]], tblPassengerNames[[#This Row],[P_FinalSpacePos]] - 1)
)</f>
        <v>#VALUE!</v>
      </c>
      <c r="P1233" t="str">
        <f>IFERROR(tblPassengerNames[[#This Row],[P_Forenames]], tblPassengerNames[[#This Row],[ConvForenames]])</f>
        <v>Telma Matilda</v>
      </c>
      <c r="Q1233" t="str">
        <f>MID(tblPassengerNames[[#This Row],[Name]], tblPassengerNames[[#This Row],[CommaPos]] + 2, tblPassengerNames[[#This Row],[DotPos]] - tblPassengerNames[[#This Row],[CommaPos]] - 1)</f>
        <v>Miss.</v>
      </c>
      <c r="R1233" t="str">
        <f>LEFT(tblPassengerNames[[#This Row],[Name]], tblPassengerNames[[#This Row],[CommaPos]] - 1)</f>
        <v>Strom</v>
      </c>
    </row>
    <row r="1234" spans="2:18" x14ac:dyDescent="0.25">
      <c r="B1234" s="21">
        <v>1232</v>
      </c>
      <c r="C1234" s="21" t="s">
        <v>1366</v>
      </c>
      <c r="D1234" s="21" t="s">
        <v>136</v>
      </c>
      <c r="E1234">
        <f>FIND(",", tblPassengerNames[[#This Row],[Name]])</f>
        <v>6</v>
      </c>
      <c r="F1234">
        <f>FIND(".", tblPassengerNames[[#This Row],[Name]])</f>
        <v>11</v>
      </c>
      <c r="G1234">
        <f>FIND("(", tblPassengerNames[[#This Row],[Name]])</f>
        <v>21</v>
      </c>
      <c r="H1234">
        <f>FIND(")", tblPassengerNames[[#This Row],[Name]])</f>
        <v>42</v>
      </c>
      <c r="I1234">
        <f>IFERROR(tblPassengerNames[[#This Row],[OpenParPos]] - 2, LEN(tblPassengerNames[[#This Row],[Name]]))</f>
        <v>19</v>
      </c>
      <c r="J1234" t="str">
        <f>MID(tblPassengerNames[[#This Row],[Name]], tblPassengerNames[[#This Row],[DotPos]] + 2, tblPassengerNames[[#This Row],[EndOfConvFNPos]] - tblPassengerNames[[#This Row],[DotPos]] - 1)</f>
        <v>Wilhelm</v>
      </c>
      <c r="K1234" t="str">
        <f>MID(tblPassengerNames[[#This Row],[Name]], tblPassengerNames[[#This Row],[OpenParPos]] + 1, tblPassengerNames[[#This Row],[CloseParPos]] - tblPassengerNames[[#This Row],[OpenParPos]] - 1)</f>
        <v>Elna Matilda Persson</v>
      </c>
      <c r="L1234" t="str">
        <f>IF(AND(LEFT(tblPassengerNames[[#This Row],[InParentheses]], 1) = "'", RIGHT(tblPassengerNames[[#This Row],[InParentheses]], 1) = "'"),
    #VALUE!,
    tblPassengerNames[[#This Row],[InParentheses]]
)</f>
        <v>Elna Matilda Persson</v>
      </c>
      <c r="M1234">
        <f>LEN(tblPassengerNames[[#This Row],[InParenthesesCleaned]]) - LEN(SUBSTITUTE(tblPassengerNames[[#This Row],[InParenthesesCleaned]], " ", ""))</f>
        <v>2</v>
      </c>
      <c r="N1234">
        <f>FIND("@", SUBSTITUTE(tblPassengerNames[[#This Row],[InParenthesesCleaned]], " ", "@", tblPassengerNames[[#This Row],[P_NSpaces]]))</f>
        <v>13</v>
      </c>
      <c r="O1234" t="str">
        <f>IF(tblPassengerNames[[#This Row],[P_NSpaces]] = 0,
    tblPassengerNames[[#This Row],[InParenthesesCleaned]],
    LEFT(tblPassengerNames[[#This Row],[InParenthesesCleaned]], tblPassengerNames[[#This Row],[P_FinalSpacePos]] - 1)
)</f>
        <v>Elna Matilda</v>
      </c>
      <c r="P1234" t="str">
        <f>IFERROR(tblPassengerNames[[#This Row],[P_Forenames]], tblPassengerNames[[#This Row],[ConvForenames]])</f>
        <v>Elna Matilda</v>
      </c>
      <c r="Q1234" t="str">
        <f>MID(tblPassengerNames[[#This Row],[Name]], tblPassengerNames[[#This Row],[CommaPos]] + 2, tblPassengerNames[[#This Row],[DotPos]] - tblPassengerNames[[#This Row],[CommaPos]] - 1)</f>
        <v>Mrs.</v>
      </c>
      <c r="R1234" t="str">
        <f>LEFT(tblPassengerNames[[#This Row],[Name]], tblPassengerNames[[#This Row],[CommaPos]] - 1)</f>
        <v>Strom</v>
      </c>
    </row>
    <row r="1235" spans="2:18" x14ac:dyDescent="0.25">
      <c r="B1235" s="21">
        <v>1233</v>
      </c>
      <c r="C1235" s="21" t="s">
        <v>1367</v>
      </c>
      <c r="D1235" s="21" t="s">
        <v>138</v>
      </c>
      <c r="E1235">
        <f>FIND(",", tblPassengerNames[[#This Row],[Name]])</f>
        <v>11</v>
      </c>
      <c r="F1235">
        <f>FIND(".", tblPassengerNames[[#This Row],[Name]])</f>
        <v>15</v>
      </c>
      <c r="G1235" t="e">
        <f>FIND("(", tblPassengerNames[[#This Row],[Name]])</f>
        <v>#VALUE!</v>
      </c>
      <c r="H1235" t="e">
        <f>FIND(")", tblPassengerNames[[#This Row],[Name]])</f>
        <v>#VALUE!</v>
      </c>
      <c r="I1235">
        <f>IFERROR(tblPassengerNames[[#This Row],[OpenParPos]] - 2, LEN(tblPassengerNames[[#This Row],[Name]]))</f>
        <v>30</v>
      </c>
      <c r="J1235" t="str">
        <f>MID(tblPassengerNames[[#This Row],[Name]], tblPassengerNames[[#This Row],[DotPos]] + 2, tblPassengerNames[[#This Row],[EndOfConvFNPos]] - tblPassengerNames[[#This Row],[DotPos]] - 1)</f>
        <v>Victor Francis</v>
      </c>
      <c r="K1235" t="e">
        <f>MID(tblPassengerNames[[#This Row],[Name]], tblPassengerNames[[#This Row],[OpenParPos]] + 1, tblPassengerNames[[#This Row],[CloseParPos]] - tblPassengerNames[[#This Row],[OpenParPos]] - 1)</f>
        <v>#VALUE!</v>
      </c>
      <c r="L1235" t="e">
        <f>IF(AND(LEFT(tblPassengerNames[[#This Row],[InParentheses]], 1) = "'", RIGHT(tblPassengerNames[[#This Row],[InParentheses]], 1) = "'"),
    #VALUE!,
    tblPassengerNames[[#This Row],[InParentheses]]
)</f>
        <v>#VALUE!</v>
      </c>
      <c r="M1235" t="e">
        <f>LEN(tblPassengerNames[[#This Row],[InParenthesesCleaned]]) - LEN(SUBSTITUTE(tblPassengerNames[[#This Row],[InParenthesesCleaned]], " ", ""))</f>
        <v>#VALUE!</v>
      </c>
      <c r="N1235" t="e">
        <f>FIND("@", SUBSTITUTE(tblPassengerNames[[#This Row],[InParenthesesCleaned]], " ", "@", tblPassengerNames[[#This Row],[P_NSpaces]]))</f>
        <v>#VALUE!</v>
      </c>
      <c r="O1235" t="e">
        <f>IF(tblPassengerNames[[#This Row],[P_NSpaces]] = 0,
    tblPassengerNames[[#This Row],[InParenthesesCleaned]],
    LEFT(tblPassengerNames[[#This Row],[InParenthesesCleaned]], tblPassengerNames[[#This Row],[P_FinalSpacePos]] - 1)
)</f>
        <v>#VALUE!</v>
      </c>
      <c r="P1235" t="str">
        <f>IFERROR(tblPassengerNames[[#This Row],[P_Forenames]], tblPassengerNames[[#This Row],[ConvForenames]])</f>
        <v>Victor Francis</v>
      </c>
      <c r="Q1235" t="str">
        <f>MID(tblPassengerNames[[#This Row],[Name]], tblPassengerNames[[#This Row],[CommaPos]] + 2, tblPassengerNames[[#This Row],[DotPos]] - tblPassengerNames[[#This Row],[CommaPos]] - 1)</f>
        <v>Mr.</v>
      </c>
      <c r="R1235" t="str">
        <f>LEFT(tblPassengerNames[[#This Row],[Name]], tblPassengerNames[[#This Row],[CommaPos]] - 1)</f>
        <v>Sunderland</v>
      </c>
    </row>
    <row r="1236" spans="2:18" x14ac:dyDescent="0.25">
      <c r="B1236" s="21">
        <v>1234</v>
      </c>
      <c r="C1236" s="21" t="s">
        <v>1368</v>
      </c>
      <c r="D1236" s="21" t="s">
        <v>138</v>
      </c>
      <c r="E1236">
        <f>FIND(",", tblPassengerNames[[#This Row],[Name]])</f>
        <v>8</v>
      </c>
      <c r="F1236">
        <f>FIND(".", tblPassengerNames[[#This Row],[Name]])</f>
        <v>12</v>
      </c>
      <c r="G1236" t="e">
        <f>FIND("(", tblPassengerNames[[#This Row],[Name]])</f>
        <v>#VALUE!</v>
      </c>
      <c r="H1236" t="e">
        <f>FIND(")", tblPassengerNames[[#This Row],[Name]])</f>
        <v>#VALUE!</v>
      </c>
      <c r="I1236">
        <f>IFERROR(tblPassengerNames[[#This Row],[OpenParPos]] - 2, LEN(tblPassengerNames[[#This Row],[Name]]))</f>
        <v>25</v>
      </c>
      <c r="J1236" t="str">
        <f>MID(tblPassengerNames[[#This Row],[Name]], tblPassengerNames[[#This Row],[DotPos]] + 2, tblPassengerNames[[#This Row],[EndOfConvFNPos]] - tblPassengerNames[[#This Row],[DotPos]] - 1)</f>
        <v>Johan Julian</v>
      </c>
      <c r="K1236" t="e">
        <f>MID(tblPassengerNames[[#This Row],[Name]], tblPassengerNames[[#This Row],[OpenParPos]] + 1, tblPassengerNames[[#This Row],[CloseParPos]] - tblPassengerNames[[#This Row],[OpenParPos]] - 1)</f>
        <v>#VALUE!</v>
      </c>
      <c r="L1236" t="e">
        <f>IF(AND(LEFT(tblPassengerNames[[#This Row],[InParentheses]], 1) = "'", RIGHT(tblPassengerNames[[#This Row],[InParentheses]], 1) = "'"),
    #VALUE!,
    tblPassengerNames[[#This Row],[InParentheses]]
)</f>
        <v>#VALUE!</v>
      </c>
      <c r="M1236" t="e">
        <f>LEN(tblPassengerNames[[#This Row],[InParenthesesCleaned]]) - LEN(SUBSTITUTE(tblPassengerNames[[#This Row],[InParenthesesCleaned]], " ", ""))</f>
        <v>#VALUE!</v>
      </c>
      <c r="N1236" t="e">
        <f>FIND("@", SUBSTITUTE(tblPassengerNames[[#This Row],[InParenthesesCleaned]], " ", "@", tblPassengerNames[[#This Row],[P_NSpaces]]))</f>
        <v>#VALUE!</v>
      </c>
      <c r="O1236" t="e">
        <f>IF(tblPassengerNames[[#This Row],[P_NSpaces]] = 0,
    tblPassengerNames[[#This Row],[InParenthesesCleaned]],
    LEFT(tblPassengerNames[[#This Row],[InParenthesesCleaned]], tblPassengerNames[[#This Row],[P_FinalSpacePos]] - 1)
)</f>
        <v>#VALUE!</v>
      </c>
      <c r="P1236" t="str">
        <f>IFERROR(tblPassengerNames[[#This Row],[P_Forenames]], tblPassengerNames[[#This Row],[ConvForenames]])</f>
        <v>Johan Julian</v>
      </c>
      <c r="Q1236" t="str">
        <f>MID(tblPassengerNames[[#This Row],[Name]], tblPassengerNames[[#This Row],[CommaPos]] + 2, tblPassengerNames[[#This Row],[DotPos]] - tblPassengerNames[[#This Row],[CommaPos]] - 1)</f>
        <v>Mr.</v>
      </c>
      <c r="R1236" t="str">
        <f>LEFT(tblPassengerNames[[#This Row],[Name]], tblPassengerNames[[#This Row],[CommaPos]] - 1)</f>
        <v>Sundman</v>
      </c>
    </row>
    <row r="1237" spans="2:18" x14ac:dyDescent="0.25">
      <c r="B1237" s="21">
        <v>1235</v>
      </c>
      <c r="C1237" s="21" t="s">
        <v>1369</v>
      </c>
      <c r="D1237" s="21" t="s">
        <v>138</v>
      </c>
      <c r="E1237">
        <f>FIND(",", tblPassengerNames[[#This Row],[Name]])</f>
        <v>9</v>
      </c>
      <c r="F1237">
        <f>FIND(".", tblPassengerNames[[#This Row],[Name]])</f>
        <v>13</v>
      </c>
      <c r="G1237" t="e">
        <f>FIND("(", tblPassengerNames[[#This Row],[Name]])</f>
        <v>#VALUE!</v>
      </c>
      <c r="H1237" t="e">
        <f>FIND(")", tblPassengerNames[[#This Row],[Name]])</f>
        <v>#VALUE!</v>
      </c>
      <c r="I1237">
        <f>IFERROR(tblPassengerNames[[#This Row],[OpenParPos]] - 2, LEN(tblPassengerNames[[#This Row],[Name]]))</f>
        <v>22</v>
      </c>
      <c r="J1237" t="str">
        <f>MID(tblPassengerNames[[#This Row],[Name]], tblPassengerNames[[#This Row],[DotPos]] + 2, tblPassengerNames[[#This Row],[EndOfConvFNPos]] - tblPassengerNames[[#This Row],[DotPos]] - 1)</f>
        <v>Henry Jr</v>
      </c>
      <c r="K1237" t="e">
        <f>MID(tblPassengerNames[[#This Row],[Name]], tblPassengerNames[[#This Row],[OpenParPos]] + 1, tblPassengerNames[[#This Row],[CloseParPos]] - tblPassengerNames[[#This Row],[OpenParPos]] - 1)</f>
        <v>#VALUE!</v>
      </c>
      <c r="L1237" t="e">
        <f>IF(AND(LEFT(tblPassengerNames[[#This Row],[InParentheses]], 1) = "'", RIGHT(tblPassengerNames[[#This Row],[InParentheses]], 1) = "'"),
    #VALUE!,
    tblPassengerNames[[#This Row],[InParentheses]]
)</f>
        <v>#VALUE!</v>
      </c>
      <c r="M1237" t="e">
        <f>LEN(tblPassengerNames[[#This Row],[InParenthesesCleaned]]) - LEN(SUBSTITUTE(tblPassengerNames[[#This Row],[InParenthesesCleaned]], " ", ""))</f>
        <v>#VALUE!</v>
      </c>
      <c r="N1237" t="e">
        <f>FIND("@", SUBSTITUTE(tblPassengerNames[[#This Row],[InParenthesesCleaned]], " ", "@", tblPassengerNames[[#This Row],[P_NSpaces]]))</f>
        <v>#VALUE!</v>
      </c>
      <c r="O1237" t="e">
        <f>IF(tblPassengerNames[[#This Row],[P_NSpaces]] = 0,
    tblPassengerNames[[#This Row],[InParenthesesCleaned]],
    LEFT(tblPassengerNames[[#This Row],[InParenthesesCleaned]], tblPassengerNames[[#This Row],[P_FinalSpacePos]] - 1)
)</f>
        <v>#VALUE!</v>
      </c>
      <c r="P1237" t="str">
        <f>IFERROR(tblPassengerNames[[#This Row],[P_Forenames]], tblPassengerNames[[#This Row],[ConvForenames]])</f>
        <v>Henry Jr</v>
      </c>
      <c r="Q1237" t="str">
        <f>MID(tblPassengerNames[[#This Row],[Name]], tblPassengerNames[[#This Row],[CommaPos]] + 2, tblPassengerNames[[#This Row],[DotPos]] - tblPassengerNames[[#This Row],[CommaPos]] - 1)</f>
        <v>Mr.</v>
      </c>
      <c r="R1237" t="str">
        <f>LEFT(tblPassengerNames[[#This Row],[Name]], tblPassengerNames[[#This Row],[CommaPos]] - 1)</f>
        <v>Sutehall</v>
      </c>
    </row>
    <row r="1238" spans="2:18" x14ac:dyDescent="0.25">
      <c r="B1238" s="21">
        <v>1236</v>
      </c>
      <c r="C1238" s="21" t="s">
        <v>1370</v>
      </c>
      <c r="D1238" s="21" t="s">
        <v>138</v>
      </c>
      <c r="E1238">
        <f>FIND(",", tblPassengerNames[[#This Row],[Name]])</f>
        <v>9</v>
      </c>
      <c r="F1238">
        <f>FIND(".", tblPassengerNames[[#This Row],[Name]])</f>
        <v>13</v>
      </c>
      <c r="G1238" t="e">
        <f>FIND("(", tblPassengerNames[[#This Row],[Name]])</f>
        <v>#VALUE!</v>
      </c>
      <c r="H1238" t="e">
        <f>FIND(")", tblPassengerNames[[#This Row],[Name]])</f>
        <v>#VALUE!</v>
      </c>
      <c r="I1238">
        <f>IFERROR(tblPassengerNames[[#This Row],[OpenParPos]] - 2, LEN(tblPassengerNames[[#This Row],[Name]]))</f>
        <v>19</v>
      </c>
      <c r="J1238" t="str">
        <f>MID(tblPassengerNames[[#This Row],[Name]], tblPassengerNames[[#This Row],[DotPos]] + 2, tblPassengerNames[[#This Row],[EndOfConvFNPos]] - tblPassengerNames[[#This Row],[DotPos]] - 1)</f>
        <v>Johan</v>
      </c>
      <c r="K1238" t="e">
        <f>MID(tblPassengerNames[[#This Row],[Name]], tblPassengerNames[[#This Row],[OpenParPos]] + 1, tblPassengerNames[[#This Row],[CloseParPos]] - tblPassengerNames[[#This Row],[OpenParPos]] - 1)</f>
        <v>#VALUE!</v>
      </c>
      <c r="L1238" t="e">
        <f>IF(AND(LEFT(tblPassengerNames[[#This Row],[InParentheses]], 1) = "'", RIGHT(tblPassengerNames[[#This Row],[InParentheses]], 1) = "'"),
    #VALUE!,
    tblPassengerNames[[#This Row],[InParentheses]]
)</f>
        <v>#VALUE!</v>
      </c>
      <c r="M1238" t="e">
        <f>LEN(tblPassengerNames[[#This Row],[InParenthesesCleaned]]) - LEN(SUBSTITUTE(tblPassengerNames[[#This Row],[InParenthesesCleaned]], " ", ""))</f>
        <v>#VALUE!</v>
      </c>
      <c r="N1238" t="e">
        <f>FIND("@", SUBSTITUTE(tblPassengerNames[[#This Row],[InParenthesesCleaned]], " ", "@", tblPassengerNames[[#This Row],[P_NSpaces]]))</f>
        <v>#VALUE!</v>
      </c>
      <c r="O1238" t="e">
        <f>IF(tblPassengerNames[[#This Row],[P_NSpaces]] = 0,
    tblPassengerNames[[#This Row],[InParenthesesCleaned]],
    LEFT(tblPassengerNames[[#This Row],[InParenthesesCleaned]], tblPassengerNames[[#This Row],[P_FinalSpacePos]] - 1)
)</f>
        <v>#VALUE!</v>
      </c>
      <c r="P1238" t="str">
        <f>IFERROR(tblPassengerNames[[#This Row],[P_Forenames]], tblPassengerNames[[#This Row],[ConvForenames]])</f>
        <v>Johan</v>
      </c>
      <c r="Q1238" t="str">
        <f>MID(tblPassengerNames[[#This Row],[Name]], tblPassengerNames[[#This Row],[CommaPos]] + 2, tblPassengerNames[[#This Row],[DotPos]] - tblPassengerNames[[#This Row],[CommaPos]] - 1)</f>
        <v>Mr.</v>
      </c>
      <c r="R1238" t="str">
        <f>LEFT(tblPassengerNames[[#This Row],[Name]], tblPassengerNames[[#This Row],[CommaPos]] - 1)</f>
        <v>Svensson</v>
      </c>
    </row>
    <row r="1239" spans="2:18" x14ac:dyDescent="0.25">
      <c r="B1239" s="21">
        <v>1237</v>
      </c>
      <c r="C1239" s="21" t="s">
        <v>1371</v>
      </c>
      <c r="D1239" s="21" t="s">
        <v>138</v>
      </c>
      <c r="E1239">
        <f>FIND(",", tblPassengerNames[[#This Row],[Name]])</f>
        <v>9</v>
      </c>
      <c r="F1239">
        <f>FIND(".", tblPassengerNames[[#This Row],[Name]])</f>
        <v>13</v>
      </c>
      <c r="G1239" t="e">
        <f>FIND("(", tblPassengerNames[[#This Row],[Name]])</f>
        <v>#VALUE!</v>
      </c>
      <c r="H1239" t="e">
        <f>FIND(")", tblPassengerNames[[#This Row],[Name]])</f>
        <v>#VALUE!</v>
      </c>
      <c r="I1239">
        <f>IFERROR(tblPassengerNames[[#This Row],[OpenParPos]] - 2, LEN(tblPassengerNames[[#This Row],[Name]]))</f>
        <v>26</v>
      </c>
      <c r="J1239" t="str">
        <f>MID(tblPassengerNames[[#This Row],[Name]], tblPassengerNames[[#This Row],[DotPos]] + 2, tblPassengerNames[[#This Row],[EndOfConvFNPos]] - tblPassengerNames[[#This Row],[DotPos]] - 1)</f>
        <v>Johan Cervin</v>
      </c>
      <c r="K1239" t="e">
        <f>MID(tblPassengerNames[[#This Row],[Name]], tblPassengerNames[[#This Row],[OpenParPos]] + 1, tblPassengerNames[[#This Row],[CloseParPos]] - tblPassengerNames[[#This Row],[OpenParPos]] - 1)</f>
        <v>#VALUE!</v>
      </c>
      <c r="L1239" t="e">
        <f>IF(AND(LEFT(tblPassengerNames[[#This Row],[InParentheses]], 1) = "'", RIGHT(tblPassengerNames[[#This Row],[InParentheses]], 1) = "'"),
    #VALUE!,
    tblPassengerNames[[#This Row],[InParentheses]]
)</f>
        <v>#VALUE!</v>
      </c>
      <c r="M1239" t="e">
        <f>LEN(tblPassengerNames[[#This Row],[InParenthesesCleaned]]) - LEN(SUBSTITUTE(tblPassengerNames[[#This Row],[InParenthesesCleaned]], " ", ""))</f>
        <v>#VALUE!</v>
      </c>
      <c r="N1239" t="e">
        <f>FIND("@", SUBSTITUTE(tblPassengerNames[[#This Row],[InParenthesesCleaned]], " ", "@", tblPassengerNames[[#This Row],[P_NSpaces]]))</f>
        <v>#VALUE!</v>
      </c>
      <c r="O1239" t="e">
        <f>IF(tblPassengerNames[[#This Row],[P_NSpaces]] = 0,
    tblPassengerNames[[#This Row],[InParenthesesCleaned]],
    LEFT(tblPassengerNames[[#This Row],[InParenthesesCleaned]], tblPassengerNames[[#This Row],[P_FinalSpacePos]] - 1)
)</f>
        <v>#VALUE!</v>
      </c>
      <c r="P1239" t="str">
        <f>IFERROR(tblPassengerNames[[#This Row],[P_Forenames]], tblPassengerNames[[#This Row],[ConvForenames]])</f>
        <v>Johan Cervin</v>
      </c>
      <c r="Q1239" t="str">
        <f>MID(tblPassengerNames[[#This Row],[Name]], tblPassengerNames[[#This Row],[CommaPos]] + 2, tblPassengerNames[[#This Row],[DotPos]] - tblPassengerNames[[#This Row],[CommaPos]] - 1)</f>
        <v>Mr.</v>
      </c>
      <c r="R1239" t="str">
        <f>LEFT(tblPassengerNames[[#This Row],[Name]], tblPassengerNames[[#This Row],[CommaPos]] - 1)</f>
        <v>Svensson</v>
      </c>
    </row>
    <row r="1240" spans="2:18" x14ac:dyDescent="0.25">
      <c r="B1240" s="21">
        <v>1238</v>
      </c>
      <c r="C1240" s="21" t="s">
        <v>1372</v>
      </c>
      <c r="D1240" s="21" t="s">
        <v>138</v>
      </c>
      <c r="E1240">
        <f>FIND(",", tblPassengerNames[[#This Row],[Name]])</f>
        <v>9</v>
      </c>
      <c r="F1240">
        <f>FIND(".", tblPassengerNames[[#This Row],[Name]])</f>
        <v>13</v>
      </c>
      <c r="G1240" t="e">
        <f>FIND("(", tblPassengerNames[[#This Row],[Name]])</f>
        <v>#VALUE!</v>
      </c>
      <c r="H1240" t="e">
        <f>FIND(")", tblPassengerNames[[#This Row],[Name]])</f>
        <v>#VALUE!</v>
      </c>
      <c r="I1240">
        <f>IFERROR(tblPassengerNames[[#This Row],[OpenParPos]] - 2, LEN(tblPassengerNames[[#This Row],[Name]]))</f>
        <v>18</v>
      </c>
      <c r="J1240" t="str">
        <f>MID(tblPassengerNames[[#This Row],[Name]], tblPassengerNames[[#This Row],[DotPos]] + 2, tblPassengerNames[[#This Row],[EndOfConvFNPos]] - tblPassengerNames[[#This Row],[DotPos]] - 1)</f>
        <v>Olof</v>
      </c>
      <c r="K1240" t="e">
        <f>MID(tblPassengerNames[[#This Row],[Name]], tblPassengerNames[[#This Row],[OpenParPos]] + 1, tblPassengerNames[[#This Row],[CloseParPos]] - tblPassengerNames[[#This Row],[OpenParPos]] - 1)</f>
        <v>#VALUE!</v>
      </c>
      <c r="L1240" t="e">
        <f>IF(AND(LEFT(tblPassengerNames[[#This Row],[InParentheses]], 1) = "'", RIGHT(tblPassengerNames[[#This Row],[InParentheses]], 1) = "'"),
    #VALUE!,
    tblPassengerNames[[#This Row],[InParentheses]]
)</f>
        <v>#VALUE!</v>
      </c>
      <c r="M1240" t="e">
        <f>LEN(tblPassengerNames[[#This Row],[InParenthesesCleaned]]) - LEN(SUBSTITUTE(tblPassengerNames[[#This Row],[InParenthesesCleaned]], " ", ""))</f>
        <v>#VALUE!</v>
      </c>
      <c r="N1240" t="e">
        <f>FIND("@", SUBSTITUTE(tblPassengerNames[[#This Row],[InParenthesesCleaned]], " ", "@", tblPassengerNames[[#This Row],[P_NSpaces]]))</f>
        <v>#VALUE!</v>
      </c>
      <c r="O1240" t="e">
        <f>IF(tblPassengerNames[[#This Row],[P_NSpaces]] = 0,
    tblPassengerNames[[#This Row],[InParenthesesCleaned]],
    LEFT(tblPassengerNames[[#This Row],[InParenthesesCleaned]], tblPassengerNames[[#This Row],[P_FinalSpacePos]] - 1)
)</f>
        <v>#VALUE!</v>
      </c>
      <c r="P1240" t="str">
        <f>IFERROR(tblPassengerNames[[#This Row],[P_Forenames]], tblPassengerNames[[#This Row],[ConvForenames]])</f>
        <v>Olof</v>
      </c>
      <c r="Q1240" t="str">
        <f>MID(tblPassengerNames[[#This Row],[Name]], tblPassengerNames[[#This Row],[CommaPos]] + 2, tblPassengerNames[[#This Row],[DotPos]] - tblPassengerNames[[#This Row],[CommaPos]] - 1)</f>
        <v>Mr.</v>
      </c>
      <c r="R1240" t="str">
        <f>LEFT(tblPassengerNames[[#This Row],[Name]], tblPassengerNames[[#This Row],[CommaPos]] - 1)</f>
        <v>Svensson</v>
      </c>
    </row>
    <row r="1241" spans="2:18" x14ac:dyDescent="0.25">
      <c r="B1241" s="21">
        <v>1239</v>
      </c>
      <c r="C1241" s="21" t="s">
        <v>1373</v>
      </c>
      <c r="D1241" s="21" t="s">
        <v>138</v>
      </c>
      <c r="E1241">
        <f>FIND(",", tblPassengerNames[[#This Row],[Name]])</f>
        <v>8</v>
      </c>
      <c r="F1241">
        <f>FIND(".", tblPassengerNames[[#This Row],[Name]])</f>
        <v>12</v>
      </c>
      <c r="G1241" t="e">
        <f>FIND("(", tblPassengerNames[[#This Row],[Name]])</f>
        <v>#VALUE!</v>
      </c>
      <c r="H1241" t="e">
        <f>FIND(")", tblPassengerNames[[#This Row],[Name]])</f>
        <v>#VALUE!</v>
      </c>
      <c r="I1241">
        <f>IFERROR(tblPassengerNames[[#This Row],[OpenParPos]] - 2, LEN(tblPassengerNames[[#This Row],[Name]]))</f>
        <v>26</v>
      </c>
      <c r="J1241" t="str">
        <f>MID(tblPassengerNames[[#This Row],[Name]], tblPassengerNames[[#This Row],[DotPos]] + 2, tblPassengerNames[[#This Row],[EndOfConvFNPos]] - tblPassengerNames[[#This Row],[DotPos]] - 1)</f>
        <v>Gunnar Isidor</v>
      </c>
      <c r="K1241" t="e">
        <f>MID(tblPassengerNames[[#This Row],[Name]], tblPassengerNames[[#This Row],[OpenParPos]] + 1, tblPassengerNames[[#This Row],[CloseParPos]] - tblPassengerNames[[#This Row],[OpenParPos]] - 1)</f>
        <v>#VALUE!</v>
      </c>
      <c r="L1241" t="e">
        <f>IF(AND(LEFT(tblPassengerNames[[#This Row],[InParentheses]], 1) = "'", RIGHT(tblPassengerNames[[#This Row],[InParentheses]], 1) = "'"),
    #VALUE!,
    tblPassengerNames[[#This Row],[InParentheses]]
)</f>
        <v>#VALUE!</v>
      </c>
      <c r="M1241" t="e">
        <f>LEN(tblPassengerNames[[#This Row],[InParenthesesCleaned]]) - LEN(SUBSTITUTE(tblPassengerNames[[#This Row],[InParenthesesCleaned]], " ", ""))</f>
        <v>#VALUE!</v>
      </c>
      <c r="N1241" t="e">
        <f>FIND("@", SUBSTITUTE(tblPassengerNames[[#This Row],[InParenthesesCleaned]], " ", "@", tblPassengerNames[[#This Row],[P_NSpaces]]))</f>
        <v>#VALUE!</v>
      </c>
      <c r="O1241" t="e">
        <f>IF(tblPassengerNames[[#This Row],[P_NSpaces]] = 0,
    tblPassengerNames[[#This Row],[InParenthesesCleaned]],
    LEFT(tblPassengerNames[[#This Row],[InParenthesesCleaned]], tblPassengerNames[[#This Row],[P_FinalSpacePos]] - 1)
)</f>
        <v>#VALUE!</v>
      </c>
      <c r="P1241" t="str">
        <f>IFERROR(tblPassengerNames[[#This Row],[P_Forenames]], tblPassengerNames[[#This Row],[ConvForenames]])</f>
        <v>Gunnar Isidor</v>
      </c>
      <c r="Q1241" t="str">
        <f>MID(tblPassengerNames[[#This Row],[Name]], tblPassengerNames[[#This Row],[CommaPos]] + 2, tblPassengerNames[[#This Row],[DotPos]] - tblPassengerNames[[#This Row],[CommaPos]] - 1)</f>
        <v>Mr.</v>
      </c>
      <c r="R1241" t="str">
        <f>LEFT(tblPassengerNames[[#This Row],[Name]], tblPassengerNames[[#This Row],[CommaPos]] - 1)</f>
        <v>Tenglin</v>
      </c>
    </row>
    <row r="1242" spans="2:18" x14ac:dyDescent="0.25">
      <c r="B1242" s="21">
        <v>1240</v>
      </c>
      <c r="C1242" s="21" t="s">
        <v>1374</v>
      </c>
      <c r="D1242" s="21" t="s">
        <v>138</v>
      </c>
      <c r="E1242">
        <f>FIND(",", tblPassengerNames[[#This Row],[Name]])</f>
        <v>9</v>
      </c>
      <c r="F1242">
        <f>FIND(".", tblPassengerNames[[#This Row],[Name]])</f>
        <v>13</v>
      </c>
      <c r="G1242" t="e">
        <f>FIND("(", tblPassengerNames[[#This Row],[Name]])</f>
        <v>#VALUE!</v>
      </c>
      <c r="H1242" t="e">
        <f>FIND(")", tblPassengerNames[[#This Row],[Name]])</f>
        <v>#VALUE!</v>
      </c>
      <c r="I1242">
        <f>IFERROR(tblPassengerNames[[#This Row],[OpenParPos]] - 2, LEN(tblPassengerNames[[#This Row],[Name]]))</f>
        <v>28</v>
      </c>
      <c r="J1242" t="str">
        <f>MID(tblPassengerNames[[#This Row],[Name]], tblPassengerNames[[#This Row],[DotPos]] + 2, tblPassengerNames[[#This Row],[EndOfConvFNPos]] - tblPassengerNames[[#This Row],[DotPos]] - 1)</f>
        <v>Thomas Leonard</v>
      </c>
      <c r="K1242" t="e">
        <f>MID(tblPassengerNames[[#This Row],[Name]], tblPassengerNames[[#This Row],[OpenParPos]] + 1, tblPassengerNames[[#This Row],[CloseParPos]] - tblPassengerNames[[#This Row],[OpenParPos]] - 1)</f>
        <v>#VALUE!</v>
      </c>
      <c r="L1242" t="e">
        <f>IF(AND(LEFT(tblPassengerNames[[#This Row],[InParentheses]], 1) = "'", RIGHT(tblPassengerNames[[#This Row],[InParentheses]], 1) = "'"),
    #VALUE!,
    tblPassengerNames[[#This Row],[InParentheses]]
)</f>
        <v>#VALUE!</v>
      </c>
      <c r="M1242" t="e">
        <f>LEN(tblPassengerNames[[#This Row],[InParenthesesCleaned]]) - LEN(SUBSTITUTE(tblPassengerNames[[#This Row],[InParenthesesCleaned]], " ", ""))</f>
        <v>#VALUE!</v>
      </c>
      <c r="N1242" t="e">
        <f>FIND("@", SUBSTITUTE(tblPassengerNames[[#This Row],[InParenthesesCleaned]], " ", "@", tblPassengerNames[[#This Row],[P_NSpaces]]))</f>
        <v>#VALUE!</v>
      </c>
      <c r="O1242" t="e">
        <f>IF(tblPassengerNames[[#This Row],[P_NSpaces]] = 0,
    tblPassengerNames[[#This Row],[InParenthesesCleaned]],
    LEFT(tblPassengerNames[[#This Row],[InParenthesesCleaned]], tblPassengerNames[[#This Row],[P_FinalSpacePos]] - 1)
)</f>
        <v>#VALUE!</v>
      </c>
      <c r="P1242" t="str">
        <f>IFERROR(tblPassengerNames[[#This Row],[P_Forenames]], tblPassengerNames[[#This Row],[ConvForenames]])</f>
        <v>Thomas Leonard</v>
      </c>
      <c r="Q1242" t="str">
        <f>MID(tblPassengerNames[[#This Row],[Name]], tblPassengerNames[[#This Row],[CommaPos]] + 2, tblPassengerNames[[#This Row],[DotPos]] - tblPassengerNames[[#This Row],[CommaPos]] - 1)</f>
        <v>Mr.</v>
      </c>
      <c r="R1242" t="str">
        <f>LEFT(tblPassengerNames[[#This Row],[Name]], tblPassengerNames[[#This Row],[CommaPos]] - 1)</f>
        <v>Theobald</v>
      </c>
    </row>
    <row r="1243" spans="2:18" x14ac:dyDescent="0.25">
      <c r="B1243" s="21">
        <v>1241</v>
      </c>
      <c r="C1243" s="21" t="s">
        <v>1375</v>
      </c>
      <c r="D1243" s="21" t="s">
        <v>138</v>
      </c>
      <c r="E1243">
        <f>FIND(",", tblPassengerNames[[#This Row],[Name]])</f>
        <v>7</v>
      </c>
      <c r="F1243">
        <f>FIND(".", tblPassengerNames[[#This Row],[Name]])</f>
        <v>15</v>
      </c>
      <c r="G1243" t="e">
        <f>FIND("(", tblPassengerNames[[#This Row],[Name]])</f>
        <v>#VALUE!</v>
      </c>
      <c r="H1243" t="e">
        <f>FIND(")", tblPassengerNames[[#This Row],[Name]])</f>
        <v>#VALUE!</v>
      </c>
      <c r="I1243">
        <f>IFERROR(tblPassengerNames[[#This Row],[OpenParPos]] - 2, LEN(tblPassengerNames[[#This Row],[Name]]))</f>
        <v>31</v>
      </c>
      <c r="J1243" t="str">
        <f>MID(tblPassengerNames[[#This Row],[Name]], tblPassengerNames[[#This Row],[DotPos]] + 2, tblPassengerNames[[#This Row],[EndOfConvFNPos]] - tblPassengerNames[[#This Row],[DotPos]] - 1)</f>
        <v>Assad Alexander</v>
      </c>
      <c r="K1243" t="e">
        <f>MID(tblPassengerNames[[#This Row],[Name]], tblPassengerNames[[#This Row],[OpenParPos]] + 1, tblPassengerNames[[#This Row],[CloseParPos]] - tblPassengerNames[[#This Row],[OpenParPos]] - 1)</f>
        <v>#VALUE!</v>
      </c>
      <c r="L1243" t="e">
        <f>IF(AND(LEFT(tblPassengerNames[[#This Row],[InParentheses]], 1) = "'", RIGHT(tblPassengerNames[[#This Row],[InParentheses]], 1) = "'"),
    #VALUE!,
    tblPassengerNames[[#This Row],[InParentheses]]
)</f>
        <v>#VALUE!</v>
      </c>
      <c r="M1243" t="e">
        <f>LEN(tblPassengerNames[[#This Row],[InParenthesesCleaned]]) - LEN(SUBSTITUTE(tblPassengerNames[[#This Row],[InParenthesesCleaned]], " ", ""))</f>
        <v>#VALUE!</v>
      </c>
      <c r="N1243" t="e">
        <f>FIND("@", SUBSTITUTE(tblPassengerNames[[#This Row],[InParenthesesCleaned]], " ", "@", tblPassengerNames[[#This Row],[P_NSpaces]]))</f>
        <v>#VALUE!</v>
      </c>
      <c r="O1243" t="e">
        <f>IF(tblPassengerNames[[#This Row],[P_NSpaces]] = 0,
    tblPassengerNames[[#This Row],[InParenthesesCleaned]],
    LEFT(tblPassengerNames[[#This Row],[InParenthesesCleaned]], tblPassengerNames[[#This Row],[P_FinalSpacePos]] - 1)
)</f>
        <v>#VALUE!</v>
      </c>
      <c r="P1243" t="str">
        <f>IFERROR(tblPassengerNames[[#This Row],[P_Forenames]], tblPassengerNames[[#This Row],[ConvForenames]])</f>
        <v>Assad Alexander</v>
      </c>
      <c r="Q1243" t="str">
        <f>MID(tblPassengerNames[[#This Row],[Name]], tblPassengerNames[[#This Row],[CommaPos]] + 2, tblPassengerNames[[#This Row],[DotPos]] - tblPassengerNames[[#This Row],[CommaPos]] - 1)</f>
        <v>Master.</v>
      </c>
      <c r="R1243" t="str">
        <f>LEFT(tblPassengerNames[[#This Row],[Name]], tblPassengerNames[[#This Row],[CommaPos]] - 1)</f>
        <v>Thomas</v>
      </c>
    </row>
    <row r="1244" spans="2:18" x14ac:dyDescent="0.25">
      <c r="B1244" s="21">
        <v>1242</v>
      </c>
      <c r="C1244" s="21" t="s">
        <v>1376</v>
      </c>
      <c r="D1244" s="21" t="s">
        <v>138</v>
      </c>
      <c r="E1244">
        <f>FIND(",", tblPassengerNames[[#This Row],[Name]])</f>
        <v>7</v>
      </c>
      <c r="F1244">
        <f>FIND(".", tblPassengerNames[[#This Row],[Name]])</f>
        <v>11</v>
      </c>
      <c r="G1244" t="e">
        <f>FIND("(", tblPassengerNames[[#This Row],[Name]])</f>
        <v>#VALUE!</v>
      </c>
      <c r="H1244" t="e">
        <f>FIND(")", tblPassengerNames[[#This Row],[Name]])</f>
        <v>#VALUE!</v>
      </c>
      <c r="I1244">
        <f>IFERROR(tblPassengerNames[[#This Row],[OpenParPos]] - 2, LEN(tblPassengerNames[[#This Row],[Name]]))</f>
        <v>21</v>
      </c>
      <c r="J1244" t="str">
        <f>MID(tblPassengerNames[[#This Row],[Name]], tblPassengerNames[[#This Row],[DotPos]] + 2, tblPassengerNames[[#This Row],[EndOfConvFNPos]] - tblPassengerNames[[#This Row],[DotPos]] - 1)</f>
        <v>Charles P</v>
      </c>
      <c r="K1244" t="e">
        <f>MID(tblPassengerNames[[#This Row],[Name]], tblPassengerNames[[#This Row],[OpenParPos]] + 1, tblPassengerNames[[#This Row],[CloseParPos]] - tblPassengerNames[[#This Row],[OpenParPos]] - 1)</f>
        <v>#VALUE!</v>
      </c>
      <c r="L1244" t="e">
        <f>IF(AND(LEFT(tblPassengerNames[[#This Row],[InParentheses]], 1) = "'", RIGHT(tblPassengerNames[[#This Row],[InParentheses]], 1) = "'"),
    #VALUE!,
    tblPassengerNames[[#This Row],[InParentheses]]
)</f>
        <v>#VALUE!</v>
      </c>
      <c r="M1244" t="e">
        <f>LEN(tblPassengerNames[[#This Row],[InParenthesesCleaned]]) - LEN(SUBSTITUTE(tblPassengerNames[[#This Row],[InParenthesesCleaned]], " ", ""))</f>
        <v>#VALUE!</v>
      </c>
      <c r="N1244" t="e">
        <f>FIND("@", SUBSTITUTE(tblPassengerNames[[#This Row],[InParenthesesCleaned]], " ", "@", tblPassengerNames[[#This Row],[P_NSpaces]]))</f>
        <v>#VALUE!</v>
      </c>
      <c r="O1244" t="e">
        <f>IF(tblPassengerNames[[#This Row],[P_NSpaces]] = 0,
    tblPassengerNames[[#This Row],[InParenthesesCleaned]],
    LEFT(tblPassengerNames[[#This Row],[InParenthesesCleaned]], tblPassengerNames[[#This Row],[P_FinalSpacePos]] - 1)
)</f>
        <v>#VALUE!</v>
      </c>
      <c r="P1244" t="str">
        <f>IFERROR(tblPassengerNames[[#This Row],[P_Forenames]], tblPassengerNames[[#This Row],[ConvForenames]])</f>
        <v>Charles P</v>
      </c>
      <c r="Q1244" t="str">
        <f>MID(tblPassengerNames[[#This Row],[Name]], tblPassengerNames[[#This Row],[CommaPos]] + 2, tblPassengerNames[[#This Row],[DotPos]] - tblPassengerNames[[#This Row],[CommaPos]] - 1)</f>
        <v>Mr.</v>
      </c>
      <c r="R1244" t="str">
        <f>LEFT(tblPassengerNames[[#This Row],[Name]], tblPassengerNames[[#This Row],[CommaPos]] - 1)</f>
        <v>Thomas</v>
      </c>
    </row>
    <row r="1245" spans="2:18" x14ac:dyDescent="0.25">
      <c r="B1245" s="21">
        <v>1243</v>
      </c>
      <c r="C1245" s="21" t="s">
        <v>1377</v>
      </c>
      <c r="D1245" s="21" t="s">
        <v>138</v>
      </c>
      <c r="E1245">
        <f>FIND(",", tblPassengerNames[[#This Row],[Name]])</f>
        <v>7</v>
      </c>
      <c r="F1245">
        <f>FIND(".", tblPassengerNames[[#This Row],[Name]])</f>
        <v>11</v>
      </c>
      <c r="G1245" t="e">
        <f>FIND("(", tblPassengerNames[[#This Row],[Name]])</f>
        <v>#VALUE!</v>
      </c>
      <c r="H1245" t="e">
        <f>FIND(")", tblPassengerNames[[#This Row],[Name]])</f>
        <v>#VALUE!</v>
      </c>
      <c r="I1245">
        <f>IFERROR(tblPassengerNames[[#This Row],[OpenParPos]] - 2, LEN(tblPassengerNames[[#This Row],[Name]]))</f>
        <v>16</v>
      </c>
      <c r="J1245" t="str">
        <f>MID(tblPassengerNames[[#This Row],[Name]], tblPassengerNames[[#This Row],[DotPos]] + 2, tblPassengerNames[[#This Row],[EndOfConvFNPos]] - tblPassengerNames[[#This Row],[DotPos]] - 1)</f>
        <v>John</v>
      </c>
      <c r="K1245" t="e">
        <f>MID(tblPassengerNames[[#This Row],[Name]], tblPassengerNames[[#This Row],[OpenParPos]] + 1, tblPassengerNames[[#This Row],[CloseParPos]] - tblPassengerNames[[#This Row],[OpenParPos]] - 1)</f>
        <v>#VALUE!</v>
      </c>
      <c r="L1245" t="e">
        <f>IF(AND(LEFT(tblPassengerNames[[#This Row],[InParentheses]], 1) = "'", RIGHT(tblPassengerNames[[#This Row],[InParentheses]], 1) = "'"),
    #VALUE!,
    tblPassengerNames[[#This Row],[InParentheses]]
)</f>
        <v>#VALUE!</v>
      </c>
      <c r="M1245" t="e">
        <f>LEN(tblPassengerNames[[#This Row],[InParenthesesCleaned]]) - LEN(SUBSTITUTE(tblPassengerNames[[#This Row],[InParenthesesCleaned]], " ", ""))</f>
        <v>#VALUE!</v>
      </c>
      <c r="N1245" t="e">
        <f>FIND("@", SUBSTITUTE(tblPassengerNames[[#This Row],[InParenthesesCleaned]], " ", "@", tblPassengerNames[[#This Row],[P_NSpaces]]))</f>
        <v>#VALUE!</v>
      </c>
      <c r="O1245" t="e">
        <f>IF(tblPassengerNames[[#This Row],[P_NSpaces]] = 0,
    tblPassengerNames[[#This Row],[InParenthesesCleaned]],
    LEFT(tblPassengerNames[[#This Row],[InParenthesesCleaned]], tblPassengerNames[[#This Row],[P_FinalSpacePos]] - 1)
)</f>
        <v>#VALUE!</v>
      </c>
      <c r="P1245" t="str">
        <f>IFERROR(tblPassengerNames[[#This Row],[P_Forenames]], tblPassengerNames[[#This Row],[ConvForenames]])</f>
        <v>John</v>
      </c>
      <c r="Q1245" t="str">
        <f>MID(tblPassengerNames[[#This Row],[Name]], tblPassengerNames[[#This Row],[CommaPos]] + 2, tblPassengerNames[[#This Row],[DotPos]] - tblPassengerNames[[#This Row],[CommaPos]] - 1)</f>
        <v>Mr.</v>
      </c>
      <c r="R1245" t="str">
        <f>LEFT(tblPassengerNames[[#This Row],[Name]], tblPassengerNames[[#This Row],[CommaPos]] - 1)</f>
        <v>Thomas</v>
      </c>
    </row>
    <row r="1246" spans="2:18" x14ac:dyDescent="0.25">
      <c r="B1246" s="21">
        <v>1244</v>
      </c>
      <c r="C1246" s="21" t="s">
        <v>1378</v>
      </c>
      <c r="D1246" s="21" t="s">
        <v>138</v>
      </c>
      <c r="E1246">
        <f>FIND(",", tblPassengerNames[[#This Row],[Name]])</f>
        <v>7</v>
      </c>
      <c r="F1246">
        <f>FIND(".", tblPassengerNames[[#This Row],[Name]])</f>
        <v>11</v>
      </c>
      <c r="G1246" t="e">
        <f>FIND("(", tblPassengerNames[[#This Row],[Name]])</f>
        <v>#VALUE!</v>
      </c>
      <c r="H1246" t="e">
        <f>FIND(")", tblPassengerNames[[#This Row],[Name]])</f>
        <v>#VALUE!</v>
      </c>
      <c r="I1246">
        <f>IFERROR(tblPassengerNames[[#This Row],[OpenParPos]] - 2, LEN(tblPassengerNames[[#This Row],[Name]]))</f>
        <v>19</v>
      </c>
      <c r="J1246" t="str">
        <f>MID(tblPassengerNames[[#This Row],[Name]], tblPassengerNames[[#This Row],[DotPos]] + 2, tblPassengerNames[[#This Row],[EndOfConvFNPos]] - tblPassengerNames[[#This Row],[DotPos]] - 1)</f>
        <v>Tannous</v>
      </c>
      <c r="K1246" t="e">
        <f>MID(tblPassengerNames[[#This Row],[Name]], tblPassengerNames[[#This Row],[OpenParPos]] + 1, tblPassengerNames[[#This Row],[CloseParPos]] - tblPassengerNames[[#This Row],[OpenParPos]] - 1)</f>
        <v>#VALUE!</v>
      </c>
      <c r="L1246" t="e">
        <f>IF(AND(LEFT(tblPassengerNames[[#This Row],[InParentheses]], 1) = "'", RIGHT(tblPassengerNames[[#This Row],[InParentheses]], 1) = "'"),
    #VALUE!,
    tblPassengerNames[[#This Row],[InParentheses]]
)</f>
        <v>#VALUE!</v>
      </c>
      <c r="M1246" t="e">
        <f>LEN(tblPassengerNames[[#This Row],[InParenthesesCleaned]]) - LEN(SUBSTITUTE(tblPassengerNames[[#This Row],[InParenthesesCleaned]], " ", ""))</f>
        <v>#VALUE!</v>
      </c>
      <c r="N1246" t="e">
        <f>FIND("@", SUBSTITUTE(tblPassengerNames[[#This Row],[InParenthesesCleaned]], " ", "@", tblPassengerNames[[#This Row],[P_NSpaces]]))</f>
        <v>#VALUE!</v>
      </c>
      <c r="O1246" t="e">
        <f>IF(tblPassengerNames[[#This Row],[P_NSpaces]] = 0,
    tblPassengerNames[[#This Row],[InParenthesesCleaned]],
    LEFT(tblPassengerNames[[#This Row],[InParenthesesCleaned]], tblPassengerNames[[#This Row],[P_FinalSpacePos]] - 1)
)</f>
        <v>#VALUE!</v>
      </c>
      <c r="P1246" t="str">
        <f>IFERROR(tblPassengerNames[[#This Row],[P_Forenames]], tblPassengerNames[[#This Row],[ConvForenames]])</f>
        <v>Tannous</v>
      </c>
      <c r="Q1246" t="str">
        <f>MID(tblPassengerNames[[#This Row],[Name]], tblPassengerNames[[#This Row],[CommaPos]] + 2, tblPassengerNames[[#This Row],[DotPos]] - tblPassengerNames[[#This Row],[CommaPos]] - 1)</f>
        <v>Mr.</v>
      </c>
      <c r="R1246" t="str">
        <f>LEFT(tblPassengerNames[[#This Row],[Name]], tblPassengerNames[[#This Row],[CommaPos]] - 1)</f>
        <v>Thomas</v>
      </c>
    </row>
    <row r="1247" spans="2:18" x14ac:dyDescent="0.25">
      <c r="B1247" s="21">
        <v>1245</v>
      </c>
      <c r="C1247" s="21" t="s">
        <v>1379</v>
      </c>
      <c r="D1247" s="21" t="s">
        <v>136</v>
      </c>
      <c r="E1247">
        <f>FIND(",", tblPassengerNames[[#This Row],[Name]])</f>
        <v>7</v>
      </c>
      <c r="F1247">
        <f>FIND(".", tblPassengerNames[[#This Row],[Name]])</f>
        <v>12</v>
      </c>
      <c r="G1247">
        <f>FIND("(", tblPassengerNames[[#This Row],[Name]])</f>
        <v>24</v>
      </c>
      <c r="H1247">
        <f>FIND(")", tblPassengerNames[[#This Row],[Name]])</f>
        <v>41</v>
      </c>
      <c r="I1247">
        <f>IFERROR(tblPassengerNames[[#This Row],[OpenParPos]] - 2, LEN(tblPassengerNames[[#This Row],[Name]]))</f>
        <v>22</v>
      </c>
      <c r="J1247" t="str">
        <f>MID(tblPassengerNames[[#This Row],[Name]], tblPassengerNames[[#This Row],[DotPos]] + 2, tblPassengerNames[[#This Row],[EndOfConvFNPos]] - tblPassengerNames[[#This Row],[DotPos]] - 1)</f>
        <v>Alexander</v>
      </c>
      <c r="K1247" t="str">
        <f>MID(tblPassengerNames[[#This Row],[Name]], tblPassengerNames[[#This Row],[OpenParPos]] + 1, tblPassengerNames[[#This Row],[CloseParPos]] - tblPassengerNames[[#This Row],[OpenParPos]] - 1)</f>
        <v>Thamine 'Thelma'</v>
      </c>
      <c r="L1247" t="str">
        <f>IF(AND(LEFT(tblPassengerNames[[#This Row],[InParentheses]], 1) = "'", RIGHT(tblPassengerNames[[#This Row],[InParentheses]], 1) = "'"),
    #VALUE!,
    tblPassengerNames[[#This Row],[InParentheses]]
)</f>
        <v>Thamine 'Thelma'</v>
      </c>
      <c r="M1247">
        <f>LEN(tblPassengerNames[[#This Row],[InParenthesesCleaned]]) - LEN(SUBSTITUTE(tblPassengerNames[[#This Row],[InParenthesesCleaned]], " ", ""))</f>
        <v>1</v>
      </c>
      <c r="N1247">
        <f>FIND("@", SUBSTITUTE(tblPassengerNames[[#This Row],[InParenthesesCleaned]], " ", "@", tblPassengerNames[[#This Row],[P_NSpaces]]))</f>
        <v>8</v>
      </c>
      <c r="O1247" t="str">
        <f>IF(tblPassengerNames[[#This Row],[P_NSpaces]] = 0,
    tblPassengerNames[[#This Row],[InParenthesesCleaned]],
    LEFT(tblPassengerNames[[#This Row],[InParenthesesCleaned]], tblPassengerNames[[#This Row],[P_FinalSpacePos]] - 1)
)</f>
        <v>Thamine</v>
      </c>
      <c r="P1247" t="str">
        <f>IFERROR(tblPassengerNames[[#This Row],[P_Forenames]], tblPassengerNames[[#This Row],[ConvForenames]])</f>
        <v>Thamine</v>
      </c>
      <c r="Q1247" t="str">
        <f>MID(tblPassengerNames[[#This Row],[Name]], tblPassengerNames[[#This Row],[CommaPos]] + 2, tblPassengerNames[[#This Row],[DotPos]] - tblPassengerNames[[#This Row],[CommaPos]] - 1)</f>
        <v>Mrs.</v>
      </c>
      <c r="R1247" t="str">
        <f>LEFT(tblPassengerNames[[#This Row],[Name]], tblPassengerNames[[#This Row],[CommaPos]] - 1)</f>
        <v>Thomas</v>
      </c>
    </row>
    <row r="1248" spans="2:18" x14ac:dyDescent="0.25">
      <c r="B1248" s="21">
        <v>1246</v>
      </c>
      <c r="C1248" s="21" t="s">
        <v>1380</v>
      </c>
      <c r="D1248" s="21" t="s">
        <v>138</v>
      </c>
      <c r="E1248">
        <f>FIND(",", tblPassengerNames[[#This Row],[Name]])</f>
        <v>8</v>
      </c>
      <c r="F1248">
        <f>FIND(".", tblPassengerNames[[#This Row],[Name]])</f>
        <v>12</v>
      </c>
      <c r="G1248" t="e">
        <f>FIND("(", tblPassengerNames[[#This Row],[Name]])</f>
        <v>#VALUE!</v>
      </c>
      <c r="H1248" t="e">
        <f>FIND(")", tblPassengerNames[[#This Row],[Name]])</f>
        <v>#VALUE!</v>
      </c>
      <c r="I1248">
        <f>IFERROR(tblPassengerNames[[#This Row],[OpenParPos]] - 2, LEN(tblPassengerNames[[#This Row],[Name]]))</f>
        <v>31</v>
      </c>
      <c r="J1248" t="str">
        <f>MID(tblPassengerNames[[#This Row],[Name]], tblPassengerNames[[#This Row],[DotPos]] + 2, tblPassengerNames[[#This Row],[EndOfConvFNPos]] - tblPassengerNames[[#This Row],[DotPos]] - 1)</f>
        <v>Alexander Morrison</v>
      </c>
      <c r="K1248" t="e">
        <f>MID(tblPassengerNames[[#This Row],[Name]], tblPassengerNames[[#This Row],[OpenParPos]] + 1, tblPassengerNames[[#This Row],[CloseParPos]] - tblPassengerNames[[#This Row],[OpenParPos]] - 1)</f>
        <v>#VALUE!</v>
      </c>
      <c r="L1248" t="e">
        <f>IF(AND(LEFT(tblPassengerNames[[#This Row],[InParentheses]], 1) = "'", RIGHT(tblPassengerNames[[#This Row],[InParentheses]], 1) = "'"),
    #VALUE!,
    tblPassengerNames[[#This Row],[InParentheses]]
)</f>
        <v>#VALUE!</v>
      </c>
      <c r="M1248" t="e">
        <f>LEN(tblPassengerNames[[#This Row],[InParenthesesCleaned]]) - LEN(SUBSTITUTE(tblPassengerNames[[#This Row],[InParenthesesCleaned]], " ", ""))</f>
        <v>#VALUE!</v>
      </c>
      <c r="N1248" t="e">
        <f>FIND("@", SUBSTITUTE(tblPassengerNames[[#This Row],[InParenthesesCleaned]], " ", "@", tblPassengerNames[[#This Row],[P_NSpaces]]))</f>
        <v>#VALUE!</v>
      </c>
      <c r="O1248" t="e">
        <f>IF(tblPassengerNames[[#This Row],[P_NSpaces]] = 0,
    tblPassengerNames[[#This Row],[InParenthesesCleaned]],
    LEFT(tblPassengerNames[[#This Row],[InParenthesesCleaned]], tblPassengerNames[[#This Row],[P_FinalSpacePos]] - 1)
)</f>
        <v>#VALUE!</v>
      </c>
      <c r="P1248" t="str">
        <f>IFERROR(tblPassengerNames[[#This Row],[P_Forenames]], tblPassengerNames[[#This Row],[ConvForenames]])</f>
        <v>Alexander Morrison</v>
      </c>
      <c r="Q1248" t="str">
        <f>MID(tblPassengerNames[[#This Row],[Name]], tblPassengerNames[[#This Row],[CommaPos]] + 2, tblPassengerNames[[#This Row],[DotPos]] - tblPassengerNames[[#This Row],[CommaPos]] - 1)</f>
        <v>Mr.</v>
      </c>
      <c r="R1248" t="str">
        <f>LEFT(tblPassengerNames[[#This Row],[Name]], tblPassengerNames[[#This Row],[CommaPos]] - 1)</f>
        <v>Thomson</v>
      </c>
    </row>
    <row r="1249" spans="2:18" x14ac:dyDescent="0.25">
      <c r="B1249" s="21">
        <v>1247</v>
      </c>
      <c r="C1249" s="21" t="s">
        <v>1381</v>
      </c>
      <c r="D1249" s="21" t="s">
        <v>138</v>
      </c>
      <c r="E1249">
        <f>FIND(",", tblPassengerNames[[#This Row],[Name]])</f>
        <v>13</v>
      </c>
      <c r="F1249">
        <f>FIND(".", tblPassengerNames[[#This Row],[Name]])</f>
        <v>17</v>
      </c>
      <c r="G1249" t="e">
        <f>FIND("(", tblPassengerNames[[#This Row],[Name]])</f>
        <v>#VALUE!</v>
      </c>
      <c r="H1249" t="e">
        <f>FIND(")", tblPassengerNames[[#This Row],[Name]])</f>
        <v>#VALUE!</v>
      </c>
      <c r="I1249">
        <f>IFERROR(tblPassengerNames[[#This Row],[OpenParPos]] - 2, LEN(tblPassengerNames[[#This Row],[Name]]))</f>
        <v>26</v>
      </c>
      <c r="J1249" t="str">
        <f>MID(tblPassengerNames[[#This Row],[Name]], tblPassengerNames[[#This Row],[DotPos]] + 2, tblPassengerNames[[#This Row],[EndOfConvFNPos]] - tblPassengerNames[[#This Row],[DotPos]] - 1)</f>
        <v>Percival</v>
      </c>
      <c r="K1249" t="e">
        <f>MID(tblPassengerNames[[#This Row],[Name]], tblPassengerNames[[#This Row],[OpenParPos]] + 1, tblPassengerNames[[#This Row],[CloseParPos]] - tblPassengerNames[[#This Row],[OpenParPos]] - 1)</f>
        <v>#VALUE!</v>
      </c>
      <c r="L1249" t="e">
        <f>IF(AND(LEFT(tblPassengerNames[[#This Row],[InParentheses]], 1) = "'", RIGHT(tblPassengerNames[[#This Row],[InParentheses]], 1) = "'"),
    #VALUE!,
    tblPassengerNames[[#This Row],[InParentheses]]
)</f>
        <v>#VALUE!</v>
      </c>
      <c r="M1249" t="e">
        <f>LEN(tblPassengerNames[[#This Row],[InParenthesesCleaned]]) - LEN(SUBSTITUTE(tblPassengerNames[[#This Row],[InParenthesesCleaned]], " ", ""))</f>
        <v>#VALUE!</v>
      </c>
      <c r="N1249" t="e">
        <f>FIND("@", SUBSTITUTE(tblPassengerNames[[#This Row],[InParenthesesCleaned]], " ", "@", tblPassengerNames[[#This Row],[P_NSpaces]]))</f>
        <v>#VALUE!</v>
      </c>
      <c r="O1249" t="e">
        <f>IF(tblPassengerNames[[#This Row],[P_NSpaces]] = 0,
    tblPassengerNames[[#This Row],[InParenthesesCleaned]],
    LEFT(tblPassengerNames[[#This Row],[InParenthesesCleaned]], tblPassengerNames[[#This Row],[P_FinalSpacePos]] - 1)
)</f>
        <v>#VALUE!</v>
      </c>
      <c r="P1249" t="str">
        <f>IFERROR(tblPassengerNames[[#This Row],[P_Forenames]], tblPassengerNames[[#This Row],[ConvForenames]])</f>
        <v>Percival</v>
      </c>
      <c r="Q1249" t="str">
        <f>MID(tblPassengerNames[[#This Row],[Name]], tblPassengerNames[[#This Row],[CommaPos]] + 2, tblPassengerNames[[#This Row],[DotPos]] - tblPassengerNames[[#This Row],[CommaPos]] - 1)</f>
        <v>Mr.</v>
      </c>
      <c r="R1249" t="str">
        <f>LEFT(tblPassengerNames[[#This Row],[Name]], tblPassengerNames[[#This Row],[CommaPos]] - 1)</f>
        <v>Thorneycroft</v>
      </c>
    </row>
    <row r="1250" spans="2:18" x14ac:dyDescent="0.25">
      <c r="B1250" s="21">
        <v>1248</v>
      </c>
      <c r="C1250" s="21" t="s">
        <v>1382</v>
      </c>
      <c r="D1250" s="21" t="s">
        <v>136</v>
      </c>
      <c r="E1250">
        <f>FIND(",", tblPassengerNames[[#This Row],[Name]])</f>
        <v>13</v>
      </c>
      <c r="F1250">
        <f>FIND(".", tblPassengerNames[[#This Row],[Name]])</f>
        <v>18</v>
      </c>
      <c r="G1250">
        <f>FIND("(", tblPassengerNames[[#This Row],[Name]])</f>
        <v>29</v>
      </c>
      <c r="H1250">
        <f>FIND(")", tblPassengerNames[[#This Row],[Name]])</f>
        <v>49</v>
      </c>
      <c r="I1250">
        <f>IFERROR(tblPassengerNames[[#This Row],[OpenParPos]] - 2, LEN(tblPassengerNames[[#This Row],[Name]]))</f>
        <v>27</v>
      </c>
      <c r="J1250" t="str">
        <f>MID(tblPassengerNames[[#This Row],[Name]], tblPassengerNames[[#This Row],[DotPos]] + 2, tblPassengerNames[[#This Row],[EndOfConvFNPos]] - tblPassengerNames[[#This Row],[DotPos]] - 1)</f>
        <v>Percival</v>
      </c>
      <c r="K1250" t="str">
        <f>MID(tblPassengerNames[[#This Row],[Name]], tblPassengerNames[[#This Row],[OpenParPos]] + 1, tblPassengerNames[[#This Row],[CloseParPos]] - tblPassengerNames[[#This Row],[OpenParPos]] - 1)</f>
        <v>Florence Kate White</v>
      </c>
      <c r="L1250" t="str">
        <f>IF(AND(LEFT(tblPassengerNames[[#This Row],[InParentheses]], 1) = "'", RIGHT(tblPassengerNames[[#This Row],[InParentheses]], 1) = "'"),
    #VALUE!,
    tblPassengerNames[[#This Row],[InParentheses]]
)</f>
        <v>Florence Kate White</v>
      </c>
      <c r="M1250">
        <f>LEN(tblPassengerNames[[#This Row],[InParenthesesCleaned]]) - LEN(SUBSTITUTE(tblPassengerNames[[#This Row],[InParenthesesCleaned]], " ", ""))</f>
        <v>2</v>
      </c>
      <c r="N1250">
        <f>FIND("@", SUBSTITUTE(tblPassengerNames[[#This Row],[InParenthesesCleaned]], " ", "@", tblPassengerNames[[#This Row],[P_NSpaces]]))</f>
        <v>14</v>
      </c>
      <c r="O1250" t="str">
        <f>IF(tblPassengerNames[[#This Row],[P_NSpaces]] = 0,
    tblPassengerNames[[#This Row],[InParenthesesCleaned]],
    LEFT(tblPassengerNames[[#This Row],[InParenthesesCleaned]], tblPassengerNames[[#This Row],[P_FinalSpacePos]] - 1)
)</f>
        <v>Florence Kate</v>
      </c>
      <c r="P1250" t="str">
        <f>IFERROR(tblPassengerNames[[#This Row],[P_Forenames]], tblPassengerNames[[#This Row],[ConvForenames]])</f>
        <v>Florence Kate</v>
      </c>
      <c r="Q1250" t="str">
        <f>MID(tblPassengerNames[[#This Row],[Name]], tblPassengerNames[[#This Row],[CommaPos]] + 2, tblPassengerNames[[#This Row],[DotPos]] - tblPassengerNames[[#This Row],[CommaPos]] - 1)</f>
        <v>Mrs.</v>
      </c>
      <c r="R1250" t="str">
        <f>LEFT(tblPassengerNames[[#This Row],[Name]], tblPassengerNames[[#This Row],[CommaPos]] - 1)</f>
        <v>Thorneycroft</v>
      </c>
    </row>
    <row r="1251" spans="2:18" x14ac:dyDescent="0.25">
      <c r="B1251" s="21">
        <v>1249</v>
      </c>
      <c r="C1251" s="21" t="s">
        <v>1383</v>
      </c>
      <c r="D1251" s="21" t="s">
        <v>138</v>
      </c>
      <c r="E1251">
        <f>FIND(",", tblPassengerNames[[#This Row],[Name]])</f>
        <v>9</v>
      </c>
      <c r="F1251">
        <f>FIND(".", tblPassengerNames[[#This Row],[Name]])</f>
        <v>13</v>
      </c>
      <c r="G1251" t="e">
        <f>FIND("(", tblPassengerNames[[#This Row],[Name]])</f>
        <v>#VALUE!</v>
      </c>
      <c r="H1251" t="e">
        <f>FIND(")", tblPassengerNames[[#This Row],[Name]])</f>
        <v>#VALUE!</v>
      </c>
      <c r="I1251">
        <f>IFERROR(tblPassengerNames[[#This Row],[OpenParPos]] - 2, LEN(tblPassengerNames[[#This Row],[Name]]))</f>
        <v>18</v>
      </c>
      <c r="J1251" t="str">
        <f>MID(tblPassengerNames[[#This Row],[Name]], tblPassengerNames[[#This Row],[DotPos]] + 2, tblPassengerNames[[#This Row],[EndOfConvFNPos]] - tblPassengerNames[[#This Row],[DotPos]] - 1)</f>
        <v>Juho</v>
      </c>
      <c r="K1251" t="e">
        <f>MID(tblPassengerNames[[#This Row],[Name]], tblPassengerNames[[#This Row],[OpenParPos]] + 1, tblPassengerNames[[#This Row],[CloseParPos]] - tblPassengerNames[[#This Row],[OpenParPos]] - 1)</f>
        <v>#VALUE!</v>
      </c>
      <c r="L1251" t="e">
        <f>IF(AND(LEFT(tblPassengerNames[[#This Row],[InParentheses]], 1) = "'", RIGHT(tblPassengerNames[[#This Row],[InParentheses]], 1) = "'"),
    #VALUE!,
    tblPassengerNames[[#This Row],[InParentheses]]
)</f>
        <v>#VALUE!</v>
      </c>
      <c r="M1251" t="e">
        <f>LEN(tblPassengerNames[[#This Row],[InParenthesesCleaned]]) - LEN(SUBSTITUTE(tblPassengerNames[[#This Row],[InParenthesesCleaned]], " ", ""))</f>
        <v>#VALUE!</v>
      </c>
      <c r="N1251" t="e">
        <f>FIND("@", SUBSTITUTE(tblPassengerNames[[#This Row],[InParenthesesCleaned]], " ", "@", tblPassengerNames[[#This Row],[P_NSpaces]]))</f>
        <v>#VALUE!</v>
      </c>
      <c r="O1251" t="e">
        <f>IF(tblPassengerNames[[#This Row],[P_NSpaces]] = 0,
    tblPassengerNames[[#This Row],[InParenthesesCleaned]],
    LEFT(tblPassengerNames[[#This Row],[InParenthesesCleaned]], tblPassengerNames[[#This Row],[P_FinalSpacePos]] - 1)
)</f>
        <v>#VALUE!</v>
      </c>
      <c r="P1251" t="str">
        <f>IFERROR(tblPassengerNames[[#This Row],[P_Forenames]], tblPassengerNames[[#This Row],[ConvForenames]])</f>
        <v>Juho</v>
      </c>
      <c r="Q1251" t="str">
        <f>MID(tblPassengerNames[[#This Row],[Name]], tblPassengerNames[[#This Row],[CommaPos]] + 2, tblPassengerNames[[#This Row],[DotPos]] - tblPassengerNames[[#This Row],[CommaPos]] - 1)</f>
        <v>Mr.</v>
      </c>
      <c r="R1251" t="str">
        <f>LEFT(tblPassengerNames[[#This Row],[Name]], tblPassengerNames[[#This Row],[CommaPos]] - 1)</f>
        <v>Tikkanen</v>
      </c>
    </row>
    <row r="1252" spans="2:18" x14ac:dyDescent="0.25">
      <c r="B1252" s="21">
        <v>1250</v>
      </c>
      <c r="C1252" s="21" t="s">
        <v>1384</v>
      </c>
      <c r="D1252" s="21" t="s">
        <v>138</v>
      </c>
      <c r="E1252">
        <f>FIND(",", tblPassengerNames[[#This Row],[Name]])</f>
        <v>6</v>
      </c>
      <c r="F1252">
        <f>FIND(".", tblPassengerNames[[#This Row],[Name]])</f>
        <v>10</v>
      </c>
      <c r="G1252" t="e">
        <f>FIND("(", tblPassengerNames[[#This Row],[Name]])</f>
        <v>#VALUE!</v>
      </c>
      <c r="H1252" t="e">
        <f>FIND(")", tblPassengerNames[[#This Row],[Name]])</f>
        <v>#VALUE!</v>
      </c>
      <c r="I1252">
        <f>IFERROR(tblPassengerNames[[#This Row],[OpenParPos]] - 2, LEN(tblPassengerNames[[#This Row],[Name]]))</f>
        <v>16</v>
      </c>
      <c r="J1252" t="str">
        <f>MID(tblPassengerNames[[#This Row],[Name]], tblPassengerNames[[#This Row],[DotPos]] + 2, tblPassengerNames[[#This Row],[EndOfConvFNPos]] - tblPassengerNames[[#This Row],[DotPos]] - 1)</f>
        <v>Roger</v>
      </c>
      <c r="K1252" t="e">
        <f>MID(tblPassengerNames[[#This Row],[Name]], tblPassengerNames[[#This Row],[OpenParPos]] + 1, tblPassengerNames[[#This Row],[CloseParPos]] - tblPassengerNames[[#This Row],[OpenParPos]] - 1)</f>
        <v>#VALUE!</v>
      </c>
      <c r="L1252" t="e">
        <f>IF(AND(LEFT(tblPassengerNames[[#This Row],[InParentheses]], 1) = "'", RIGHT(tblPassengerNames[[#This Row],[InParentheses]], 1) = "'"),
    #VALUE!,
    tblPassengerNames[[#This Row],[InParentheses]]
)</f>
        <v>#VALUE!</v>
      </c>
      <c r="M1252" t="e">
        <f>LEN(tblPassengerNames[[#This Row],[InParenthesesCleaned]]) - LEN(SUBSTITUTE(tblPassengerNames[[#This Row],[InParenthesesCleaned]], " ", ""))</f>
        <v>#VALUE!</v>
      </c>
      <c r="N1252" t="e">
        <f>FIND("@", SUBSTITUTE(tblPassengerNames[[#This Row],[InParenthesesCleaned]], " ", "@", tblPassengerNames[[#This Row],[P_NSpaces]]))</f>
        <v>#VALUE!</v>
      </c>
      <c r="O1252" t="e">
        <f>IF(tblPassengerNames[[#This Row],[P_NSpaces]] = 0,
    tblPassengerNames[[#This Row],[InParenthesesCleaned]],
    LEFT(tblPassengerNames[[#This Row],[InParenthesesCleaned]], tblPassengerNames[[#This Row],[P_FinalSpacePos]] - 1)
)</f>
        <v>#VALUE!</v>
      </c>
      <c r="P1252" t="str">
        <f>IFERROR(tblPassengerNames[[#This Row],[P_Forenames]], tblPassengerNames[[#This Row],[ConvForenames]])</f>
        <v>Roger</v>
      </c>
      <c r="Q1252" t="str">
        <f>MID(tblPassengerNames[[#This Row],[Name]], tblPassengerNames[[#This Row],[CommaPos]] + 2, tblPassengerNames[[#This Row],[DotPos]] - tblPassengerNames[[#This Row],[CommaPos]] - 1)</f>
        <v>Mr.</v>
      </c>
      <c r="R1252" t="str">
        <f>LEFT(tblPassengerNames[[#This Row],[Name]], tblPassengerNames[[#This Row],[CommaPos]] - 1)</f>
        <v>Tobin</v>
      </c>
    </row>
    <row r="1253" spans="2:18" x14ac:dyDescent="0.25">
      <c r="B1253" s="21">
        <v>1251</v>
      </c>
      <c r="C1253" s="21" t="s">
        <v>1385</v>
      </c>
      <c r="D1253" s="21" t="s">
        <v>138</v>
      </c>
      <c r="E1253">
        <f>FIND(",", tblPassengerNames[[#This Row],[Name]])</f>
        <v>9</v>
      </c>
      <c r="F1253">
        <f>FIND(".", tblPassengerNames[[#This Row],[Name]])</f>
        <v>13</v>
      </c>
      <c r="G1253" t="e">
        <f>FIND("(", tblPassengerNames[[#This Row],[Name]])</f>
        <v>#VALUE!</v>
      </c>
      <c r="H1253" t="e">
        <f>FIND(")", tblPassengerNames[[#This Row],[Name]])</f>
        <v>#VALUE!</v>
      </c>
      <c r="I1253">
        <f>IFERROR(tblPassengerNames[[#This Row],[OpenParPos]] - 2, LEN(tblPassengerNames[[#This Row],[Name]]))</f>
        <v>19</v>
      </c>
      <c r="J1253" t="str">
        <f>MID(tblPassengerNames[[#This Row],[Name]], tblPassengerNames[[#This Row],[DotPos]] + 2, tblPassengerNames[[#This Row],[EndOfConvFNPos]] - tblPassengerNames[[#This Row],[DotPos]] - 1)</f>
        <v>Lalio</v>
      </c>
      <c r="K1253" t="e">
        <f>MID(tblPassengerNames[[#This Row],[Name]], tblPassengerNames[[#This Row],[OpenParPos]] + 1, tblPassengerNames[[#This Row],[CloseParPos]] - tblPassengerNames[[#This Row],[OpenParPos]] - 1)</f>
        <v>#VALUE!</v>
      </c>
      <c r="L1253" t="e">
        <f>IF(AND(LEFT(tblPassengerNames[[#This Row],[InParentheses]], 1) = "'", RIGHT(tblPassengerNames[[#This Row],[InParentheses]], 1) = "'"),
    #VALUE!,
    tblPassengerNames[[#This Row],[InParentheses]]
)</f>
        <v>#VALUE!</v>
      </c>
      <c r="M1253" t="e">
        <f>LEN(tblPassengerNames[[#This Row],[InParenthesesCleaned]]) - LEN(SUBSTITUTE(tblPassengerNames[[#This Row],[InParenthesesCleaned]], " ", ""))</f>
        <v>#VALUE!</v>
      </c>
      <c r="N1253" t="e">
        <f>FIND("@", SUBSTITUTE(tblPassengerNames[[#This Row],[InParenthesesCleaned]], " ", "@", tblPassengerNames[[#This Row],[P_NSpaces]]))</f>
        <v>#VALUE!</v>
      </c>
      <c r="O1253" t="e">
        <f>IF(tblPassengerNames[[#This Row],[P_NSpaces]] = 0,
    tblPassengerNames[[#This Row],[InParenthesesCleaned]],
    LEFT(tblPassengerNames[[#This Row],[InParenthesesCleaned]], tblPassengerNames[[#This Row],[P_FinalSpacePos]] - 1)
)</f>
        <v>#VALUE!</v>
      </c>
      <c r="P1253" t="str">
        <f>IFERROR(tblPassengerNames[[#This Row],[P_Forenames]], tblPassengerNames[[#This Row],[ConvForenames]])</f>
        <v>Lalio</v>
      </c>
      <c r="Q1253" t="str">
        <f>MID(tblPassengerNames[[#This Row],[Name]], tblPassengerNames[[#This Row],[CommaPos]] + 2, tblPassengerNames[[#This Row],[DotPos]] - tblPassengerNames[[#This Row],[CommaPos]] - 1)</f>
        <v>Mr.</v>
      </c>
      <c r="R1253" t="str">
        <f>LEFT(tblPassengerNames[[#This Row],[Name]], tblPassengerNames[[#This Row],[CommaPos]] - 1)</f>
        <v>Todoroff</v>
      </c>
    </row>
    <row r="1254" spans="2:18" x14ac:dyDescent="0.25">
      <c r="B1254" s="21">
        <v>1252</v>
      </c>
      <c r="C1254" s="21" t="s">
        <v>1386</v>
      </c>
      <c r="D1254" s="21" t="s">
        <v>138</v>
      </c>
      <c r="E1254">
        <f>FIND(",", tblPassengerNames[[#This Row],[Name]])</f>
        <v>7</v>
      </c>
      <c r="F1254">
        <f>FIND(".", tblPassengerNames[[#This Row],[Name]])</f>
        <v>11</v>
      </c>
      <c r="G1254" t="e">
        <f>FIND("(", tblPassengerNames[[#This Row],[Name]])</f>
        <v>#VALUE!</v>
      </c>
      <c r="H1254" t="e">
        <f>FIND(")", tblPassengerNames[[#This Row],[Name]])</f>
        <v>#VALUE!</v>
      </c>
      <c r="I1254">
        <f>IFERROR(tblPassengerNames[[#This Row],[OpenParPos]] - 2, LEN(tblPassengerNames[[#This Row],[Name]]))</f>
        <v>26</v>
      </c>
      <c r="J1254" t="str">
        <f>MID(tblPassengerNames[[#This Row],[Name]], tblPassengerNames[[#This Row],[DotPos]] + 2, tblPassengerNames[[#This Row],[EndOfConvFNPos]] - tblPassengerNames[[#This Row],[DotPos]] - 1)</f>
        <v>Ernest Portage</v>
      </c>
      <c r="K1254" t="e">
        <f>MID(tblPassengerNames[[#This Row],[Name]], tblPassengerNames[[#This Row],[OpenParPos]] + 1, tblPassengerNames[[#This Row],[CloseParPos]] - tblPassengerNames[[#This Row],[OpenParPos]] - 1)</f>
        <v>#VALUE!</v>
      </c>
      <c r="L1254" t="e">
        <f>IF(AND(LEFT(tblPassengerNames[[#This Row],[InParentheses]], 1) = "'", RIGHT(tblPassengerNames[[#This Row],[InParentheses]], 1) = "'"),
    #VALUE!,
    tblPassengerNames[[#This Row],[InParentheses]]
)</f>
        <v>#VALUE!</v>
      </c>
      <c r="M1254" t="e">
        <f>LEN(tblPassengerNames[[#This Row],[InParenthesesCleaned]]) - LEN(SUBSTITUTE(tblPassengerNames[[#This Row],[InParenthesesCleaned]], " ", ""))</f>
        <v>#VALUE!</v>
      </c>
      <c r="N1254" t="e">
        <f>FIND("@", SUBSTITUTE(tblPassengerNames[[#This Row],[InParenthesesCleaned]], " ", "@", tblPassengerNames[[#This Row],[P_NSpaces]]))</f>
        <v>#VALUE!</v>
      </c>
      <c r="O1254" t="e">
        <f>IF(tblPassengerNames[[#This Row],[P_NSpaces]] = 0,
    tblPassengerNames[[#This Row],[InParenthesesCleaned]],
    LEFT(tblPassengerNames[[#This Row],[InParenthesesCleaned]], tblPassengerNames[[#This Row],[P_FinalSpacePos]] - 1)
)</f>
        <v>#VALUE!</v>
      </c>
      <c r="P1254" t="str">
        <f>IFERROR(tblPassengerNames[[#This Row],[P_Forenames]], tblPassengerNames[[#This Row],[ConvForenames]])</f>
        <v>Ernest Portage</v>
      </c>
      <c r="Q1254" t="str">
        <f>MID(tblPassengerNames[[#This Row],[Name]], tblPassengerNames[[#This Row],[CommaPos]] + 2, tblPassengerNames[[#This Row],[DotPos]] - tblPassengerNames[[#This Row],[CommaPos]] - 1)</f>
        <v>Mr.</v>
      </c>
      <c r="R1254" t="str">
        <f>LEFT(tblPassengerNames[[#This Row],[Name]], tblPassengerNames[[#This Row],[CommaPos]] - 1)</f>
        <v>Tomlin</v>
      </c>
    </row>
    <row r="1255" spans="2:18" x14ac:dyDescent="0.25">
      <c r="B1255" s="21">
        <v>1253</v>
      </c>
      <c r="C1255" s="21" t="s">
        <v>1387</v>
      </c>
      <c r="D1255" s="21" t="s">
        <v>138</v>
      </c>
      <c r="E1255">
        <f>FIND(",", tblPassengerNames[[#This Row],[Name]])</f>
        <v>7</v>
      </c>
      <c r="F1255">
        <f>FIND(".", tblPassengerNames[[#This Row],[Name]])</f>
        <v>11</v>
      </c>
      <c r="G1255" t="e">
        <f>FIND("(", tblPassengerNames[[#This Row],[Name]])</f>
        <v>#VALUE!</v>
      </c>
      <c r="H1255" t="e">
        <f>FIND(")", tblPassengerNames[[#This Row],[Name]])</f>
        <v>#VALUE!</v>
      </c>
      <c r="I1255">
        <f>IFERROR(tblPassengerNames[[#This Row],[OpenParPos]] - 2, LEN(tblPassengerNames[[#This Row],[Name]]))</f>
        <v>25</v>
      </c>
      <c r="J1255" t="str">
        <f>MID(tblPassengerNames[[#This Row],[Name]], tblPassengerNames[[#This Row],[DotPos]] + 2, tblPassengerNames[[#This Row],[EndOfConvFNPos]] - tblPassengerNames[[#This Row],[DotPos]] - 1)</f>
        <v>Ernst William</v>
      </c>
      <c r="K1255" t="e">
        <f>MID(tblPassengerNames[[#This Row],[Name]], tblPassengerNames[[#This Row],[OpenParPos]] + 1, tblPassengerNames[[#This Row],[CloseParPos]] - tblPassengerNames[[#This Row],[OpenParPos]] - 1)</f>
        <v>#VALUE!</v>
      </c>
      <c r="L1255" t="e">
        <f>IF(AND(LEFT(tblPassengerNames[[#This Row],[InParentheses]], 1) = "'", RIGHT(tblPassengerNames[[#This Row],[InParentheses]], 1) = "'"),
    #VALUE!,
    tblPassengerNames[[#This Row],[InParentheses]]
)</f>
        <v>#VALUE!</v>
      </c>
      <c r="M1255" t="e">
        <f>LEN(tblPassengerNames[[#This Row],[InParenthesesCleaned]]) - LEN(SUBSTITUTE(tblPassengerNames[[#This Row],[InParenthesesCleaned]], " ", ""))</f>
        <v>#VALUE!</v>
      </c>
      <c r="N1255" t="e">
        <f>FIND("@", SUBSTITUTE(tblPassengerNames[[#This Row],[InParenthesesCleaned]], " ", "@", tblPassengerNames[[#This Row],[P_NSpaces]]))</f>
        <v>#VALUE!</v>
      </c>
      <c r="O1255" t="e">
        <f>IF(tblPassengerNames[[#This Row],[P_NSpaces]] = 0,
    tblPassengerNames[[#This Row],[InParenthesesCleaned]],
    LEFT(tblPassengerNames[[#This Row],[InParenthesesCleaned]], tblPassengerNames[[#This Row],[P_FinalSpacePos]] - 1)
)</f>
        <v>#VALUE!</v>
      </c>
      <c r="P1255" t="str">
        <f>IFERROR(tblPassengerNames[[#This Row],[P_Forenames]], tblPassengerNames[[#This Row],[ConvForenames]])</f>
        <v>Ernst William</v>
      </c>
      <c r="Q1255" t="str">
        <f>MID(tblPassengerNames[[#This Row],[Name]], tblPassengerNames[[#This Row],[CommaPos]] + 2, tblPassengerNames[[#This Row],[DotPos]] - tblPassengerNames[[#This Row],[CommaPos]] - 1)</f>
        <v>Mr.</v>
      </c>
      <c r="R1255" t="str">
        <f>LEFT(tblPassengerNames[[#This Row],[Name]], tblPassengerNames[[#This Row],[CommaPos]] - 1)</f>
        <v>Torber</v>
      </c>
    </row>
    <row r="1256" spans="2:18" x14ac:dyDescent="0.25">
      <c r="B1256" s="21">
        <v>1254</v>
      </c>
      <c r="C1256" s="21" t="s">
        <v>1388</v>
      </c>
      <c r="D1256" s="21" t="s">
        <v>138</v>
      </c>
      <c r="E1256">
        <f>FIND(",", tblPassengerNames[[#This Row],[Name]])</f>
        <v>6</v>
      </c>
      <c r="F1256">
        <f>FIND(".", tblPassengerNames[[#This Row],[Name]])</f>
        <v>10</v>
      </c>
      <c r="G1256" t="e">
        <f>FIND("(", tblPassengerNames[[#This Row],[Name]])</f>
        <v>#VALUE!</v>
      </c>
      <c r="H1256" t="e">
        <f>FIND(")", tblPassengerNames[[#This Row],[Name]])</f>
        <v>#VALUE!</v>
      </c>
      <c r="I1256">
        <f>IFERROR(tblPassengerNames[[#This Row],[OpenParPos]] - 2, LEN(tblPassengerNames[[#This Row],[Name]]))</f>
        <v>16</v>
      </c>
      <c r="J1256" t="str">
        <f>MID(tblPassengerNames[[#This Row],[Name]], tblPassengerNames[[#This Row],[DotPos]] + 2, tblPassengerNames[[#This Row],[EndOfConvFNPos]] - tblPassengerNames[[#This Row],[DotPos]] - 1)</f>
        <v>Assad</v>
      </c>
      <c r="K1256" t="e">
        <f>MID(tblPassengerNames[[#This Row],[Name]], tblPassengerNames[[#This Row],[OpenParPos]] + 1, tblPassengerNames[[#This Row],[CloseParPos]] - tblPassengerNames[[#This Row],[OpenParPos]] - 1)</f>
        <v>#VALUE!</v>
      </c>
      <c r="L1256" t="e">
        <f>IF(AND(LEFT(tblPassengerNames[[#This Row],[InParentheses]], 1) = "'", RIGHT(tblPassengerNames[[#This Row],[InParentheses]], 1) = "'"),
    #VALUE!,
    tblPassengerNames[[#This Row],[InParentheses]]
)</f>
        <v>#VALUE!</v>
      </c>
      <c r="M1256" t="e">
        <f>LEN(tblPassengerNames[[#This Row],[InParenthesesCleaned]]) - LEN(SUBSTITUTE(tblPassengerNames[[#This Row],[InParenthesesCleaned]], " ", ""))</f>
        <v>#VALUE!</v>
      </c>
      <c r="N1256" t="e">
        <f>FIND("@", SUBSTITUTE(tblPassengerNames[[#This Row],[InParenthesesCleaned]], " ", "@", tblPassengerNames[[#This Row],[P_NSpaces]]))</f>
        <v>#VALUE!</v>
      </c>
      <c r="O1256" t="e">
        <f>IF(tblPassengerNames[[#This Row],[P_NSpaces]] = 0,
    tblPassengerNames[[#This Row],[InParenthesesCleaned]],
    LEFT(tblPassengerNames[[#This Row],[InParenthesesCleaned]], tblPassengerNames[[#This Row],[P_FinalSpacePos]] - 1)
)</f>
        <v>#VALUE!</v>
      </c>
      <c r="P1256" t="str">
        <f>IFERROR(tblPassengerNames[[#This Row],[P_Forenames]], tblPassengerNames[[#This Row],[ConvForenames]])</f>
        <v>Assad</v>
      </c>
      <c r="Q1256" t="str">
        <f>MID(tblPassengerNames[[#This Row],[Name]], tblPassengerNames[[#This Row],[CommaPos]] + 2, tblPassengerNames[[#This Row],[DotPos]] - tblPassengerNames[[#This Row],[CommaPos]] - 1)</f>
        <v>Mr.</v>
      </c>
      <c r="R1256" t="str">
        <f>LEFT(tblPassengerNames[[#This Row],[Name]], tblPassengerNames[[#This Row],[CommaPos]] - 1)</f>
        <v>Torfa</v>
      </c>
    </row>
    <row r="1257" spans="2:18" x14ac:dyDescent="0.25">
      <c r="B1257" s="21">
        <v>1255</v>
      </c>
      <c r="C1257" s="21" t="s">
        <v>1389</v>
      </c>
      <c r="D1257" s="21" t="s">
        <v>138</v>
      </c>
      <c r="E1257">
        <f>FIND(",", tblPassengerNames[[#This Row],[Name]])</f>
        <v>10</v>
      </c>
      <c r="F1257">
        <f>FIND(".", tblPassengerNames[[#This Row],[Name]])</f>
        <v>14</v>
      </c>
      <c r="G1257" t="e">
        <f>FIND("(", tblPassengerNames[[#This Row],[Name]])</f>
        <v>#VALUE!</v>
      </c>
      <c r="H1257" t="e">
        <f>FIND(")", tblPassengerNames[[#This Row],[Name]])</f>
        <v>#VALUE!</v>
      </c>
      <c r="I1257">
        <f>IFERROR(tblPassengerNames[[#This Row],[OpenParPos]] - 2, LEN(tblPassengerNames[[#This Row],[Name]]))</f>
        <v>28</v>
      </c>
      <c r="J1257" t="str">
        <f>MID(tblPassengerNames[[#This Row],[Name]], tblPassengerNames[[#This Row],[DotPos]] + 2, tblPassengerNames[[#This Row],[EndOfConvFNPos]] - tblPassengerNames[[#This Row],[DotPos]] - 1)</f>
        <v>William Henry</v>
      </c>
      <c r="K1257" t="e">
        <f>MID(tblPassengerNames[[#This Row],[Name]], tblPassengerNames[[#This Row],[OpenParPos]] + 1, tblPassengerNames[[#This Row],[CloseParPos]] - tblPassengerNames[[#This Row],[OpenParPos]] - 1)</f>
        <v>#VALUE!</v>
      </c>
      <c r="L1257" t="e">
        <f>IF(AND(LEFT(tblPassengerNames[[#This Row],[InParentheses]], 1) = "'", RIGHT(tblPassengerNames[[#This Row],[InParentheses]], 1) = "'"),
    #VALUE!,
    tblPassengerNames[[#This Row],[InParentheses]]
)</f>
        <v>#VALUE!</v>
      </c>
      <c r="M1257" t="e">
        <f>LEN(tblPassengerNames[[#This Row],[InParenthesesCleaned]]) - LEN(SUBSTITUTE(tblPassengerNames[[#This Row],[InParenthesesCleaned]], " ", ""))</f>
        <v>#VALUE!</v>
      </c>
      <c r="N1257" t="e">
        <f>FIND("@", SUBSTITUTE(tblPassengerNames[[#This Row],[InParenthesesCleaned]], " ", "@", tblPassengerNames[[#This Row],[P_NSpaces]]))</f>
        <v>#VALUE!</v>
      </c>
      <c r="O1257" t="e">
        <f>IF(tblPassengerNames[[#This Row],[P_NSpaces]] = 0,
    tblPassengerNames[[#This Row],[InParenthesesCleaned]],
    LEFT(tblPassengerNames[[#This Row],[InParenthesesCleaned]], tblPassengerNames[[#This Row],[P_FinalSpacePos]] - 1)
)</f>
        <v>#VALUE!</v>
      </c>
      <c r="P1257" t="str">
        <f>IFERROR(tblPassengerNames[[#This Row],[P_Forenames]], tblPassengerNames[[#This Row],[ConvForenames]])</f>
        <v>William Henry</v>
      </c>
      <c r="Q1257" t="str">
        <f>MID(tblPassengerNames[[#This Row],[Name]], tblPassengerNames[[#This Row],[CommaPos]] + 2, tblPassengerNames[[#This Row],[DotPos]] - tblPassengerNames[[#This Row],[CommaPos]] - 1)</f>
        <v>Mr.</v>
      </c>
      <c r="R1257" t="str">
        <f>LEFT(tblPassengerNames[[#This Row],[Name]], tblPassengerNames[[#This Row],[CommaPos]] - 1)</f>
        <v>Tornquist</v>
      </c>
    </row>
    <row r="1258" spans="2:18" x14ac:dyDescent="0.25">
      <c r="B1258" s="21">
        <v>1256</v>
      </c>
      <c r="C1258" s="21" t="s">
        <v>1390</v>
      </c>
      <c r="D1258" s="21" t="s">
        <v>138</v>
      </c>
      <c r="E1258">
        <f>FIND(",", tblPassengerNames[[#This Row],[Name]])</f>
        <v>7</v>
      </c>
      <c r="F1258">
        <f>FIND(".", tblPassengerNames[[#This Row],[Name]])</f>
        <v>11</v>
      </c>
      <c r="G1258" t="e">
        <f>FIND("(", tblPassengerNames[[#This Row],[Name]])</f>
        <v>#VALUE!</v>
      </c>
      <c r="H1258" t="e">
        <f>FIND(")", tblPassengerNames[[#This Row],[Name]])</f>
        <v>#VALUE!</v>
      </c>
      <c r="I1258">
        <f>IFERROR(tblPassengerNames[[#This Row],[OpenParPos]] - 2, LEN(tblPassengerNames[[#This Row],[Name]]))</f>
        <v>17</v>
      </c>
      <c r="J1258" t="str">
        <f>MID(tblPassengerNames[[#This Row],[Name]], tblPassengerNames[[#This Row],[DotPos]] + 2, tblPassengerNames[[#This Row],[EndOfConvFNPos]] - tblPassengerNames[[#This Row],[DotPos]] - 1)</f>
        <v>Nakli</v>
      </c>
      <c r="K1258" t="e">
        <f>MID(tblPassengerNames[[#This Row],[Name]], tblPassengerNames[[#This Row],[OpenParPos]] + 1, tblPassengerNames[[#This Row],[CloseParPos]] - tblPassengerNames[[#This Row],[OpenParPos]] - 1)</f>
        <v>#VALUE!</v>
      </c>
      <c r="L1258" t="e">
        <f>IF(AND(LEFT(tblPassengerNames[[#This Row],[InParentheses]], 1) = "'", RIGHT(tblPassengerNames[[#This Row],[InParentheses]], 1) = "'"),
    #VALUE!,
    tblPassengerNames[[#This Row],[InParentheses]]
)</f>
        <v>#VALUE!</v>
      </c>
      <c r="M1258" t="e">
        <f>LEN(tblPassengerNames[[#This Row],[InParenthesesCleaned]]) - LEN(SUBSTITUTE(tblPassengerNames[[#This Row],[InParenthesesCleaned]], " ", ""))</f>
        <v>#VALUE!</v>
      </c>
      <c r="N1258" t="e">
        <f>FIND("@", SUBSTITUTE(tblPassengerNames[[#This Row],[InParenthesesCleaned]], " ", "@", tblPassengerNames[[#This Row],[P_NSpaces]]))</f>
        <v>#VALUE!</v>
      </c>
      <c r="O1258" t="e">
        <f>IF(tblPassengerNames[[#This Row],[P_NSpaces]] = 0,
    tblPassengerNames[[#This Row],[InParenthesesCleaned]],
    LEFT(tblPassengerNames[[#This Row],[InParenthesesCleaned]], tblPassengerNames[[#This Row],[P_FinalSpacePos]] - 1)
)</f>
        <v>#VALUE!</v>
      </c>
      <c r="P1258" t="str">
        <f>IFERROR(tblPassengerNames[[#This Row],[P_Forenames]], tblPassengerNames[[#This Row],[ConvForenames]])</f>
        <v>Nakli</v>
      </c>
      <c r="Q1258" t="str">
        <f>MID(tblPassengerNames[[#This Row],[Name]], tblPassengerNames[[#This Row],[CommaPos]] + 2, tblPassengerNames[[#This Row],[DotPos]] - tblPassengerNames[[#This Row],[CommaPos]] - 1)</f>
        <v>Mr.</v>
      </c>
      <c r="R1258" t="str">
        <f>LEFT(tblPassengerNames[[#This Row],[Name]], tblPassengerNames[[#This Row],[CommaPos]] - 1)</f>
        <v>Toufik</v>
      </c>
    </row>
    <row r="1259" spans="2:18" x14ac:dyDescent="0.25">
      <c r="B1259" s="21">
        <v>1257</v>
      </c>
      <c r="C1259" s="21" t="s">
        <v>1391</v>
      </c>
      <c r="D1259" s="21" t="s">
        <v>138</v>
      </c>
      <c r="E1259">
        <f>FIND(",", tblPassengerNames[[#This Row],[Name]])</f>
        <v>6</v>
      </c>
      <c r="F1259">
        <f>FIND(".", tblPassengerNames[[#This Row],[Name]])</f>
        <v>14</v>
      </c>
      <c r="G1259" t="e">
        <f>FIND("(", tblPassengerNames[[#This Row],[Name]])</f>
        <v>#VALUE!</v>
      </c>
      <c r="H1259" t="e">
        <f>FIND(")", tblPassengerNames[[#This Row],[Name]])</f>
        <v>#VALUE!</v>
      </c>
      <c r="I1259">
        <f>IFERROR(tblPassengerNames[[#This Row],[OpenParPos]] - 2, LEN(tblPassengerNames[[#This Row],[Name]]))</f>
        <v>30</v>
      </c>
      <c r="J1259" t="str">
        <f>MID(tblPassengerNames[[#This Row],[Name]], tblPassengerNames[[#This Row],[DotPos]] + 2, tblPassengerNames[[#This Row],[EndOfConvFNPos]] - tblPassengerNames[[#This Row],[DotPos]] - 1)</f>
        <v>Georges Youssef</v>
      </c>
      <c r="K1259" t="e">
        <f>MID(tblPassengerNames[[#This Row],[Name]], tblPassengerNames[[#This Row],[OpenParPos]] + 1, tblPassengerNames[[#This Row],[CloseParPos]] - tblPassengerNames[[#This Row],[OpenParPos]] - 1)</f>
        <v>#VALUE!</v>
      </c>
      <c r="L1259" t="e">
        <f>IF(AND(LEFT(tblPassengerNames[[#This Row],[InParentheses]], 1) = "'", RIGHT(tblPassengerNames[[#This Row],[InParentheses]], 1) = "'"),
    #VALUE!,
    tblPassengerNames[[#This Row],[InParentheses]]
)</f>
        <v>#VALUE!</v>
      </c>
      <c r="M1259" t="e">
        <f>LEN(tblPassengerNames[[#This Row],[InParenthesesCleaned]]) - LEN(SUBSTITUTE(tblPassengerNames[[#This Row],[InParenthesesCleaned]], " ", ""))</f>
        <v>#VALUE!</v>
      </c>
      <c r="N1259" t="e">
        <f>FIND("@", SUBSTITUTE(tblPassengerNames[[#This Row],[InParenthesesCleaned]], " ", "@", tblPassengerNames[[#This Row],[P_NSpaces]]))</f>
        <v>#VALUE!</v>
      </c>
      <c r="O1259" t="e">
        <f>IF(tblPassengerNames[[#This Row],[P_NSpaces]] = 0,
    tblPassengerNames[[#This Row],[InParenthesesCleaned]],
    LEFT(tblPassengerNames[[#This Row],[InParenthesesCleaned]], tblPassengerNames[[#This Row],[P_FinalSpacePos]] - 1)
)</f>
        <v>#VALUE!</v>
      </c>
      <c r="P1259" t="str">
        <f>IFERROR(tblPassengerNames[[#This Row],[P_Forenames]], tblPassengerNames[[#This Row],[ConvForenames]])</f>
        <v>Georges Youssef</v>
      </c>
      <c r="Q1259" t="str">
        <f>MID(tblPassengerNames[[#This Row],[Name]], tblPassengerNames[[#This Row],[CommaPos]] + 2, tblPassengerNames[[#This Row],[DotPos]] - tblPassengerNames[[#This Row],[CommaPos]] - 1)</f>
        <v>Master.</v>
      </c>
      <c r="R1259" t="str">
        <f>LEFT(tblPassengerNames[[#This Row],[Name]], tblPassengerNames[[#This Row],[CommaPos]] - 1)</f>
        <v>Touma</v>
      </c>
    </row>
    <row r="1260" spans="2:18" x14ac:dyDescent="0.25">
      <c r="B1260" s="21">
        <v>1258</v>
      </c>
      <c r="C1260" s="21" t="s">
        <v>1392</v>
      </c>
      <c r="D1260" s="21" t="s">
        <v>136</v>
      </c>
      <c r="E1260">
        <f>FIND(",", tblPassengerNames[[#This Row],[Name]])</f>
        <v>6</v>
      </c>
      <c r="F1260">
        <f>FIND(".", tblPassengerNames[[#This Row],[Name]])</f>
        <v>12</v>
      </c>
      <c r="G1260" t="e">
        <f>FIND("(", tblPassengerNames[[#This Row],[Name]])</f>
        <v>#VALUE!</v>
      </c>
      <c r="H1260" t="e">
        <f>FIND(")", tblPassengerNames[[#This Row],[Name]])</f>
        <v>#VALUE!</v>
      </c>
      <c r="I1260">
        <f>IFERROR(tblPassengerNames[[#This Row],[OpenParPos]] - 2, LEN(tblPassengerNames[[#This Row],[Name]]))</f>
        <v>26</v>
      </c>
      <c r="J1260" t="str">
        <f>MID(tblPassengerNames[[#This Row],[Name]], tblPassengerNames[[#This Row],[DotPos]] + 2, tblPassengerNames[[#This Row],[EndOfConvFNPos]] - tblPassengerNames[[#This Row],[DotPos]] - 1)</f>
        <v>Maria Youssef</v>
      </c>
      <c r="K1260" t="e">
        <f>MID(tblPassengerNames[[#This Row],[Name]], tblPassengerNames[[#This Row],[OpenParPos]] + 1, tblPassengerNames[[#This Row],[CloseParPos]] - tblPassengerNames[[#This Row],[OpenParPos]] - 1)</f>
        <v>#VALUE!</v>
      </c>
      <c r="L1260" t="e">
        <f>IF(AND(LEFT(tblPassengerNames[[#This Row],[InParentheses]], 1) = "'", RIGHT(tblPassengerNames[[#This Row],[InParentheses]], 1) = "'"),
    #VALUE!,
    tblPassengerNames[[#This Row],[InParentheses]]
)</f>
        <v>#VALUE!</v>
      </c>
      <c r="M1260" t="e">
        <f>LEN(tblPassengerNames[[#This Row],[InParenthesesCleaned]]) - LEN(SUBSTITUTE(tblPassengerNames[[#This Row],[InParenthesesCleaned]], " ", ""))</f>
        <v>#VALUE!</v>
      </c>
      <c r="N1260" t="e">
        <f>FIND("@", SUBSTITUTE(tblPassengerNames[[#This Row],[InParenthesesCleaned]], " ", "@", tblPassengerNames[[#This Row],[P_NSpaces]]))</f>
        <v>#VALUE!</v>
      </c>
      <c r="O1260" t="e">
        <f>IF(tblPassengerNames[[#This Row],[P_NSpaces]] = 0,
    tblPassengerNames[[#This Row],[InParenthesesCleaned]],
    LEFT(tblPassengerNames[[#This Row],[InParenthesesCleaned]], tblPassengerNames[[#This Row],[P_FinalSpacePos]] - 1)
)</f>
        <v>#VALUE!</v>
      </c>
      <c r="P1260" t="str">
        <f>IFERROR(tblPassengerNames[[#This Row],[P_Forenames]], tblPassengerNames[[#This Row],[ConvForenames]])</f>
        <v>Maria Youssef</v>
      </c>
      <c r="Q1260" t="str">
        <f>MID(tblPassengerNames[[#This Row],[Name]], tblPassengerNames[[#This Row],[CommaPos]] + 2, tblPassengerNames[[#This Row],[DotPos]] - tblPassengerNames[[#This Row],[CommaPos]] - 1)</f>
        <v>Miss.</v>
      </c>
      <c r="R1260" t="str">
        <f>LEFT(tblPassengerNames[[#This Row],[Name]], tblPassengerNames[[#This Row],[CommaPos]] - 1)</f>
        <v>Touma</v>
      </c>
    </row>
    <row r="1261" spans="2:18" x14ac:dyDescent="0.25">
      <c r="B1261" s="21">
        <v>1259</v>
      </c>
      <c r="C1261" s="21" t="s">
        <v>1393</v>
      </c>
      <c r="D1261" s="21" t="s">
        <v>136</v>
      </c>
      <c r="E1261">
        <f>FIND(",", tblPassengerNames[[#This Row],[Name]])</f>
        <v>6</v>
      </c>
      <c r="F1261">
        <f>FIND(".", tblPassengerNames[[#This Row],[Name]])</f>
        <v>11</v>
      </c>
      <c r="G1261">
        <f>FIND("(", tblPassengerNames[[#This Row],[Name]])</f>
        <v>20</v>
      </c>
      <c r="H1261">
        <f>FIND(")", tblPassengerNames[[#This Row],[Name]])</f>
        <v>39</v>
      </c>
      <c r="I1261">
        <f>IFERROR(tblPassengerNames[[#This Row],[OpenParPos]] - 2, LEN(tblPassengerNames[[#This Row],[Name]]))</f>
        <v>18</v>
      </c>
      <c r="J1261" t="str">
        <f>MID(tblPassengerNames[[#This Row],[Name]], tblPassengerNames[[#This Row],[DotPos]] + 2, tblPassengerNames[[#This Row],[EndOfConvFNPos]] - tblPassengerNames[[#This Row],[DotPos]] - 1)</f>
        <v>Darwis</v>
      </c>
      <c r="K1261" t="str">
        <f>MID(tblPassengerNames[[#This Row],[Name]], tblPassengerNames[[#This Row],[OpenParPos]] + 1, tblPassengerNames[[#This Row],[CloseParPos]] - tblPassengerNames[[#This Row],[OpenParPos]] - 1)</f>
        <v>Hanne Youssef Razi</v>
      </c>
      <c r="L1261" t="str">
        <f>IF(AND(LEFT(tblPassengerNames[[#This Row],[InParentheses]], 1) = "'", RIGHT(tblPassengerNames[[#This Row],[InParentheses]], 1) = "'"),
    #VALUE!,
    tblPassengerNames[[#This Row],[InParentheses]]
)</f>
        <v>Hanne Youssef Razi</v>
      </c>
      <c r="M1261">
        <f>LEN(tblPassengerNames[[#This Row],[InParenthesesCleaned]]) - LEN(SUBSTITUTE(tblPassengerNames[[#This Row],[InParenthesesCleaned]], " ", ""))</f>
        <v>2</v>
      </c>
      <c r="N1261">
        <f>FIND("@", SUBSTITUTE(tblPassengerNames[[#This Row],[InParenthesesCleaned]], " ", "@", tblPassengerNames[[#This Row],[P_NSpaces]]))</f>
        <v>14</v>
      </c>
      <c r="O1261" t="str">
        <f>IF(tblPassengerNames[[#This Row],[P_NSpaces]] = 0,
    tblPassengerNames[[#This Row],[InParenthesesCleaned]],
    LEFT(tblPassengerNames[[#This Row],[InParenthesesCleaned]], tblPassengerNames[[#This Row],[P_FinalSpacePos]] - 1)
)</f>
        <v>Hanne Youssef</v>
      </c>
      <c r="P1261" t="str">
        <f>IFERROR(tblPassengerNames[[#This Row],[P_Forenames]], tblPassengerNames[[#This Row],[ConvForenames]])</f>
        <v>Hanne Youssef</v>
      </c>
      <c r="Q1261" t="str">
        <f>MID(tblPassengerNames[[#This Row],[Name]], tblPassengerNames[[#This Row],[CommaPos]] + 2, tblPassengerNames[[#This Row],[DotPos]] - tblPassengerNames[[#This Row],[CommaPos]] - 1)</f>
        <v>Mrs.</v>
      </c>
      <c r="R1261" t="str">
        <f>LEFT(tblPassengerNames[[#This Row],[Name]], tblPassengerNames[[#This Row],[CommaPos]] - 1)</f>
        <v>Touma</v>
      </c>
    </row>
    <row r="1262" spans="2:18" x14ac:dyDescent="0.25">
      <c r="B1262" s="21">
        <v>1260</v>
      </c>
      <c r="C1262" s="21" t="s">
        <v>1394</v>
      </c>
      <c r="D1262" s="21" t="s">
        <v>138</v>
      </c>
      <c r="E1262">
        <f>FIND(",", tblPassengerNames[[#This Row],[Name]])</f>
        <v>7</v>
      </c>
      <c r="F1262">
        <f>FIND(".", tblPassengerNames[[#This Row],[Name]])</f>
        <v>11</v>
      </c>
      <c r="G1262" t="e">
        <f>FIND("(", tblPassengerNames[[#This Row],[Name]])</f>
        <v>#VALUE!</v>
      </c>
      <c r="H1262" t="e">
        <f>FIND(")", tblPassengerNames[[#This Row],[Name]])</f>
        <v>#VALUE!</v>
      </c>
      <c r="I1262">
        <f>IFERROR(tblPassengerNames[[#This Row],[OpenParPos]] - 2, LEN(tblPassengerNames[[#This Row],[Name]]))</f>
        <v>19</v>
      </c>
      <c r="J1262" t="str">
        <f>MID(tblPassengerNames[[#This Row],[Name]], tblPassengerNames[[#This Row],[DotPos]] + 2, tblPassengerNames[[#This Row],[EndOfConvFNPos]] - tblPassengerNames[[#This Row],[DotPos]] - 1)</f>
        <v>Stjepan</v>
      </c>
      <c r="K1262" t="e">
        <f>MID(tblPassengerNames[[#This Row],[Name]], tblPassengerNames[[#This Row],[OpenParPos]] + 1, tblPassengerNames[[#This Row],[CloseParPos]] - tblPassengerNames[[#This Row],[OpenParPos]] - 1)</f>
        <v>#VALUE!</v>
      </c>
      <c r="L1262" t="e">
        <f>IF(AND(LEFT(tblPassengerNames[[#This Row],[InParentheses]], 1) = "'", RIGHT(tblPassengerNames[[#This Row],[InParentheses]], 1) = "'"),
    #VALUE!,
    tblPassengerNames[[#This Row],[InParentheses]]
)</f>
        <v>#VALUE!</v>
      </c>
      <c r="M1262" t="e">
        <f>LEN(tblPassengerNames[[#This Row],[InParenthesesCleaned]]) - LEN(SUBSTITUTE(tblPassengerNames[[#This Row],[InParenthesesCleaned]], " ", ""))</f>
        <v>#VALUE!</v>
      </c>
      <c r="N1262" t="e">
        <f>FIND("@", SUBSTITUTE(tblPassengerNames[[#This Row],[InParenthesesCleaned]], " ", "@", tblPassengerNames[[#This Row],[P_NSpaces]]))</f>
        <v>#VALUE!</v>
      </c>
      <c r="O1262" t="e">
        <f>IF(tblPassengerNames[[#This Row],[P_NSpaces]] = 0,
    tblPassengerNames[[#This Row],[InParenthesesCleaned]],
    LEFT(tblPassengerNames[[#This Row],[InParenthesesCleaned]], tblPassengerNames[[#This Row],[P_FinalSpacePos]] - 1)
)</f>
        <v>#VALUE!</v>
      </c>
      <c r="P1262" t="str">
        <f>IFERROR(tblPassengerNames[[#This Row],[P_Forenames]], tblPassengerNames[[#This Row],[ConvForenames]])</f>
        <v>Stjepan</v>
      </c>
      <c r="Q1262" t="str">
        <f>MID(tblPassengerNames[[#This Row],[Name]], tblPassengerNames[[#This Row],[CommaPos]] + 2, tblPassengerNames[[#This Row],[DotPos]] - tblPassengerNames[[#This Row],[CommaPos]] - 1)</f>
        <v>Mr.</v>
      </c>
      <c r="R1262" t="str">
        <f>LEFT(tblPassengerNames[[#This Row],[Name]], tblPassengerNames[[#This Row],[CommaPos]] - 1)</f>
        <v>Turcin</v>
      </c>
    </row>
    <row r="1263" spans="2:18" x14ac:dyDescent="0.25">
      <c r="B1263" s="21">
        <v>1261</v>
      </c>
      <c r="C1263" s="21" t="s">
        <v>1395</v>
      </c>
      <c r="D1263" s="21" t="s">
        <v>136</v>
      </c>
      <c r="E1263">
        <f>FIND(",", tblPassengerNames[[#This Row],[Name]])</f>
        <v>6</v>
      </c>
      <c r="F1263">
        <f>FIND(".", tblPassengerNames[[#This Row],[Name]])</f>
        <v>12</v>
      </c>
      <c r="G1263" t="e">
        <f>FIND("(", tblPassengerNames[[#This Row],[Name]])</f>
        <v>#VALUE!</v>
      </c>
      <c r="H1263" t="e">
        <f>FIND(")", tblPassengerNames[[#This Row],[Name]])</f>
        <v>#VALUE!</v>
      </c>
      <c r="I1263">
        <f>IFERROR(tblPassengerNames[[#This Row],[OpenParPos]] - 2, LEN(tblPassengerNames[[#This Row],[Name]]))</f>
        <v>23</v>
      </c>
      <c r="J1263" t="str">
        <f>MID(tblPassengerNames[[#This Row],[Name]], tblPassengerNames[[#This Row],[DotPos]] + 2, tblPassengerNames[[#This Row],[EndOfConvFNPos]] - tblPassengerNames[[#This Row],[DotPos]] - 1)</f>
        <v>Anna Sofia</v>
      </c>
      <c r="K1263" t="e">
        <f>MID(tblPassengerNames[[#This Row],[Name]], tblPassengerNames[[#This Row],[OpenParPos]] + 1, tblPassengerNames[[#This Row],[CloseParPos]] - tblPassengerNames[[#This Row],[OpenParPos]] - 1)</f>
        <v>#VALUE!</v>
      </c>
      <c r="L1263" t="e">
        <f>IF(AND(LEFT(tblPassengerNames[[#This Row],[InParentheses]], 1) = "'", RIGHT(tblPassengerNames[[#This Row],[InParentheses]], 1) = "'"),
    #VALUE!,
    tblPassengerNames[[#This Row],[InParentheses]]
)</f>
        <v>#VALUE!</v>
      </c>
      <c r="M1263" t="e">
        <f>LEN(tblPassengerNames[[#This Row],[InParenthesesCleaned]]) - LEN(SUBSTITUTE(tblPassengerNames[[#This Row],[InParenthesesCleaned]], " ", ""))</f>
        <v>#VALUE!</v>
      </c>
      <c r="N1263" t="e">
        <f>FIND("@", SUBSTITUTE(tblPassengerNames[[#This Row],[InParenthesesCleaned]], " ", "@", tblPassengerNames[[#This Row],[P_NSpaces]]))</f>
        <v>#VALUE!</v>
      </c>
      <c r="O1263" t="e">
        <f>IF(tblPassengerNames[[#This Row],[P_NSpaces]] = 0,
    tblPassengerNames[[#This Row],[InParenthesesCleaned]],
    LEFT(tblPassengerNames[[#This Row],[InParenthesesCleaned]], tblPassengerNames[[#This Row],[P_FinalSpacePos]] - 1)
)</f>
        <v>#VALUE!</v>
      </c>
      <c r="P1263" t="str">
        <f>IFERROR(tblPassengerNames[[#This Row],[P_Forenames]], tblPassengerNames[[#This Row],[ConvForenames]])</f>
        <v>Anna Sofia</v>
      </c>
      <c r="Q1263" t="str">
        <f>MID(tblPassengerNames[[#This Row],[Name]], tblPassengerNames[[#This Row],[CommaPos]] + 2, tblPassengerNames[[#This Row],[DotPos]] - tblPassengerNames[[#This Row],[CommaPos]] - 1)</f>
        <v>Miss.</v>
      </c>
      <c r="R1263" t="str">
        <f>LEFT(tblPassengerNames[[#This Row],[Name]], tblPassengerNames[[#This Row],[CommaPos]] - 1)</f>
        <v>Turja</v>
      </c>
    </row>
    <row r="1264" spans="2:18" x14ac:dyDescent="0.25">
      <c r="B1264" s="21">
        <v>1262</v>
      </c>
      <c r="C1264" s="21" t="s">
        <v>1396</v>
      </c>
      <c r="D1264" s="21" t="s">
        <v>136</v>
      </c>
      <c r="E1264">
        <f>FIND(",", tblPassengerNames[[#This Row],[Name]])</f>
        <v>8</v>
      </c>
      <c r="F1264">
        <f>FIND(".", tblPassengerNames[[#This Row],[Name]])</f>
        <v>13</v>
      </c>
      <c r="G1264">
        <f>FIND("(", tblPassengerNames[[#This Row],[Name]])</f>
        <v>15</v>
      </c>
      <c r="H1264">
        <f>FIND(")", tblPassengerNames[[#This Row],[Name]])</f>
        <v>22</v>
      </c>
      <c r="I1264">
        <f>IFERROR(tblPassengerNames[[#This Row],[OpenParPos]] - 2, LEN(tblPassengerNames[[#This Row],[Name]]))</f>
        <v>13</v>
      </c>
      <c r="J1264" t="e">
        <f>MID(tblPassengerNames[[#This Row],[Name]], tblPassengerNames[[#This Row],[DotPos]] + 2, tblPassengerNames[[#This Row],[EndOfConvFNPos]] - tblPassengerNames[[#This Row],[DotPos]] - 1)</f>
        <v>#VALUE!</v>
      </c>
      <c r="K1264" t="str">
        <f>MID(tblPassengerNames[[#This Row],[Name]], tblPassengerNames[[#This Row],[OpenParPos]] + 1, tblPassengerNames[[#This Row],[CloseParPos]] - tblPassengerNames[[#This Row],[OpenParPos]] - 1)</f>
        <v>Hedwig</v>
      </c>
      <c r="L1264" t="str">
        <f>IF(AND(LEFT(tblPassengerNames[[#This Row],[InParentheses]], 1) = "'", RIGHT(tblPassengerNames[[#This Row],[InParentheses]], 1) = "'"),
    #VALUE!,
    tblPassengerNames[[#This Row],[InParentheses]]
)</f>
        <v>Hedwig</v>
      </c>
      <c r="M1264">
        <f>LEN(tblPassengerNames[[#This Row],[InParenthesesCleaned]]) - LEN(SUBSTITUTE(tblPassengerNames[[#This Row],[InParenthesesCleaned]], " ", ""))</f>
        <v>0</v>
      </c>
      <c r="N1264" t="e">
        <f>FIND("@", SUBSTITUTE(tblPassengerNames[[#This Row],[InParenthesesCleaned]], " ", "@", tblPassengerNames[[#This Row],[P_NSpaces]]))</f>
        <v>#VALUE!</v>
      </c>
      <c r="O1264" t="str">
        <f>IF(tblPassengerNames[[#This Row],[P_NSpaces]] = 0,
    tblPassengerNames[[#This Row],[InParenthesesCleaned]],
    LEFT(tblPassengerNames[[#This Row],[InParenthesesCleaned]], tblPassengerNames[[#This Row],[P_FinalSpacePos]] - 1)
)</f>
        <v>Hedwig</v>
      </c>
      <c r="P1264" t="str">
        <f>IFERROR(tblPassengerNames[[#This Row],[P_Forenames]], tblPassengerNames[[#This Row],[ConvForenames]])</f>
        <v>Hedwig</v>
      </c>
      <c r="Q1264" t="str">
        <f>MID(tblPassengerNames[[#This Row],[Name]], tblPassengerNames[[#This Row],[CommaPos]] + 2, tblPassengerNames[[#This Row],[DotPos]] - tblPassengerNames[[#This Row],[CommaPos]] - 1)</f>
        <v>Mrs.</v>
      </c>
      <c r="R1264" t="str">
        <f>LEFT(tblPassengerNames[[#This Row],[Name]], tblPassengerNames[[#This Row],[CommaPos]] - 1)</f>
        <v>Turkula</v>
      </c>
    </row>
    <row r="1265" spans="2:18" x14ac:dyDescent="0.25">
      <c r="B1265" s="21">
        <v>1263</v>
      </c>
      <c r="C1265" s="21" t="s">
        <v>1397</v>
      </c>
      <c r="D1265" s="21" t="s">
        <v>138</v>
      </c>
      <c r="E1265">
        <f>FIND(",", tblPassengerNames[[#This Row],[Name]])</f>
        <v>13</v>
      </c>
      <c r="F1265">
        <f>FIND(".", tblPassengerNames[[#This Row],[Name]])</f>
        <v>21</v>
      </c>
      <c r="G1265" t="e">
        <f>FIND("(", tblPassengerNames[[#This Row],[Name]])</f>
        <v>#VALUE!</v>
      </c>
      <c r="H1265" t="e">
        <f>FIND(")", tblPassengerNames[[#This Row],[Name]])</f>
        <v>#VALUE!</v>
      </c>
      <c r="I1265">
        <f>IFERROR(tblPassengerNames[[#This Row],[OpenParPos]] - 2, LEN(tblPassengerNames[[#This Row],[Name]]))</f>
        <v>35</v>
      </c>
      <c r="J1265" t="str">
        <f>MID(tblPassengerNames[[#This Row],[Name]], tblPassengerNames[[#This Row],[DotPos]] + 2, tblPassengerNames[[#This Row],[EndOfConvFNPos]] - tblPassengerNames[[#This Row],[DotPos]] - 1)</f>
        <v>James William</v>
      </c>
      <c r="K1265" t="e">
        <f>MID(tblPassengerNames[[#This Row],[Name]], tblPassengerNames[[#This Row],[OpenParPos]] + 1, tblPassengerNames[[#This Row],[CloseParPos]] - tblPassengerNames[[#This Row],[OpenParPos]] - 1)</f>
        <v>#VALUE!</v>
      </c>
      <c r="L1265" t="e">
        <f>IF(AND(LEFT(tblPassengerNames[[#This Row],[InParentheses]], 1) = "'", RIGHT(tblPassengerNames[[#This Row],[InParentheses]], 1) = "'"),
    #VALUE!,
    tblPassengerNames[[#This Row],[InParentheses]]
)</f>
        <v>#VALUE!</v>
      </c>
      <c r="M1265" t="e">
        <f>LEN(tblPassengerNames[[#This Row],[InParenthesesCleaned]]) - LEN(SUBSTITUTE(tblPassengerNames[[#This Row],[InParenthesesCleaned]], " ", ""))</f>
        <v>#VALUE!</v>
      </c>
      <c r="N1265" t="e">
        <f>FIND("@", SUBSTITUTE(tblPassengerNames[[#This Row],[InParenthesesCleaned]], " ", "@", tblPassengerNames[[#This Row],[P_NSpaces]]))</f>
        <v>#VALUE!</v>
      </c>
      <c r="O1265" t="e">
        <f>IF(tblPassengerNames[[#This Row],[P_NSpaces]] = 0,
    tblPassengerNames[[#This Row],[InParenthesesCleaned]],
    LEFT(tblPassengerNames[[#This Row],[InParenthesesCleaned]], tblPassengerNames[[#This Row],[P_FinalSpacePos]] - 1)
)</f>
        <v>#VALUE!</v>
      </c>
      <c r="P1265" t="str">
        <f>IFERROR(tblPassengerNames[[#This Row],[P_Forenames]], tblPassengerNames[[#This Row],[ConvForenames]])</f>
        <v>James William</v>
      </c>
      <c r="Q1265" t="str">
        <f>MID(tblPassengerNames[[#This Row],[Name]], tblPassengerNames[[#This Row],[CommaPos]] + 2, tblPassengerNames[[#This Row],[DotPos]] - tblPassengerNames[[#This Row],[CommaPos]] - 1)</f>
        <v>Master.</v>
      </c>
      <c r="R1265" t="str">
        <f>LEFT(tblPassengerNames[[#This Row],[Name]], tblPassengerNames[[#This Row],[CommaPos]] - 1)</f>
        <v>van Billiard</v>
      </c>
    </row>
    <row r="1266" spans="2:18" x14ac:dyDescent="0.25">
      <c r="B1266" s="21">
        <v>1264</v>
      </c>
      <c r="C1266" s="21" t="s">
        <v>1398</v>
      </c>
      <c r="D1266" s="21" t="s">
        <v>138</v>
      </c>
      <c r="E1266">
        <f>FIND(",", tblPassengerNames[[#This Row],[Name]])</f>
        <v>13</v>
      </c>
      <c r="F1266">
        <f>FIND(".", tblPassengerNames[[#This Row],[Name]])</f>
        <v>21</v>
      </c>
      <c r="G1266" t="e">
        <f>FIND("(", tblPassengerNames[[#This Row],[Name]])</f>
        <v>#VALUE!</v>
      </c>
      <c r="H1266" t="e">
        <f>FIND(")", tblPassengerNames[[#This Row],[Name]])</f>
        <v>#VALUE!</v>
      </c>
      <c r="I1266">
        <f>IFERROR(tblPassengerNames[[#This Row],[OpenParPos]] - 2, LEN(tblPassengerNames[[#This Row],[Name]]))</f>
        <v>33</v>
      </c>
      <c r="J1266" t="str">
        <f>MID(tblPassengerNames[[#This Row],[Name]], tblPassengerNames[[#This Row],[DotPos]] + 2, tblPassengerNames[[#This Row],[EndOfConvFNPos]] - tblPassengerNames[[#This Row],[DotPos]] - 1)</f>
        <v>Walter John</v>
      </c>
      <c r="K1266" t="e">
        <f>MID(tblPassengerNames[[#This Row],[Name]], tblPassengerNames[[#This Row],[OpenParPos]] + 1, tblPassengerNames[[#This Row],[CloseParPos]] - tblPassengerNames[[#This Row],[OpenParPos]] - 1)</f>
        <v>#VALUE!</v>
      </c>
      <c r="L1266" t="e">
        <f>IF(AND(LEFT(tblPassengerNames[[#This Row],[InParentheses]], 1) = "'", RIGHT(tblPassengerNames[[#This Row],[InParentheses]], 1) = "'"),
    #VALUE!,
    tblPassengerNames[[#This Row],[InParentheses]]
)</f>
        <v>#VALUE!</v>
      </c>
      <c r="M1266" t="e">
        <f>LEN(tblPassengerNames[[#This Row],[InParenthesesCleaned]]) - LEN(SUBSTITUTE(tblPassengerNames[[#This Row],[InParenthesesCleaned]], " ", ""))</f>
        <v>#VALUE!</v>
      </c>
      <c r="N1266" t="e">
        <f>FIND("@", SUBSTITUTE(tblPassengerNames[[#This Row],[InParenthesesCleaned]], " ", "@", tblPassengerNames[[#This Row],[P_NSpaces]]))</f>
        <v>#VALUE!</v>
      </c>
      <c r="O1266" t="e">
        <f>IF(tblPassengerNames[[#This Row],[P_NSpaces]] = 0,
    tblPassengerNames[[#This Row],[InParenthesesCleaned]],
    LEFT(tblPassengerNames[[#This Row],[InParenthesesCleaned]], tblPassengerNames[[#This Row],[P_FinalSpacePos]] - 1)
)</f>
        <v>#VALUE!</v>
      </c>
      <c r="P1266" t="str">
        <f>IFERROR(tblPassengerNames[[#This Row],[P_Forenames]], tblPassengerNames[[#This Row],[ConvForenames]])</f>
        <v>Walter John</v>
      </c>
      <c r="Q1266" t="str">
        <f>MID(tblPassengerNames[[#This Row],[Name]], tblPassengerNames[[#This Row],[CommaPos]] + 2, tblPassengerNames[[#This Row],[DotPos]] - tblPassengerNames[[#This Row],[CommaPos]] - 1)</f>
        <v>Master.</v>
      </c>
      <c r="R1266" t="str">
        <f>LEFT(tblPassengerNames[[#This Row],[Name]], tblPassengerNames[[#This Row],[CommaPos]] - 1)</f>
        <v>van Billiard</v>
      </c>
    </row>
    <row r="1267" spans="2:18" x14ac:dyDescent="0.25">
      <c r="B1267" s="21">
        <v>1265</v>
      </c>
      <c r="C1267" s="21" t="s">
        <v>1399</v>
      </c>
      <c r="D1267" s="21" t="s">
        <v>138</v>
      </c>
      <c r="E1267">
        <f>FIND(",", tblPassengerNames[[#This Row],[Name]])</f>
        <v>13</v>
      </c>
      <c r="F1267">
        <f>FIND(".", tblPassengerNames[[#This Row],[Name]])</f>
        <v>17</v>
      </c>
      <c r="G1267" t="e">
        <f>FIND("(", tblPassengerNames[[#This Row],[Name]])</f>
        <v>#VALUE!</v>
      </c>
      <c r="H1267" t="e">
        <f>FIND(")", tblPassengerNames[[#This Row],[Name]])</f>
        <v>#VALUE!</v>
      </c>
      <c r="I1267">
        <f>IFERROR(tblPassengerNames[[#This Row],[OpenParPos]] - 2, LEN(tblPassengerNames[[#This Row],[Name]]))</f>
        <v>31</v>
      </c>
      <c r="J1267" t="str">
        <f>MID(tblPassengerNames[[#This Row],[Name]], tblPassengerNames[[#This Row],[DotPos]] + 2, tblPassengerNames[[#This Row],[EndOfConvFNPos]] - tblPassengerNames[[#This Row],[DotPos]] - 1)</f>
        <v>Austin Blyler</v>
      </c>
      <c r="K1267" t="e">
        <f>MID(tblPassengerNames[[#This Row],[Name]], tblPassengerNames[[#This Row],[OpenParPos]] + 1, tblPassengerNames[[#This Row],[CloseParPos]] - tblPassengerNames[[#This Row],[OpenParPos]] - 1)</f>
        <v>#VALUE!</v>
      </c>
      <c r="L1267" t="e">
        <f>IF(AND(LEFT(tblPassengerNames[[#This Row],[InParentheses]], 1) = "'", RIGHT(tblPassengerNames[[#This Row],[InParentheses]], 1) = "'"),
    #VALUE!,
    tblPassengerNames[[#This Row],[InParentheses]]
)</f>
        <v>#VALUE!</v>
      </c>
      <c r="M1267" t="e">
        <f>LEN(tblPassengerNames[[#This Row],[InParenthesesCleaned]]) - LEN(SUBSTITUTE(tblPassengerNames[[#This Row],[InParenthesesCleaned]], " ", ""))</f>
        <v>#VALUE!</v>
      </c>
      <c r="N1267" t="e">
        <f>FIND("@", SUBSTITUTE(tblPassengerNames[[#This Row],[InParenthesesCleaned]], " ", "@", tblPassengerNames[[#This Row],[P_NSpaces]]))</f>
        <v>#VALUE!</v>
      </c>
      <c r="O1267" t="e">
        <f>IF(tblPassengerNames[[#This Row],[P_NSpaces]] = 0,
    tblPassengerNames[[#This Row],[InParenthesesCleaned]],
    LEFT(tblPassengerNames[[#This Row],[InParenthesesCleaned]], tblPassengerNames[[#This Row],[P_FinalSpacePos]] - 1)
)</f>
        <v>#VALUE!</v>
      </c>
      <c r="P1267" t="str">
        <f>IFERROR(tblPassengerNames[[#This Row],[P_Forenames]], tblPassengerNames[[#This Row],[ConvForenames]])</f>
        <v>Austin Blyler</v>
      </c>
      <c r="Q1267" t="str">
        <f>MID(tblPassengerNames[[#This Row],[Name]], tblPassengerNames[[#This Row],[CommaPos]] + 2, tblPassengerNames[[#This Row],[DotPos]] - tblPassengerNames[[#This Row],[CommaPos]] - 1)</f>
        <v>Mr.</v>
      </c>
      <c r="R1267" t="str">
        <f>LEFT(tblPassengerNames[[#This Row],[Name]], tblPassengerNames[[#This Row],[CommaPos]] - 1)</f>
        <v>van Billiard</v>
      </c>
    </row>
    <row r="1268" spans="2:18" x14ac:dyDescent="0.25">
      <c r="B1268" s="21">
        <v>1266</v>
      </c>
      <c r="C1268" s="21" t="s">
        <v>1400</v>
      </c>
      <c r="D1268" s="21" t="s">
        <v>136</v>
      </c>
      <c r="E1268">
        <f>FIND(",", tblPassengerNames[[#This Row],[Name]])</f>
        <v>9</v>
      </c>
      <c r="F1268">
        <f>FIND(".", tblPassengerNames[[#This Row],[Name]])</f>
        <v>15</v>
      </c>
      <c r="G1268" t="e">
        <f>FIND("(", tblPassengerNames[[#This Row],[Name]])</f>
        <v>#VALUE!</v>
      </c>
      <c r="H1268" t="e">
        <f>FIND(")", tblPassengerNames[[#This Row],[Name]])</f>
        <v>#VALUE!</v>
      </c>
      <c r="I1268">
        <f>IFERROR(tblPassengerNames[[#This Row],[OpenParPos]] - 2, LEN(tblPassengerNames[[#This Row],[Name]]))</f>
        <v>25</v>
      </c>
      <c r="J1268" t="str">
        <f>MID(tblPassengerNames[[#This Row],[Name]], tblPassengerNames[[#This Row],[DotPos]] + 2, tblPassengerNames[[#This Row],[EndOfConvFNPos]] - tblPassengerNames[[#This Row],[DotPos]] - 1)</f>
        <v>Catharina</v>
      </c>
      <c r="K1268" t="e">
        <f>MID(tblPassengerNames[[#This Row],[Name]], tblPassengerNames[[#This Row],[OpenParPos]] + 1, tblPassengerNames[[#This Row],[CloseParPos]] - tblPassengerNames[[#This Row],[OpenParPos]] - 1)</f>
        <v>#VALUE!</v>
      </c>
      <c r="L1268" t="e">
        <f>IF(AND(LEFT(tblPassengerNames[[#This Row],[InParentheses]], 1) = "'", RIGHT(tblPassengerNames[[#This Row],[InParentheses]], 1) = "'"),
    #VALUE!,
    tblPassengerNames[[#This Row],[InParentheses]]
)</f>
        <v>#VALUE!</v>
      </c>
      <c r="M1268" t="e">
        <f>LEN(tblPassengerNames[[#This Row],[InParenthesesCleaned]]) - LEN(SUBSTITUTE(tblPassengerNames[[#This Row],[InParenthesesCleaned]], " ", ""))</f>
        <v>#VALUE!</v>
      </c>
      <c r="N1268" t="e">
        <f>FIND("@", SUBSTITUTE(tblPassengerNames[[#This Row],[InParenthesesCleaned]], " ", "@", tblPassengerNames[[#This Row],[P_NSpaces]]))</f>
        <v>#VALUE!</v>
      </c>
      <c r="O1268" t="e">
        <f>IF(tblPassengerNames[[#This Row],[P_NSpaces]] = 0,
    tblPassengerNames[[#This Row],[InParenthesesCleaned]],
    LEFT(tblPassengerNames[[#This Row],[InParenthesesCleaned]], tblPassengerNames[[#This Row],[P_FinalSpacePos]] - 1)
)</f>
        <v>#VALUE!</v>
      </c>
      <c r="P1268" t="str">
        <f>IFERROR(tblPassengerNames[[#This Row],[P_Forenames]], tblPassengerNames[[#This Row],[ConvForenames]])</f>
        <v>Catharina</v>
      </c>
      <c r="Q1268" t="str">
        <f>MID(tblPassengerNames[[#This Row],[Name]], tblPassengerNames[[#This Row],[CommaPos]] + 2, tblPassengerNames[[#This Row],[DotPos]] - tblPassengerNames[[#This Row],[CommaPos]] - 1)</f>
        <v>Miss.</v>
      </c>
      <c r="R1268" t="str">
        <f>LEFT(tblPassengerNames[[#This Row],[Name]], tblPassengerNames[[#This Row],[CommaPos]] - 1)</f>
        <v>Van Impe</v>
      </c>
    </row>
    <row r="1269" spans="2:18" x14ac:dyDescent="0.25">
      <c r="B1269" s="21">
        <v>1267</v>
      </c>
      <c r="C1269" s="21" t="s">
        <v>1401</v>
      </c>
      <c r="D1269" s="21" t="s">
        <v>138</v>
      </c>
      <c r="E1269">
        <f>FIND(",", tblPassengerNames[[#This Row],[Name]])</f>
        <v>9</v>
      </c>
      <c r="F1269">
        <f>FIND(".", tblPassengerNames[[#This Row],[Name]])</f>
        <v>13</v>
      </c>
      <c r="G1269" t="e">
        <f>FIND("(", tblPassengerNames[[#This Row],[Name]])</f>
        <v>#VALUE!</v>
      </c>
      <c r="H1269" t="e">
        <f>FIND(")", tblPassengerNames[[#This Row],[Name]])</f>
        <v>#VALUE!</v>
      </c>
      <c r="I1269">
        <f>IFERROR(tblPassengerNames[[#This Row],[OpenParPos]] - 2, LEN(tblPassengerNames[[#This Row],[Name]]))</f>
        <v>27</v>
      </c>
      <c r="J1269" t="str">
        <f>MID(tblPassengerNames[[#This Row],[Name]], tblPassengerNames[[#This Row],[DotPos]] + 2, tblPassengerNames[[#This Row],[EndOfConvFNPos]] - tblPassengerNames[[#This Row],[DotPos]] - 1)</f>
        <v>Jean Baptiste</v>
      </c>
      <c r="K1269" t="e">
        <f>MID(tblPassengerNames[[#This Row],[Name]], tblPassengerNames[[#This Row],[OpenParPos]] + 1, tblPassengerNames[[#This Row],[CloseParPos]] - tblPassengerNames[[#This Row],[OpenParPos]] - 1)</f>
        <v>#VALUE!</v>
      </c>
      <c r="L1269" t="e">
        <f>IF(AND(LEFT(tblPassengerNames[[#This Row],[InParentheses]], 1) = "'", RIGHT(tblPassengerNames[[#This Row],[InParentheses]], 1) = "'"),
    #VALUE!,
    tblPassengerNames[[#This Row],[InParentheses]]
)</f>
        <v>#VALUE!</v>
      </c>
      <c r="M1269" t="e">
        <f>LEN(tblPassengerNames[[#This Row],[InParenthesesCleaned]]) - LEN(SUBSTITUTE(tblPassengerNames[[#This Row],[InParenthesesCleaned]], " ", ""))</f>
        <v>#VALUE!</v>
      </c>
      <c r="N1269" t="e">
        <f>FIND("@", SUBSTITUTE(tblPassengerNames[[#This Row],[InParenthesesCleaned]], " ", "@", tblPassengerNames[[#This Row],[P_NSpaces]]))</f>
        <v>#VALUE!</v>
      </c>
      <c r="O1269" t="e">
        <f>IF(tblPassengerNames[[#This Row],[P_NSpaces]] = 0,
    tblPassengerNames[[#This Row],[InParenthesesCleaned]],
    LEFT(tblPassengerNames[[#This Row],[InParenthesesCleaned]], tblPassengerNames[[#This Row],[P_FinalSpacePos]] - 1)
)</f>
        <v>#VALUE!</v>
      </c>
      <c r="P1269" t="str">
        <f>IFERROR(tblPassengerNames[[#This Row],[P_Forenames]], tblPassengerNames[[#This Row],[ConvForenames]])</f>
        <v>Jean Baptiste</v>
      </c>
      <c r="Q1269" t="str">
        <f>MID(tblPassengerNames[[#This Row],[Name]], tblPassengerNames[[#This Row],[CommaPos]] + 2, tblPassengerNames[[#This Row],[DotPos]] - tblPassengerNames[[#This Row],[CommaPos]] - 1)</f>
        <v>Mr.</v>
      </c>
      <c r="R1269" t="str">
        <f>LEFT(tblPassengerNames[[#This Row],[Name]], tblPassengerNames[[#This Row],[CommaPos]] - 1)</f>
        <v>Van Impe</v>
      </c>
    </row>
    <row r="1270" spans="2:18" x14ac:dyDescent="0.25">
      <c r="B1270" s="21">
        <v>1268</v>
      </c>
      <c r="C1270" s="21" t="s">
        <v>1402</v>
      </c>
      <c r="D1270" s="21" t="s">
        <v>136</v>
      </c>
      <c r="E1270">
        <f>FIND(",", tblPassengerNames[[#This Row],[Name]])</f>
        <v>9</v>
      </c>
      <c r="F1270">
        <f>FIND(".", tblPassengerNames[[#This Row],[Name]])</f>
        <v>14</v>
      </c>
      <c r="G1270">
        <f>FIND("(", tblPassengerNames[[#This Row],[Name]])</f>
        <v>30</v>
      </c>
      <c r="H1270">
        <f>FIND(")", tblPassengerNames[[#This Row],[Name]])</f>
        <v>52</v>
      </c>
      <c r="I1270">
        <f>IFERROR(tblPassengerNames[[#This Row],[OpenParPos]] - 2, LEN(tblPassengerNames[[#This Row],[Name]]))</f>
        <v>28</v>
      </c>
      <c r="J1270" t="str">
        <f>MID(tblPassengerNames[[#This Row],[Name]], tblPassengerNames[[#This Row],[DotPos]] + 2, tblPassengerNames[[#This Row],[EndOfConvFNPos]] - tblPassengerNames[[#This Row],[DotPos]] - 1)</f>
        <v>Jean Baptiste</v>
      </c>
      <c r="K1270" t="str">
        <f>MID(tblPassengerNames[[#This Row],[Name]], tblPassengerNames[[#This Row],[OpenParPos]] + 1, tblPassengerNames[[#This Row],[CloseParPos]] - tblPassengerNames[[#This Row],[OpenParPos]] - 1)</f>
        <v>Rosalie Paula Govaert</v>
      </c>
      <c r="L1270" t="str">
        <f>IF(AND(LEFT(tblPassengerNames[[#This Row],[InParentheses]], 1) = "'", RIGHT(tblPassengerNames[[#This Row],[InParentheses]], 1) = "'"),
    #VALUE!,
    tblPassengerNames[[#This Row],[InParentheses]]
)</f>
        <v>Rosalie Paula Govaert</v>
      </c>
      <c r="M1270">
        <f>LEN(tblPassengerNames[[#This Row],[InParenthesesCleaned]]) - LEN(SUBSTITUTE(tblPassengerNames[[#This Row],[InParenthesesCleaned]], " ", ""))</f>
        <v>2</v>
      </c>
      <c r="N1270">
        <f>FIND("@", SUBSTITUTE(tblPassengerNames[[#This Row],[InParenthesesCleaned]], " ", "@", tblPassengerNames[[#This Row],[P_NSpaces]]))</f>
        <v>14</v>
      </c>
      <c r="O1270" t="str">
        <f>IF(tblPassengerNames[[#This Row],[P_NSpaces]] = 0,
    tblPassengerNames[[#This Row],[InParenthesesCleaned]],
    LEFT(tblPassengerNames[[#This Row],[InParenthesesCleaned]], tblPassengerNames[[#This Row],[P_FinalSpacePos]] - 1)
)</f>
        <v>Rosalie Paula</v>
      </c>
      <c r="P1270" t="str">
        <f>IFERROR(tblPassengerNames[[#This Row],[P_Forenames]], tblPassengerNames[[#This Row],[ConvForenames]])</f>
        <v>Rosalie Paula</v>
      </c>
      <c r="Q1270" t="str">
        <f>MID(tblPassengerNames[[#This Row],[Name]], tblPassengerNames[[#This Row],[CommaPos]] + 2, tblPassengerNames[[#This Row],[DotPos]] - tblPassengerNames[[#This Row],[CommaPos]] - 1)</f>
        <v>Mrs.</v>
      </c>
      <c r="R1270" t="str">
        <f>LEFT(tblPassengerNames[[#This Row],[Name]], tblPassengerNames[[#This Row],[CommaPos]] - 1)</f>
        <v>Van Impe</v>
      </c>
    </row>
    <row r="1271" spans="2:18" x14ac:dyDescent="0.25">
      <c r="B1271" s="21">
        <v>1269</v>
      </c>
      <c r="C1271" s="21" t="s">
        <v>1403</v>
      </c>
      <c r="D1271" s="21" t="s">
        <v>138</v>
      </c>
      <c r="E1271">
        <f>FIND(",", tblPassengerNames[[#This Row],[Name]])</f>
        <v>14</v>
      </c>
      <c r="F1271">
        <f>FIND(".", tblPassengerNames[[#This Row],[Name]])</f>
        <v>18</v>
      </c>
      <c r="G1271" t="e">
        <f>FIND("(", tblPassengerNames[[#This Row],[Name]])</f>
        <v>#VALUE!</v>
      </c>
      <c r="H1271" t="e">
        <f>FIND(")", tblPassengerNames[[#This Row],[Name]])</f>
        <v>#VALUE!</v>
      </c>
      <c r="I1271">
        <f>IFERROR(tblPassengerNames[[#This Row],[OpenParPos]] - 2, LEN(tblPassengerNames[[#This Row],[Name]]))</f>
        <v>27</v>
      </c>
      <c r="J1271" t="str">
        <f>MID(tblPassengerNames[[#This Row],[Name]], tblPassengerNames[[#This Row],[DotPos]] + 2, tblPassengerNames[[#This Row],[EndOfConvFNPos]] - tblPassengerNames[[#This Row],[DotPos]] - 1)</f>
        <v>Philemon</v>
      </c>
      <c r="K1271" t="e">
        <f>MID(tblPassengerNames[[#This Row],[Name]], tblPassengerNames[[#This Row],[OpenParPos]] + 1, tblPassengerNames[[#This Row],[CloseParPos]] - tblPassengerNames[[#This Row],[OpenParPos]] - 1)</f>
        <v>#VALUE!</v>
      </c>
      <c r="L1271" t="e">
        <f>IF(AND(LEFT(tblPassengerNames[[#This Row],[InParentheses]], 1) = "'", RIGHT(tblPassengerNames[[#This Row],[InParentheses]], 1) = "'"),
    #VALUE!,
    tblPassengerNames[[#This Row],[InParentheses]]
)</f>
        <v>#VALUE!</v>
      </c>
      <c r="M1271" t="e">
        <f>LEN(tblPassengerNames[[#This Row],[InParenthesesCleaned]]) - LEN(SUBSTITUTE(tblPassengerNames[[#This Row],[InParenthesesCleaned]], " ", ""))</f>
        <v>#VALUE!</v>
      </c>
      <c r="N1271" t="e">
        <f>FIND("@", SUBSTITUTE(tblPassengerNames[[#This Row],[InParenthesesCleaned]], " ", "@", tblPassengerNames[[#This Row],[P_NSpaces]]))</f>
        <v>#VALUE!</v>
      </c>
      <c r="O1271" t="e">
        <f>IF(tblPassengerNames[[#This Row],[P_NSpaces]] = 0,
    tblPassengerNames[[#This Row],[InParenthesesCleaned]],
    LEFT(tblPassengerNames[[#This Row],[InParenthesesCleaned]], tblPassengerNames[[#This Row],[P_FinalSpacePos]] - 1)
)</f>
        <v>#VALUE!</v>
      </c>
      <c r="P1271" t="str">
        <f>IFERROR(tblPassengerNames[[#This Row],[P_Forenames]], tblPassengerNames[[#This Row],[ConvForenames]])</f>
        <v>Philemon</v>
      </c>
      <c r="Q1271" t="str">
        <f>MID(tblPassengerNames[[#This Row],[Name]], tblPassengerNames[[#This Row],[CommaPos]] + 2, tblPassengerNames[[#This Row],[DotPos]] - tblPassengerNames[[#This Row],[CommaPos]] - 1)</f>
        <v>Mr.</v>
      </c>
      <c r="R1271" t="str">
        <f>LEFT(tblPassengerNames[[#This Row],[Name]], tblPassengerNames[[#This Row],[CommaPos]] - 1)</f>
        <v>van Melkebeke</v>
      </c>
    </row>
    <row r="1272" spans="2:18" x14ac:dyDescent="0.25">
      <c r="B1272" s="21">
        <v>1270</v>
      </c>
      <c r="C1272" s="21" t="s">
        <v>1404</v>
      </c>
      <c r="D1272" s="21" t="s">
        <v>138</v>
      </c>
      <c r="E1272">
        <f>FIND(",", tblPassengerNames[[#This Row],[Name]])</f>
        <v>12</v>
      </c>
      <c r="F1272">
        <f>FIND(".", tblPassengerNames[[#This Row],[Name]])</f>
        <v>16</v>
      </c>
      <c r="G1272" t="e">
        <f>FIND("(", tblPassengerNames[[#This Row],[Name]])</f>
        <v>#VALUE!</v>
      </c>
      <c r="H1272" t="e">
        <f>FIND(")", tblPassengerNames[[#This Row],[Name]])</f>
        <v>#VALUE!</v>
      </c>
      <c r="I1272">
        <f>IFERROR(tblPassengerNames[[#This Row],[OpenParPos]] - 2, LEN(tblPassengerNames[[#This Row],[Name]]))</f>
        <v>32</v>
      </c>
      <c r="J1272" t="str">
        <f>MID(tblPassengerNames[[#This Row],[Name]], tblPassengerNames[[#This Row],[DotPos]] + 2, tblPassengerNames[[#This Row],[EndOfConvFNPos]] - tblPassengerNames[[#This Row],[DotPos]] - 1)</f>
        <v>Johannes Joseph</v>
      </c>
      <c r="K1272" t="e">
        <f>MID(tblPassengerNames[[#This Row],[Name]], tblPassengerNames[[#This Row],[OpenParPos]] + 1, tblPassengerNames[[#This Row],[CloseParPos]] - tblPassengerNames[[#This Row],[OpenParPos]] - 1)</f>
        <v>#VALUE!</v>
      </c>
      <c r="L1272" t="e">
        <f>IF(AND(LEFT(tblPassengerNames[[#This Row],[InParentheses]], 1) = "'", RIGHT(tblPassengerNames[[#This Row],[InParentheses]], 1) = "'"),
    #VALUE!,
    tblPassengerNames[[#This Row],[InParentheses]]
)</f>
        <v>#VALUE!</v>
      </c>
      <c r="M1272" t="e">
        <f>LEN(tblPassengerNames[[#This Row],[InParenthesesCleaned]]) - LEN(SUBSTITUTE(tblPassengerNames[[#This Row],[InParenthesesCleaned]], " ", ""))</f>
        <v>#VALUE!</v>
      </c>
      <c r="N1272" t="e">
        <f>FIND("@", SUBSTITUTE(tblPassengerNames[[#This Row],[InParenthesesCleaned]], " ", "@", tblPassengerNames[[#This Row],[P_NSpaces]]))</f>
        <v>#VALUE!</v>
      </c>
      <c r="O1272" t="e">
        <f>IF(tblPassengerNames[[#This Row],[P_NSpaces]] = 0,
    tblPassengerNames[[#This Row],[InParenthesesCleaned]],
    LEFT(tblPassengerNames[[#This Row],[InParenthesesCleaned]], tblPassengerNames[[#This Row],[P_FinalSpacePos]] - 1)
)</f>
        <v>#VALUE!</v>
      </c>
      <c r="P1272" t="str">
        <f>IFERROR(tblPassengerNames[[#This Row],[P_Forenames]], tblPassengerNames[[#This Row],[ConvForenames]])</f>
        <v>Johannes Joseph</v>
      </c>
      <c r="Q1272" t="str">
        <f>MID(tblPassengerNames[[#This Row],[Name]], tblPassengerNames[[#This Row],[CommaPos]] + 2, tblPassengerNames[[#This Row],[DotPos]] - tblPassengerNames[[#This Row],[CommaPos]] - 1)</f>
        <v>Mr.</v>
      </c>
      <c r="R1272" t="str">
        <f>LEFT(tblPassengerNames[[#This Row],[Name]], tblPassengerNames[[#This Row],[CommaPos]] - 1)</f>
        <v>Vande Velde</v>
      </c>
    </row>
    <row r="1273" spans="2:18" x14ac:dyDescent="0.25">
      <c r="B1273" s="21">
        <v>1271</v>
      </c>
      <c r="C1273" s="21" t="s">
        <v>1405</v>
      </c>
      <c r="D1273" s="21" t="s">
        <v>138</v>
      </c>
      <c r="E1273">
        <f>FIND(",", tblPassengerNames[[#This Row],[Name]])</f>
        <v>12</v>
      </c>
      <c r="F1273">
        <f>FIND(".", tblPassengerNames[[#This Row],[Name]])</f>
        <v>16</v>
      </c>
      <c r="G1273" t="e">
        <f>FIND("(", tblPassengerNames[[#This Row],[Name]])</f>
        <v>#VALUE!</v>
      </c>
      <c r="H1273" t="e">
        <f>FIND(")", tblPassengerNames[[#This Row],[Name]])</f>
        <v>#VALUE!</v>
      </c>
      <c r="I1273">
        <f>IFERROR(tblPassengerNames[[#This Row],[OpenParPos]] - 2, LEN(tblPassengerNames[[#This Row],[Name]]))</f>
        <v>30</v>
      </c>
      <c r="J1273" t="str">
        <f>MID(tblPassengerNames[[#This Row],[Name]], tblPassengerNames[[#This Row],[DotPos]] + 2, tblPassengerNames[[#This Row],[EndOfConvFNPos]] - tblPassengerNames[[#This Row],[DotPos]] - 1)</f>
        <v>Nestor Cyriel</v>
      </c>
      <c r="K1273" t="e">
        <f>MID(tblPassengerNames[[#This Row],[Name]], tblPassengerNames[[#This Row],[OpenParPos]] + 1, tblPassengerNames[[#This Row],[CloseParPos]] - tblPassengerNames[[#This Row],[OpenParPos]] - 1)</f>
        <v>#VALUE!</v>
      </c>
      <c r="L1273" t="e">
        <f>IF(AND(LEFT(tblPassengerNames[[#This Row],[InParentheses]], 1) = "'", RIGHT(tblPassengerNames[[#This Row],[InParentheses]], 1) = "'"),
    #VALUE!,
    tblPassengerNames[[#This Row],[InParentheses]]
)</f>
        <v>#VALUE!</v>
      </c>
      <c r="M1273" t="e">
        <f>LEN(tblPassengerNames[[#This Row],[InParenthesesCleaned]]) - LEN(SUBSTITUTE(tblPassengerNames[[#This Row],[InParenthesesCleaned]], " ", ""))</f>
        <v>#VALUE!</v>
      </c>
      <c r="N1273" t="e">
        <f>FIND("@", SUBSTITUTE(tblPassengerNames[[#This Row],[InParenthesesCleaned]], " ", "@", tblPassengerNames[[#This Row],[P_NSpaces]]))</f>
        <v>#VALUE!</v>
      </c>
      <c r="O1273" t="e">
        <f>IF(tblPassengerNames[[#This Row],[P_NSpaces]] = 0,
    tblPassengerNames[[#This Row],[InParenthesesCleaned]],
    LEFT(tblPassengerNames[[#This Row],[InParenthesesCleaned]], tblPassengerNames[[#This Row],[P_FinalSpacePos]] - 1)
)</f>
        <v>#VALUE!</v>
      </c>
      <c r="P1273" t="str">
        <f>IFERROR(tblPassengerNames[[#This Row],[P_Forenames]], tblPassengerNames[[#This Row],[ConvForenames]])</f>
        <v>Nestor Cyriel</v>
      </c>
      <c r="Q1273" t="str">
        <f>MID(tblPassengerNames[[#This Row],[Name]], tblPassengerNames[[#This Row],[CommaPos]] + 2, tblPassengerNames[[#This Row],[DotPos]] - tblPassengerNames[[#This Row],[CommaPos]] - 1)</f>
        <v>Mr.</v>
      </c>
      <c r="R1273" t="str">
        <f>LEFT(tblPassengerNames[[#This Row],[Name]], tblPassengerNames[[#This Row],[CommaPos]] - 1)</f>
        <v>Vande Walle</v>
      </c>
    </row>
    <row r="1274" spans="2:18" x14ac:dyDescent="0.25">
      <c r="B1274" s="21">
        <v>1272</v>
      </c>
      <c r="C1274" s="21" t="s">
        <v>1406</v>
      </c>
      <c r="D1274" s="21" t="s">
        <v>138</v>
      </c>
      <c r="E1274">
        <f>FIND(",", tblPassengerNames[[#This Row],[Name]])</f>
        <v>13</v>
      </c>
      <c r="F1274">
        <f>FIND(".", tblPassengerNames[[#This Row],[Name]])</f>
        <v>17</v>
      </c>
      <c r="G1274" t="e">
        <f>FIND("(", tblPassengerNames[[#This Row],[Name]])</f>
        <v>#VALUE!</v>
      </c>
      <c r="H1274" t="e">
        <f>FIND(")", tblPassengerNames[[#This Row],[Name]])</f>
        <v>#VALUE!</v>
      </c>
      <c r="I1274">
        <f>IFERROR(tblPassengerNames[[#This Row],[OpenParPos]] - 2, LEN(tblPassengerNames[[#This Row],[Name]]))</f>
        <v>27</v>
      </c>
      <c r="J1274" t="str">
        <f>MID(tblPassengerNames[[#This Row],[Name]], tblPassengerNames[[#This Row],[DotPos]] + 2, tblPassengerNames[[#This Row],[EndOfConvFNPos]] - tblPassengerNames[[#This Row],[DotPos]] - 1)</f>
        <v>Leo Peter</v>
      </c>
      <c r="K1274" t="e">
        <f>MID(tblPassengerNames[[#This Row],[Name]], tblPassengerNames[[#This Row],[OpenParPos]] + 1, tblPassengerNames[[#This Row],[CloseParPos]] - tblPassengerNames[[#This Row],[OpenParPos]] - 1)</f>
        <v>#VALUE!</v>
      </c>
      <c r="L1274" t="e">
        <f>IF(AND(LEFT(tblPassengerNames[[#This Row],[InParentheses]], 1) = "'", RIGHT(tblPassengerNames[[#This Row],[InParentheses]], 1) = "'"),
    #VALUE!,
    tblPassengerNames[[#This Row],[InParentheses]]
)</f>
        <v>#VALUE!</v>
      </c>
      <c r="M1274" t="e">
        <f>LEN(tblPassengerNames[[#This Row],[InParenthesesCleaned]]) - LEN(SUBSTITUTE(tblPassengerNames[[#This Row],[InParenthesesCleaned]], " ", ""))</f>
        <v>#VALUE!</v>
      </c>
      <c r="N1274" t="e">
        <f>FIND("@", SUBSTITUTE(tblPassengerNames[[#This Row],[InParenthesesCleaned]], " ", "@", tblPassengerNames[[#This Row],[P_NSpaces]]))</f>
        <v>#VALUE!</v>
      </c>
      <c r="O1274" t="e">
        <f>IF(tblPassengerNames[[#This Row],[P_NSpaces]] = 0,
    tblPassengerNames[[#This Row],[InParenthesesCleaned]],
    LEFT(tblPassengerNames[[#This Row],[InParenthesesCleaned]], tblPassengerNames[[#This Row],[P_FinalSpacePos]] - 1)
)</f>
        <v>#VALUE!</v>
      </c>
      <c r="P1274" t="str">
        <f>IFERROR(tblPassengerNames[[#This Row],[P_Forenames]], tblPassengerNames[[#This Row],[ConvForenames]])</f>
        <v>Leo Peter</v>
      </c>
      <c r="Q1274" t="str">
        <f>MID(tblPassengerNames[[#This Row],[Name]], tblPassengerNames[[#This Row],[CommaPos]] + 2, tblPassengerNames[[#This Row],[DotPos]] - tblPassengerNames[[#This Row],[CommaPos]] - 1)</f>
        <v>Mr.</v>
      </c>
      <c r="R1274" t="str">
        <f>LEFT(tblPassengerNames[[#This Row],[Name]], tblPassengerNames[[#This Row],[CommaPos]] - 1)</f>
        <v>Vanden Steen</v>
      </c>
    </row>
    <row r="1275" spans="2:18" x14ac:dyDescent="0.25">
      <c r="B1275" s="21">
        <v>1273</v>
      </c>
      <c r="C1275" s="21" t="s">
        <v>1407</v>
      </c>
      <c r="D1275" s="21" t="s">
        <v>138</v>
      </c>
      <c r="E1275">
        <f>FIND(",", tblPassengerNames[[#This Row],[Name]])</f>
        <v>16</v>
      </c>
      <c r="F1275">
        <f>FIND(".", tblPassengerNames[[#This Row],[Name]])</f>
        <v>20</v>
      </c>
      <c r="G1275" t="e">
        <f>FIND("(", tblPassengerNames[[#This Row],[Name]])</f>
        <v>#VALUE!</v>
      </c>
      <c r="H1275" t="e">
        <f>FIND(")", tblPassengerNames[[#This Row],[Name]])</f>
        <v>#VALUE!</v>
      </c>
      <c r="I1275">
        <f>IFERROR(tblPassengerNames[[#This Row],[OpenParPos]] - 2, LEN(tblPassengerNames[[#This Row],[Name]]))</f>
        <v>27</v>
      </c>
      <c r="J1275" t="str">
        <f>MID(tblPassengerNames[[#This Row],[Name]], tblPassengerNames[[#This Row],[DotPos]] + 2, tblPassengerNames[[#This Row],[EndOfConvFNPos]] - tblPassengerNames[[#This Row],[DotPos]] - 1)</f>
        <v>Victor</v>
      </c>
      <c r="K1275" t="e">
        <f>MID(tblPassengerNames[[#This Row],[Name]], tblPassengerNames[[#This Row],[OpenParPos]] + 1, tblPassengerNames[[#This Row],[CloseParPos]] - tblPassengerNames[[#This Row],[OpenParPos]] - 1)</f>
        <v>#VALUE!</v>
      </c>
      <c r="L1275" t="e">
        <f>IF(AND(LEFT(tblPassengerNames[[#This Row],[InParentheses]], 1) = "'", RIGHT(tblPassengerNames[[#This Row],[InParentheses]], 1) = "'"),
    #VALUE!,
    tblPassengerNames[[#This Row],[InParentheses]]
)</f>
        <v>#VALUE!</v>
      </c>
      <c r="M1275" t="e">
        <f>LEN(tblPassengerNames[[#This Row],[InParenthesesCleaned]]) - LEN(SUBSTITUTE(tblPassengerNames[[#This Row],[InParenthesesCleaned]], " ", ""))</f>
        <v>#VALUE!</v>
      </c>
      <c r="N1275" t="e">
        <f>FIND("@", SUBSTITUTE(tblPassengerNames[[#This Row],[InParenthesesCleaned]], " ", "@", tblPassengerNames[[#This Row],[P_NSpaces]]))</f>
        <v>#VALUE!</v>
      </c>
      <c r="O1275" t="e">
        <f>IF(tblPassengerNames[[#This Row],[P_NSpaces]] = 0,
    tblPassengerNames[[#This Row],[InParenthesesCleaned]],
    LEFT(tblPassengerNames[[#This Row],[InParenthesesCleaned]], tblPassengerNames[[#This Row],[P_FinalSpacePos]] - 1)
)</f>
        <v>#VALUE!</v>
      </c>
      <c r="P1275" t="str">
        <f>IFERROR(tblPassengerNames[[#This Row],[P_Forenames]], tblPassengerNames[[#This Row],[ConvForenames]])</f>
        <v>Victor</v>
      </c>
      <c r="Q1275" t="str">
        <f>MID(tblPassengerNames[[#This Row],[Name]], tblPassengerNames[[#This Row],[CommaPos]] + 2, tblPassengerNames[[#This Row],[DotPos]] - tblPassengerNames[[#This Row],[CommaPos]] - 1)</f>
        <v>Mr.</v>
      </c>
      <c r="R1275" t="str">
        <f>LEFT(tblPassengerNames[[#This Row],[Name]], tblPassengerNames[[#This Row],[CommaPos]] - 1)</f>
        <v>Vander Cruyssen</v>
      </c>
    </row>
    <row r="1276" spans="2:18" x14ac:dyDescent="0.25">
      <c r="B1276" s="21">
        <v>1274</v>
      </c>
      <c r="C1276" s="21" t="s">
        <v>1408</v>
      </c>
      <c r="D1276" s="21" t="s">
        <v>136</v>
      </c>
      <c r="E1276">
        <f>FIND(",", tblPassengerNames[[#This Row],[Name]])</f>
        <v>14</v>
      </c>
      <c r="F1276">
        <f>FIND(".", tblPassengerNames[[#This Row],[Name]])</f>
        <v>20</v>
      </c>
      <c r="G1276" t="e">
        <f>FIND("(", tblPassengerNames[[#This Row],[Name]])</f>
        <v>#VALUE!</v>
      </c>
      <c r="H1276" t="e">
        <f>FIND(")", tblPassengerNames[[#This Row],[Name]])</f>
        <v>#VALUE!</v>
      </c>
      <c r="I1276">
        <f>IFERROR(tblPassengerNames[[#This Row],[OpenParPos]] - 2, LEN(tblPassengerNames[[#This Row],[Name]]))</f>
        <v>34</v>
      </c>
      <c r="J1276" t="str">
        <f>MID(tblPassengerNames[[#This Row],[Name]], tblPassengerNames[[#This Row],[DotPos]] + 2, tblPassengerNames[[#This Row],[EndOfConvFNPos]] - tblPassengerNames[[#This Row],[DotPos]] - 1)</f>
        <v>Augusta Maria</v>
      </c>
      <c r="K1276" t="e">
        <f>MID(tblPassengerNames[[#This Row],[Name]], tblPassengerNames[[#This Row],[OpenParPos]] + 1, tblPassengerNames[[#This Row],[CloseParPos]] - tblPassengerNames[[#This Row],[OpenParPos]] - 1)</f>
        <v>#VALUE!</v>
      </c>
      <c r="L1276" t="e">
        <f>IF(AND(LEFT(tblPassengerNames[[#This Row],[InParentheses]], 1) = "'", RIGHT(tblPassengerNames[[#This Row],[InParentheses]], 1) = "'"),
    #VALUE!,
    tblPassengerNames[[#This Row],[InParentheses]]
)</f>
        <v>#VALUE!</v>
      </c>
      <c r="M1276" t="e">
        <f>LEN(tblPassengerNames[[#This Row],[InParenthesesCleaned]]) - LEN(SUBSTITUTE(tblPassengerNames[[#This Row],[InParenthesesCleaned]], " ", ""))</f>
        <v>#VALUE!</v>
      </c>
      <c r="N1276" t="e">
        <f>FIND("@", SUBSTITUTE(tblPassengerNames[[#This Row],[InParenthesesCleaned]], " ", "@", tblPassengerNames[[#This Row],[P_NSpaces]]))</f>
        <v>#VALUE!</v>
      </c>
      <c r="O1276" t="e">
        <f>IF(tblPassengerNames[[#This Row],[P_NSpaces]] = 0,
    tblPassengerNames[[#This Row],[InParenthesesCleaned]],
    LEFT(tblPassengerNames[[#This Row],[InParenthesesCleaned]], tblPassengerNames[[#This Row],[P_FinalSpacePos]] - 1)
)</f>
        <v>#VALUE!</v>
      </c>
      <c r="P1276" t="str">
        <f>IFERROR(tblPassengerNames[[#This Row],[P_Forenames]], tblPassengerNames[[#This Row],[ConvForenames]])</f>
        <v>Augusta Maria</v>
      </c>
      <c r="Q1276" t="str">
        <f>MID(tblPassengerNames[[#This Row],[Name]], tblPassengerNames[[#This Row],[CommaPos]] + 2, tblPassengerNames[[#This Row],[DotPos]] - tblPassengerNames[[#This Row],[CommaPos]] - 1)</f>
        <v>Miss.</v>
      </c>
      <c r="R1276" t="str">
        <f>LEFT(tblPassengerNames[[#This Row],[Name]], tblPassengerNames[[#This Row],[CommaPos]] - 1)</f>
        <v>Vander Planke</v>
      </c>
    </row>
    <row r="1277" spans="2:18" x14ac:dyDescent="0.25">
      <c r="B1277" s="21">
        <v>1275</v>
      </c>
      <c r="C1277" s="21" t="s">
        <v>1409</v>
      </c>
      <c r="D1277" s="21" t="s">
        <v>138</v>
      </c>
      <c r="E1277">
        <f>FIND(",", tblPassengerNames[[#This Row],[Name]])</f>
        <v>14</v>
      </c>
      <c r="F1277">
        <f>FIND(".", tblPassengerNames[[#This Row],[Name]])</f>
        <v>18</v>
      </c>
      <c r="G1277" t="e">
        <f>FIND("(", tblPassengerNames[[#This Row],[Name]])</f>
        <v>#VALUE!</v>
      </c>
      <c r="H1277" t="e">
        <f>FIND(")", tblPassengerNames[[#This Row],[Name]])</f>
        <v>#VALUE!</v>
      </c>
      <c r="I1277">
        <f>IFERROR(tblPassengerNames[[#This Row],[OpenParPos]] - 2, LEN(tblPassengerNames[[#This Row],[Name]]))</f>
        <v>25</v>
      </c>
      <c r="J1277" t="str">
        <f>MID(tblPassengerNames[[#This Row],[Name]], tblPassengerNames[[#This Row],[DotPos]] + 2, tblPassengerNames[[#This Row],[EndOfConvFNPos]] - tblPassengerNames[[#This Row],[DotPos]] - 1)</f>
        <v>Julius</v>
      </c>
      <c r="K1277" t="e">
        <f>MID(tblPassengerNames[[#This Row],[Name]], tblPassengerNames[[#This Row],[OpenParPos]] + 1, tblPassengerNames[[#This Row],[CloseParPos]] - tblPassengerNames[[#This Row],[OpenParPos]] - 1)</f>
        <v>#VALUE!</v>
      </c>
      <c r="L1277" t="e">
        <f>IF(AND(LEFT(tblPassengerNames[[#This Row],[InParentheses]], 1) = "'", RIGHT(tblPassengerNames[[#This Row],[InParentheses]], 1) = "'"),
    #VALUE!,
    tblPassengerNames[[#This Row],[InParentheses]]
)</f>
        <v>#VALUE!</v>
      </c>
      <c r="M1277" t="e">
        <f>LEN(tblPassengerNames[[#This Row],[InParenthesesCleaned]]) - LEN(SUBSTITUTE(tblPassengerNames[[#This Row],[InParenthesesCleaned]], " ", ""))</f>
        <v>#VALUE!</v>
      </c>
      <c r="N1277" t="e">
        <f>FIND("@", SUBSTITUTE(tblPassengerNames[[#This Row],[InParenthesesCleaned]], " ", "@", tblPassengerNames[[#This Row],[P_NSpaces]]))</f>
        <v>#VALUE!</v>
      </c>
      <c r="O1277" t="e">
        <f>IF(tblPassengerNames[[#This Row],[P_NSpaces]] = 0,
    tblPassengerNames[[#This Row],[InParenthesesCleaned]],
    LEFT(tblPassengerNames[[#This Row],[InParenthesesCleaned]], tblPassengerNames[[#This Row],[P_FinalSpacePos]] - 1)
)</f>
        <v>#VALUE!</v>
      </c>
      <c r="P1277" t="str">
        <f>IFERROR(tblPassengerNames[[#This Row],[P_Forenames]], tblPassengerNames[[#This Row],[ConvForenames]])</f>
        <v>Julius</v>
      </c>
      <c r="Q1277" t="str">
        <f>MID(tblPassengerNames[[#This Row],[Name]], tblPassengerNames[[#This Row],[CommaPos]] + 2, tblPassengerNames[[#This Row],[DotPos]] - tblPassengerNames[[#This Row],[CommaPos]] - 1)</f>
        <v>Mr.</v>
      </c>
      <c r="R1277" t="str">
        <f>LEFT(tblPassengerNames[[#This Row],[Name]], tblPassengerNames[[#This Row],[CommaPos]] - 1)</f>
        <v>Vander Planke</v>
      </c>
    </row>
    <row r="1278" spans="2:18" x14ac:dyDescent="0.25">
      <c r="B1278" s="21">
        <v>1276</v>
      </c>
      <c r="C1278" s="21" t="s">
        <v>1410</v>
      </c>
      <c r="D1278" s="21" t="s">
        <v>138</v>
      </c>
      <c r="E1278">
        <f>FIND(",", tblPassengerNames[[#This Row],[Name]])</f>
        <v>14</v>
      </c>
      <c r="F1278">
        <f>FIND(".", tblPassengerNames[[#This Row],[Name]])</f>
        <v>18</v>
      </c>
      <c r="G1278" t="e">
        <f>FIND("(", tblPassengerNames[[#This Row],[Name]])</f>
        <v>#VALUE!</v>
      </c>
      <c r="H1278" t="e">
        <f>FIND(")", tblPassengerNames[[#This Row],[Name]])</f>
        <v>#VALUE!</v>
      </c>
      <c r="I1278">
        <f>IFERROR(tblPassengerNames[[#This Row],[OpenParPos]] - 2, LEN(tblPassengerNames[[#This Row],[Name]]))</f>
        <v>31</v>
      </c>
      <c r="J1278" t="str">
        <f>MID(tblPassengerNames[[#This Row],[Name]], tblPassengerNames[[#This Row],[DotPos]] + 2, tblPassengerNames[[#This Row],[EndOfConvFNPos]] - tblPassengerNames[[#This Row],[DotPos]] - 1)</f>
        <v>Leo Edmondus</v>
      </c>
      <c r="K1278" t="e">
        <f>MID(tblPassengerNames[[#This Row],[Name]], tblPassengerNames[[#This Row],[OpenParPos]] + 1, tblPassengerNames[[#This Row],[CloseParPos]] - tblPassengerNames[[#This Row],[OpenParPos]] - 1)</f>
        <v>#VALUE!</v>
      </c>
      <c r="L1278" t="e">
        <f>IF(AND(LEFT(tblPassengerNames[[#This Row],[InParentheses]], 1) = "'", RIGHT(tblPassengerNames[[#This Row],[InParentheses]], 1) = "'"),
    #VALUE!,
    tblPassengerNames[[#This Row],[InParentheses]]
)</f>
        <v>#VALUE!</v>
      </c>
      <c r="M1278" t="e">
        <f>LEN(tblPassengerNames[[#This Row],[InParenthesesCleaned]]) - LEN(SUBSTITUTE(tblPassengerNames[[#This Row],[InParenthesesCleaned]], " ", ""))</f>
        <v>#VALUE!</v>
      </c>
      <c r="N1278" t="e">
        <f>FIND("@", SUBSTITUTE(tblPassengerNames[[#This Row],[InParenthesesCleaned]], " ", "@", tblPassengerNames[[#This Row],[P_NSpaces]]))</f>
        <v>#VALUE!</v>
      </c>
      <c r="O1278" t="e">
        <f>IF(tblPassengerNames[[#This Row],[P_NSpaces]] = 0,
    tblPassengerNames[[#This Row],[InParenthesesCleaned]],
    LEFT(tblPassengerNames[[#This Row],[InParenthesesCleaned]], tblPassengerNames[[#This Row],[P_FinalSpacePos]] - 1)
)</f>
        <v>#VALUE!</v>
      </c>
      <c r="P1278" t="str">
        <f>IFERROR(tblPassengerNames[[#This Row],[P_Forenames]], tblPassengerNames[[#This Row],[ConvForenames]])</f>
        <v>Leo Edmondus</v>
      </c>
      <c r="Q1278" t="str">
        <f>MID(tblPassengerNames[[#This Row],[Name]], tblPassengerNames[[#This Row],[CommaPos]] + 2, tblPassengerNames[[#This Row],[DotPos]] - tblPassengerNames[[#This Row],[CommaPos]] - 1)</f>
        <v>Mr.</v>
      </c>
      <c r="R1278" t="str">
        <f>LEFT(tblPassengerNames[[#This Row],[Name]], tblPassengerNames[[#This Row],[CommaPos]] - 1)</f>
        <v>Vander Planke</v>
      </c>
    </row>
    <row r="1279" spans="2:18" x14ac:dyDescent="0.25">
      <c r="B1279" s="21">
        <v>1277</v>
      </c>
      <c r="C1279" s="21" t="s">
        <v>1411</v>
      </c>
      <c r="D1279" s="21" t="s">
        <v>136</v>
      </c>
      <c r="E1279">
        <f>FIND(",", tblPassengerNames[[#This Row],[Name]])</f>
        <v>14</v>
      </c>
      <c r="F1279">
        <f>FIND(".", tblPassengerNames[[#This Row],[Name]])</f>
        <v>19</v>
      </c>
      <c r="G1279">
        <f>FIND("(", tblPassengerNames[[#This Row],[Name]])</f>
        <v>28</v>
      </c>
      <c r="H1279">
        <f>FIND(")", tblPassengerNames[[#This Row],[Name]])</f>
        <v>55</v>
      </c>
      <c r="I1279">
        <f>IFERROR(tblPassengerNames[[#This Row],[OpenParPos]] - 2, LEN(tblPassengerNames[[#This Row],[Name]]))</f>
        <v>26</v>
      </c>
      <c r="J1279" t="str">
        <f>MID(tblPassengerNames[[#This Row],[Name]], tblPassengerNames[[#This Row],[DotPos]] + 2, tblPassengerNames[[#This Row],[EndOfConvFNPos]] - tblPassengerNames[[#This Row],[DotPos]] - 1)</f>
        <v>Julius</v>
      </c>
      <c r="K1279" t="str">
        <f>MID(tblPassengerNames[[#This Row],[Name]], tblPassengerNames[[#This Row],[OpenParPos]] + 1, tblPassengerNames[[#This Row],[CloseParPos]] - tblPassengerNames[[#This Row],[OpenParPos]] - 1)</f>
        <v>Emelia Maria Vandemoortele</v>
      </c>
      <c r="L1279" t="str">
        <f>IF(AND(LEFT(tblPassengerNames[[#This Row],[InParentheses]], 1) = "'", RIGHT(tblPassengerNames[[#This Row],[InParentheses]], 1) = "'"),
    #VALUE!,
    tblPassengerNames[[#This Row],[InParentheses]]
)</f>
        <v>Emelia Maria Vandemoortele</v>
      </c>
      <c r="M1279">
        <f>LEN(tblPassengerNames[[#This Row],[InParenthesesCleaned]]) - LEN(SUBSTITUTE(tblPassengerNames[[#This Row],[InParenthesesCleaned]], " ", ""))</f>
        <v>2</v>
      </c>
      <c r="N1279">
        <f>FIND("@", SUBSTITUTE(tblPassengerNames[[#This Row],[InParenthesesCleaned]], " ", "@", tblPassengerNames[[#This Row],[P_NSpaces]]))</f>
        <v>13</v>
      </c>
      <c r="O1279" t="str">
        <f>IF(tblPassengerNames[[#This Row],[P_NSpaces]] = 0,
    tblPassengerNames[[#This Row],[InParenthesesCleaned]],
    LEFT(tblPassengerNames[[#This Row],[InParenthesesCleaned]], tblPassengerNames[[#This Row],[P_FinalSpacePos]] - 1)
)</f>
        <v>Emelia Maria</v>
      </c>
      <c r="P1279" t="str">
        <f>IFERROR(tblPassengerNames[[#This Row],[P_Forenames]], tblPassengerNames[[#This Row],[ConvForenames]])</f>
        <v>Emelia Maria</v>
      </c>
      <c r="Q1279" t="str">
        <f>MID(tblPassengerNames[[#This Row],[Name]], tblPassengerNames[[#This Row],[CommaPos]] + 2, tblPassengerNames[[#This Row],[DotPos]] - tblPassengerNames[[#This Row],[CommaPos]] - 1)</f>
        <v>Mrs.</v>
      </c>
      <c r="R1279" t="str">
        <f>LEFT(tblPassengerNames[[#This Row],[Name]], tblPassengerNames[[#This Row],[CommaPos]] - 1)</f>
        <v>Vander Planke</v>
      </c>
    </row>
    <row r="1280" spans="2:18" x14ac:dyDescent="0.25">
      <c r="B1280" s="21">
        <v>1278</v>
      </c>
      <c r="C1280" s="21" t="s">
        <v>1412</v>
      </c>
      <c r="D1280" s="21" t="s">
        <v>138</v>
      </c>
      <c r="E1280">
        <f>FIND(",", tblPassengerNames[[#This Row],[Name]])</f>
        <v>10</v>
      </c>
      <c r="F1280">
        <f>FIND(".", tblPassengerNames[[#This Row],[Name]])</f>
        <v>14</v>
      </c>
      <c r="G1280" t="e">
        <f>FIND("(", tblPassengerNames[[#This Row],[Name]])</f>
        <v>#VALUE!</v>
      </c>
      <c r="H1280" t="e">
        <f>FIND(")", tblPassengerNames[[#This Row],[Name]])</f>
        <v>#VALUE!</v>
      </c>
      <c r="I1280">
        <f>IFERROR(tblPassengerNames[[#This Row],[OpenParPos]] - 2, LEN(tblPassengerNames[[#This Row],[Name]]))</f>
        <v>20</v>
      </c>
      <c r="J1280" t="str">
        <f>MID(tblPassengerNames[[#This Row],[Name]], tblPassengerNames[[#This Row],[DotPos]] + 2, tblPassengerNames[[#This Row],[EndOfConvFNPos]] - tblPassengerNames[[#This Row],[DotPos]] - 1)</f>
        <v>David</v>
      </c>
      <c r="K1280" t="e">
        <f>MID(tblPassengerNames[[#This Row],[Name]], tblPassengerNames[[#This Row],[OpenParPos]] + 1, tblPassengerNames[[#This Row],[CloseParPos]] - tblPassengerNames[[#This Row],[OpenParPos]] - 1)</f>
        <v>#VALUE!</v>
      </c>
      <c r="L1280" t="e">
        <f>IF(AND(LEFT(tblPassengerNames[[#This Row],[InParentheses]], 1) = "'", RIGHT(tblPassengerNames[[#This Row],[InParentheses]], 1) = "'"),
    #VALUE!,
    tblPassengerNames[[#This Row],[InParentheses]]
)</f>
        <v>#VALUE!</v>
      </c>
      <c r="M1280" t="e">
        <f>LEN(tblPassengerNames[[#This Row],[InParenthesesCleaned]]) - LEN(SUBSTITUTE(tblPassengerNames[[#This Row],[InParenthesesCleaned]], " ", ""))</f>
        <v>#VALUE!</v>
      </c>
      <c r="N1280" t="e">
        <f>FIND("@", SUBSTITUTE(tblPassengerNames[[#This Row],[InParenthesesCleaned]], " ", "@", tblPassengerNames[[#This Row],[P_NSpaces]]))</f>
        <v>#VALUE!</v>
      </c>
      <c r="O1280" t="e">
        <f>IF(tblPassengerNames[[#This Row],[P_NSpaces]] = 0,
    tblPassengerNames[[#This Row],[InParenthesesCleaned]],
    LEFT(tblPassengerNames[[#This Row],[InParenthesesCleaned]], tblPassengerNames[[#This Row],[P_FinalSpacePos]] - 1)
)</f>
        <v>#VALUE!</v>
      </c>
      <c r="P1280" t="str">
        <f>IFERROR(tblPassengerNames[[#This Row],[P_Forenames]], tblPassengerNames[[#This Row],[ConvForenames]])</f>
        <v>David</v>
      </c>
      <c r="Q1280" t="str">
        <f>MID(tblPassengerNames[[#This Row],[Name]], tblPassengerNames[[#This Row],[CommaPos]] + 2, tblPassengerNames[[#This Row],[DotPos]] - tblPassengerNames[[#This Row],[CommaPos]] - 1)</f>
        <v>Mr.</v>
      </c>
      <c r="R1280" t="str">
        <f>LEFT(tblPassengerNames[[#This Row],[Name]], tblPassengerNames[[#This Row],[CommaPos]] - 1)</f>
        <v>Vartanian</v>
      </c>
    </row>
    <row r="1281" spans="2:18" x14ac:dyDescent="0.25">
      <c r="B1281" s="21">
        <v>1279</v>
      </c>
      <c r="C1281" s="21" t="s">
        <v>1413</v>
      </c>
      <c r="D1281" s="21" t="s">
        <v>138</v>
      </c>
      <c r="E1281">
        <f>FIND(",", tblPassengerNames[[#This Row],[Name]])</f>
        <v>7</v>
      </c>
      <c r="F1281">
        <f>FIND(".", tblPassengerNames[[#This Row],[Name]])</f>
        <v>11</v>
      </c>
      <c r="G1281" t="e">
        <f>FIND("(", tblPassengerNames[[#This Row],[Name]])</f>
        <v>#VALUE!</v>
      </c>
      <c r="H1281" t="e">
        <f>FIND(")", tblPassengerNames[[#This Row],[Name]])</f>
        <v>#VALUE!</v>
      </c>
      <c r="I1281">
        <f>IFERROR(tblPassengerNames[[#This Row],[OpenParPos]] - 2, LEN(tblPassengerNames[[#This Row],[Name]]))</f>
        <v>22</v>
      </c>
      <c r="J1281" t="str">
        <f>MID(tblPassengerNames[[#This Row],[Name]], tblPassengerNames[[#This Row],[DotPos]] + 2, tblPassengerNames[[#This Row],[EndOfConvFNPos]] - tblPassengerNames[[#This Row],[DotPos]] - 1)</f>
        <v>Olof Edvin</v>
      </c>
      <c r="K1281" t="e">
        <f>MID(tblPassengerNames[[#This Row],[Name]], tblPassengerNames[[#This Row],[OpenParPos]] + 1, tblPassengerNames[[#This Row],[CloseParPos]] - tblPassengerNames[[#This Row],[OpenParPos]] - 1)</f>
        <v>#VALUE!</v>
      </c>
      <c r="L1281" t="e">
        <f>IF(AND(LEFT(tblPassengerNames[[#This Row],[InParentheses]], 1) = "'", RIGHT(tblPassengerNames[[#This Row],[InParentheses]], 1) = "'"),
    #VALUE!,
    tblPassengerNames[[#This Row],[InParentheses]]
)</f>
        <v>#VALUE!</v>
      </c>
      <c r="M1281" t="e">
        <f>LEN(tblPassengerNames[[#This Row],[InParenthesesCleaned]]) - LEN(SUBSTITUTE(tblPassengerNames[[#This Row],[InParenthesesCleaned]], " ", ""))</f>
        <v>#VALUE!</v>
      </c>
      <c r="N1281" t="e">
        <f>FIND("@", SUBSTITUTE(tblPassengerNames[[#This Row],[InParenthesesCleaned]], " ", "@", tblPassengerNames[[#This Row],[P_NSpaces]]))</f>
        <v>#VALUE!</v>
      </c>
      <c r="O1281" t="e">
        <f>IF(tblPassengerNames[[#This Row],[P_NSpaces]] = 0,
    tblPassengerNames[[#This Row],[InParenthesesCleaned]],
    LEFT(tblPassengerNames[[#This Row],[InParenthesesCleaned]], tblPassengerNames[[#This Row],[P_FinalSpacePos]] - 1)
)</f>
        <v>#VALUE!</v>
      </c>
      <c r="P1281" t="str">
        <f>IFERROR(tblPassengerNames[[#This Row],[P_Forenames]], tblPassengerNames[[#This Row],[ConvForenames]])</f>
        <v>Olof Edvin</v>
      </c>
      <c r="Q1281" t="str">
        <f>MID(tblPassengerNames[[#This Row],[Name]], tblPassengerNames[[#This Row],[CommaPos]] + 2, tblPassengerNames[[#This Row],[DotPos]] - tblPassengerNames[[#This Row],[CommaPos]] - 1)</f>
        <v>Mr.</v>
      </c>
      <c r="R1281" t="str">
        <f>LEFT(tblPassengerNames[[#This Row],[Name]], tblPassengerNames[[#This Row],[CommaPos]] - 1)</f>
        <v>Vendel</v>
      </c>
    </row>
    <row r="1282" spans="2:18" x14ac:dyDescent="0.25">
      <c r="B1282" s="21">
        <v>1280</v>
      </c>
      <c r="C1282" s="21" t="s">
        <v>1414</v>
      </c>
      <c r="D1282" s="21" t="s">
        <v>136</v>
      </c>
      <c r="E1282">
        <f>FIND(",", tblPassengerNames[[#This Row],[Name]])</f>
        <v>8</v>
      </c>
      <c r="F1282">
        <f>FIND(".", tblPassengerNames[[#This Row],[Name]])</f>
        <v>14</v>
      </c>
      <c r="G1282" t="e">
        <f>FIND("(", tblPassengerNames[[#This Row],[Name]])</f>
        <v>#VALUE!</v>
      </c>
      <c r="H1282" t="e">
        <f>FIND(")", tblPassengerNames[[#This Row],[Name]])</f>
        <v>#VALUE!</v>
      </c>
      <c r="I1282">
        <f>IFERROR(tblPassengerNames[[#This Row],[OpenParPos]] - 2, LEN(tblPassengerNames[[#This Row],[Name]]))</f>
        <v>36</v>
      </c>
      <c r="J1282" t="str">
        <f>MID(tblPassengerNames[[#This Row],[Name]], tblPassengerNames[[#This Row],[DotPos]] + 2, tblPassengerNames[[#This Row],[EndOfConvFNPos]] - tblPassengerNames[[#This Row],[DotPos]] - 1)</f>
        <v>Hulda Amanda Adolfina</v>
      </c>
      <c r="K1282" t="e">
        <f>MID(tblPassengerNames[[#This Row],[Name]], tblPassengerNames[[#This Row],[OpenParPos]] + 1, tblPassengerNames[[#This Row],[CloseParPos]] - tblPassengerNames[[#This Row],[OpenParPos]] - 1)</f>
        <v>#VALUE!</v>
      </c>
      <c r="L1282" t="e">
        <f>IF(AND(LEFT(tblPassengerNames[[#This Row],[InParentheses]], 1) = "'", RIGHT(tblPassengerNames[[#This Row],[InParentheses]], 1) = "'"),
    #VALUE!,
    tblPassengerNames[[#This Row],[InParentheses]]
)</f>
        <v>#VALUE!</v>
      </c>
      <c r="M1282" t="e">
        <f>LEN(tblPassengerNames[[#This Row],[InParenthesesCleaned]]) - LEN(SUBSTITUTE(tblPassengerNames[[#This Row],[InParenthesesCleaned]], " ", ""))</f>
        <v>#VALUE!</v>
      </c>
      <c r="N1282" t="e">
        <f>FIND("@", SUBSTITUTE(tblPassengerNames[[#This Row],[InParenthesesCleaned]], " ", "@", tblPassengerNames[[#This Row],[P_NSpaces]]))</f>
        <v>#VALUE!</v>
      </c>
      <c r="O1282" t="e">
        <f>IF(tblPassengerNames[[#This Row],[P_NSpaces]] = 0,
    tblPassengerNames[[#This Row],[InParenthesesCleaned]],
    LEFT(tblPassengerNames[[#This Row],[InParenthesesCleaned]], tblPassengerNames[[#This Row],[P_FinalSpacePos]] - 1)
)</f>
        <v>#VALUE!</v>
      </c>
      <c r="P1282" t="str">
        <f>IFERROR(tblPassengerNames[[#This Row],[P_Forenames]], tblPassengerNames[[#This Row],[ConvForenames]])</f>
        <v>Hulda Amanda Adolfina</v>
      </c>
      <c r="Q1282" t="str">
        <f>MID(tblPassengerNames[[#This Row],[Name]], tblPassengerNames[[#This Row],[CommaPos]] + 2, tblPassengerNames[[#This Row],[DotPos]] - tblPassengerNames[[#This Row],[CommaPos]] - 1)</f>
        <v>Miss.</v>
      </c>
      <c r="R1282" t="str">
        <f>LEFT(tblPassengerNames[[#This Row],[Name]], tblPassengerNames[[#This Row],[CommaPos]] - 1)</f>
        <v>Vestrom</v>
      </c>
    </row>
    <row r="1283" spans="2:18" x14ac:dyDescent="0.25">
      <c r="B1283" s="21">
        <v>1281</v>
      </c>
      <c r="C1283" s="21" t="s">
        <v>1415</v>
      </c>
      <c r="D1283" s="21" t="s">
        <v>138</v>
      </c>
      <c r="E1283">
        <f>FIND(",", tblPassengerNames[[#This Row],[Name]])</f>
        <v>5</v>
      </c>
      <c r="F1283">
        <f>FIND(".", tblPassengerNames[[#This Row],[Name]])</f>
        <v>9</v>
      </c>
      <c r="G1283" t="e">
        <f>FIND("(", tblPassengerNames[[#This Row],[Name]])</f>
        <v>#VALUE!</v>
      </c>
      <c r="H1283" t="e">
        <f>FIND(")", tblPassengerNames[[#This Row],[Name]])</f>
        <v>#VALUE!</v>
      </c>
      <c r="I1283">
        <f>IFERROR(tblPassengerNames[[#This Row],[OpenParPos]] - 2, LEN(tblPassengerNames[[#This Row],[Name]]))</f>
        <v>15</v>
      </c>
      <c r="J1283" t="str">
        <f>MID(tblPassengerNames[[#This Row],[Name]], tblPassengerNames[[#This Row],[DotPos]] + 2, tblPassengerNames[[#This Row],[EndOfConvFNPos]] - tblPassengerNames[[#This Row],[DotPos]] - 1)</f>
        <v>Janko</v>
      </c>
      <c r="K1283" t="e">
        <f>MID(tblPassengerNames[[#This Row],[Name]], tblPassengerNames[[#This Row],[OpenParPos]] + 1, tblPassengerNames[[#This Row],[CloseParPos]] - tblPassengerNames[[#This Row],[OpenParPos]] - 1)</f>
        <v>#VALUE!</v>
      </c>
      <c r="L1283" t="e">
        <f>IF(AND(LEFT(tblPassengerNames[[#This Row],[InParentheses]], 1) = "'", RIGHT(tblPassengerNames[[#This Row],[InParentheses]], 1) = "'"),
    #VALUE!,
    tblPassengerNames[[#This Row],[InParentheses]]
)</f>
        <v>#VALUE!</v>
      </c>
      <c r="M1283" t="e">
        <f>LEN(tblPassengerNames[[#This Row],[InParenthesesCleaned]]) - LEN(SUBSTITUTE(tblPassengerNames[[#This Row],[InParenthesesCleaned]], " ", ""))</f>
        <v>#VALUE!</v>
      </c>
      <c r="N1283" t="e">
        <f>FIND("@", SUBSTITUTE(tblPassengerNames[[#This Row],[InParenthesesCleaned]], " ", "@", tblPassengerNames[[#This Row],[P_NSpaces]]))</f>
        <v>#VALUE!</v>
      </c>
      <c r="O1283" t="e">
        <f>IF(tblPassengerNames[[#This Row],[P_NSpaces]] = 0,
    tblPassengerNames[[#This Row],[InParenthesesCleaned]],
    LEFT(tblPassengerNames[[#This Row],[InParenthesesCleaned]], tblPassengerNames[[#This Row],[P_FinalSpacePos]] - 1)
)</f>
        <v>#VALUE!</v>
      </c>
      <c r="P1283" t="str">
        <f>IFERROR(tblPassengerNames[[#This Row],[P_Forenames]], tblPassengerNames[[#This Row],[ConvForenames]])</f>
        <v>Janko</v>
      </c>
      <c r="Q1283" t="str">
        <f>MID(tblPassengerNames[[#This Row],[Name]], tblPassengerNames[[#This Row],[CommaPos]] + 2, tblPassengerNames[[#This Row],[DotPos]] - tblPassengerNames[[#This Row],[CommaPos]] - 1)</f>
        <v>Mr.</v>
      </c>
      <c r="R1283" t="str">
        <f>LEFT(tblPassengerNames[[#This Row],[Name]], tblPassengerNames[[#This Row],[CommaPos]] - 1)</f>
        <v>Vovk</v>
      </c>
    </row>
    <row r="1284" spans="2:18" x14ac:dyDescent="0.25">
      <c r="B1284" s="21">
        <v>1282</v>
      </c>
      <c r="C1284" s="21" t="s">
        <v>1416</v>
      </c>
      <c r="D1284" s="21" t="s">
        <v>138</v>
      </c>
      <c r="E1284">
        <f>FIND(",", tblPassengerNames[[#This Row],[Name]])</f>
        <v>8</v>
      </c>
      <c r="F1284">
        <f>FIND(".", tblPassengerNames[[#This Row],[Name]])</f>
        <v>12</v>
      </c>
      <c r="G1284" t="e">
        <f>FIND("(", tblPassengerNames[[#This Row],[Name]])</f>
        <v>#VALUE!</v>
      </c>
      <c r="H1284" t="e">
        <f>FIND(")", tblPassengerNames[[#This Row],[Name]])</f>
        <v>#VALUE!</v>
      </c>
      <c r="I1284">
        <f>IFERROR(tblPassengerNames[[#This Row],[OpenParPos]] - 2, LEN(tblPassengerNames[[#This Row],[Name]]))</f>
        <v>20</v>
      </c>
      <c r="J1284" t="str">
        <f>MID(tblPassengerNames[[#This Row],[Name]], tblPassengerNames[[#This Row],[DotPos]] + 2, tblPassengerNames[[#This Row],[EndOfConvFNPos]] - tblPassengerNames[[#This Row],[DotPos]] - 1)</f>
        <v>Achille</v>
      </c>
      <c r="K1284" t="e">
        <f>MID(tblPassengerNames[[#This Row],[Name]], tblPassengerNames[[#This Row],[OpenParPos]] + 1, tblPassengerNames[[#This Row],[CloseParPos]] - tblPassengerNames[[#This Row],[OpenParPos]] - 1)</f>
        <v>#VALUE!</v>
      </c>
      <c r="L1284" t="e">
        <f>IF(AND(LEFT(tblPassengerNames[[#This Row],[InParentheses]], 1) = "'", RIGHT(tblPassengerNames[[#This Row],[InParentheses]], 1) = "'"),
    #VALUE!,
    tblPassengerNames[[#This Row],[InParentheses]]
)</f>
        <v>#VALUE!</v>
      </c>
      <c r="M1284" t="e">
        <f>LEN(tblPassengerNames[[#This Row],[InParenthesesCleaned]]) - LEN(SUBSTITUTE(tblPassengerNames[[#This Row],[InParenthesesCleaned]], " ", ""))</f>
        <v>#VALUE!</v>
      </c>
      <c r="N1284" t="e">
        <f>FIND("@", SUBSTITUTE(tblPassengerNames[[#This Row],[InParenthesesCleaned]], " ", "@", tblPassengerNames[[#This Row],[P_NSpaces]]))</f>
        <v>#VALUE!</v>
      </c>
      <c r="O1284" t="e">
        <f>IF(tblPassengerNames[[#This Row],[P_NSpaces]] = 0,
    tblPassengerNames[[#This Row],[InParenthesesCleaned]],
    LEFT(tblPassengerNames[[#This Row],[InParenthesesCleaned]], tblPassengerNames[[#This Row],[P_FinalSpacePos]] - 1)
)</f>
        <v>#VALUE!</v>
      </c>
      <c r="P1284" t="str">
        <f>IFERROR(tblPassengerNames[[#This Row],[P_Forenames]], tblPassengerNames[[#This Row],[ConvForenames]])</f>
        <v>Achille</v>
      </c>
      <c r="Q1284" t="str">
        <f>MID(tblPassengerNames[[#This Row],[Name]], tblPassengerNames[[#This Row],[CommaPos]] + 2, tblPassengerNames[[#This Row],[DotPos]] - tblPassengerNames[[#This Row],[CommaPos]] - 1)</f>
        <v>Mr.</v>
      </c>
      <c r="R1284" t="str">
        <f>LEFT(tblPassengerNames[[#This Row],[Name]], tblPassengerNames[[#This Row],[CommaPos]] - 1)</f>
        <v>Waelens</v>
      </c>
    </row>
    <row r="1285" spans="2:18" x14ac:dyDescent="0.25">
      <c r="B1285" s="21">
        <v>1283</v>
      </c>
      <c r="C1285" s="21" t="s">
        <v>1417</v>
      </c>
      <c r="D1285" s="21" t="s">
        <v>138</v>
      </c>
      <c r="E1285">
        <f>FIND(",", tblPassengerNames[[#This Row],[Name]])</f>
        <v>5</v>
      </c>
      <c r="F1285">
        <f>FIND(".", tblPassengerNames[[#This Row],[Name]])</f>
        <v>9</v>
      </c>
      <c r="G1285" t="e">
        <f>FIND("(", tblPassengerNames[[#This Row],[Name]])</f>
        <v>#VALUE!</v>
      </c>
      <c r="H1285" t="e">
        <f>FIND(")", tblPassengerNames[[#This Row],[Name]])</f>
        <v>#VALUE!</v>
      </c>
      <c r="I1285">
        <f>IFERROR(tblPassengerNames[[#This Row],[OpenParPos]] - 2, LEN(tblPassengerNames[[#This Row],[Name]]))</f>
        <v>19</v>
      </c>
      <c r="J1285" t="str">
        <f>MID(tblPassengerNames[[#This Row],[Name]], tblPassengerNames[[#This Row],[DotPos]] + 2, tblPassengerNames[[#This Row],[EndOfConvFNPos]] - tblPassengerNames[[#This Row],[DotPos]] - 1)</f>
        <v>Frederick</v>
      </c>
      <c r="K1285" t="e">
        <f>MID(tblPassengerNames[[#This Row],[Name]], tblPassengerNames[[#This Row],[OpenParPos]] + 1, tblPassengerNames[[#This Row],[CloseParPos]] - tblPassengerNames[[#This Row],[OpenParPos]] - 1)</f>
        <v>#VALUE!</v>
      </c>
      <c r="L1285" t="e">
        <f>IF(AND(LEFT(tblPassengerNames[[#This Row],[InParentheses]], 1) = "'", RIGHT(tblPassengerNames[[#This Row],[InParentheses]], 1) = "'"),
    #VALUE!,
    tblPassengerNames[[#This Row],[InParentheses]]
)</f>
        <v>#VALUE!</v>
      </c>
      <c r="M1285" t="e">
        <f>LEN(tblPassengerNames[[#This Row],[InParenthesesCleaned]]) - LEN(SUBSTITUTE(tblPassengerNames[[#This Row],[InParenthesesCleaned]], " ", ""))</f>
        <v>#VALUE!</v>
      </c>
      <c r="N1285" t="e">
        <f>FIND("@", SUBSTITUTE(tblPassengerNames[[#This Row],[InParenthesesCleaned]], " ", "@", tblPassengerNames[[#This Row],[P_NSpaces]]))</f>
        <v>#VALUE!</v>
      </c>
      <c r="O1285" t="e">
        <f>IF(tblPassengerNames[[#This Row],[P_NSpaces]] = 0,
    tblPassengerNames[[#This Row],[InParenthesesCleaned]],
    LEFT(tblPassengerNames[[#This Row],[InParenthesesCleaned]], tblPassengerNames[[#This Row],[P_FinalSpacePos]] - 1)
)</f>
        <v>#VALUE!</v>
      </c>
      <c r="P1285" t="str">
        <f>IFERROR(tblPassengerNames[[#This Row],[P_Forenames]], tblPassengerNames[[#This Row],[ConvForenames]])</f>
        <v>Frederick</v>
      </c>
      <c r="Q1285" t="str">
        <f>MID(tblPassengerNames[[#This Row],[Name]], tblPassengerNames[[#This Row],[CommaPos]] + 2, tblPassengerNames[[#This Row],[DotPos]] - tblPassengerNames[[#This Row],[CommaPos]] - 1)</f>
        <v>Mr.</v>
      </c>
      <c r="R1285" t="str">
        <f>LEFT(tblPassengerNames[[#This Row],[Name]], tblPassengerNames[[#This Row],[CommaPos]] - 1)</f>
        <v>Ware</v>
      </c>
    </row>
    <row r="1286" spans="2:18" x14ac:dyDescent="0.25">
      <c r="B1286" s="21">
        <v>1284</v>
      </c>
      <c r="C1286" s="21" t="s">
        <v>1418</v>
      </c>
      <c r="D1286" s="21" t="s">
        <v>138</v>
      </c>
      <c r="E1286">
        <f>FIND(",", tblPassengerNames[[#This Row],[Name]])</f>
        <v>7</v>
      </c>
      <c r="F1286">
        <f>FIND(".", tblPassengerNames[[#This Row],[Name]])</f>
        <v>11</v>
      </c>
      <c r="G1286" t="e">
        <f>FIND("(", tblPassengerNames[[#This Row],[Name]])</f>
        <v>#VALUE!</v>
      </c>
      <c r="H1286" t="e">
        <f>FIND(")", tblPassengerNames[[#This Row],[Name]])</f>
        <v>#VALUE!</v>
      </c>
      <c r="I1286">
        <f>IFERROR(tblPassengerNames[[#This Row],[OpenParPos]] - 2, LEN(tblPassengerNames[[#This Row],[Name]]))</f>
        <v>27</v>
      </c>
      <c r="J1286" t="str">
        <f>MID(tblPassengerNames[[#This Row],[Name]], tblPassengerNames[[#This Row],[DotPos]] + 2, tblPassengerNames[[#This Row],[EndOfConvFNPos]] - tblPassengerNames[[#This Row],[DotPos]] - 1)</f>
        <v>Charles William</v>
      </c>
      <c r="K1286" t="e">
        <f>MID(tblPassengerNames[[#This Row],[Name]], tblPassengerNames[[#This Row],[OpenParPos]] + 1, tblPassengerNames[[#This Row],[CloseParPos]] - tblPassengerNames[[#This Row],[OpenParPos]] - 1)</f>
        <v>#VALUE!</v>
      </c>
      <c r="L1286" t="e">
        <f>IF(AND(LEFT(tblPassengerNames[[#This Row],[InParentheses]], 1) = "'", RIGHT(tblPassengerNames[[#This Row],[InParentheses]], 1) = "'"),
    #VALUE!,
    tblPassengerNames[[#This Row],[InParentheses]]
)</f>
        <v>#VALUE!</v>
      </c>
      <c r="M1286" t="e">
        <f>LEN(tblPassengerNames[[#This Row],[InParenthesesCleaned]]) - LEN(SUBSTITUTE(tblPassengerNames[[#This Row],[InParenthesesCleaned]], " ", ""))</f>
        <v>#VALUE!</v>
      </c>
      <c r="N1286" t="e">
        <f>FIND("@", SUBSTITUTE(tblPassengerNames[[#This Row],[InParenthesesCleaned]], " ", "@", tblPassengerNames[[#This Row],[P_NSpaces]]))</f>
        <v>#VALUE!</v>
      </c>
      <c r="O1286" t="e">
        <f>IF(tblPassengerNames[[#This Row],[P_NSpaces]] = 0,
    tblPassengerNames[[#This Row],[InParenthesesCleaned]],
    LEFT(tblPassengerNames[[#This Row],[InParenthesesCleaned]], tblPassengerNames[[#This Row],[P_FinalSpacePos]] - 1)
)</f>
        <v>#VALUE!</v>
      </c>
      <c r="P1286" t="str">
        <f>IFERROR(tblPassengerNames[[#This Row],[P_Forenames]], tblPassengerNames[[#This Row],[ConvForenames]])</f>
        <v>Charles William</v>
      </c>
      <c r="Q1286" t="str">
        <f>MID(tblPassengerNames[[#This Row],[Name]], tblPassengerNames[[#This Row],[CommaPos]] + 2, tblPassengerNames[[#This Row],[DotPos]] - tblPassengerNames[[#This Row],[CommaPos]] - 1)</f>
        <v>Mr.</v>
      </c>
      <c r="R1286" t="str">
        <f>LEFT(tblPassengerNames[[#This Row],[Name]], tblPassengerNames[[#This Row],[CommaPos]] - 1)</f>
        <v>Warren</v>
      </c>
    </row>
    <row r="1287" spans="2:18" x14ac:dyDescent="0.25">
      <c r="B1287" s="21">
        <v>1285</v>
      </c>
      <c r="C1287" s="21" t="s">
        <v>1419</v>
      </c>
      <c r="D1287" s="21" t="s">
        <v>138</v>
      </c>
      <c r="E1287">
        <f>FIND(",", tblPassengerNames[[#This Row],[Name]])</f>
        <v>7</v>
      </c>
      <c r="F1287">
        <f>FIND(".", tblPassengerNames[[#This Row],[Name]])</f>
        <v>11</v>
      </c>
      <c r="G1287" t="e">
        <f>FIND("(", tblPassengerNames[[#This Row],[Name]])</f>
        <v>#VALUE!</v>
      </c>
      <c r="H1287" t="e">
        <f>FIND(")", tblPassengerNames[[#This Row],[Name]])</f>
        <v>#VALUE!</v>
      </c>
      <c r="I1287">
        <f>IFERROR(tblPassengerNames[[#This Row],[OpenParPos]] - 2, LEN(tblPassengerNames[[#This Row],[Name]]))</f>
        <v>17</v>
      </c>
      <c r="J1287" t="str">
        <f>MID(tblPassengerNames[[#This Row],[Name]], tblPassengerNames[[#This Row],[DotPos]] + 2, tblPassengerNames[[#This Row],[EndOfConvFNPos]] - tblPassengerNames[[#This Row],[DotPos]] - 1)</f>
        <v>James</v>
      </c>
      <c r="K1287" t="e">
        <f>MID(tblPassengerNames[[#This Row],[Name]], tblPassengerNames[[#This Row],[OpenParPos]] + 1, tblPassengerNames[[#This Row],[CloseParPos]] - tblPassengerNames[[#This Row],[OpenParPos]] - 1)</f>
        <v>#VALUE!</v>
      </c>
      <c r="L1287" t="e">
        <f>IF(AND(LEFT(tblPassengerNames[[#This Row],[InParentheses]], 1) = "'", RIGHT(tblPassengerNames[[#This Row],[InParentheses]], 1) = "'"),
    #VALUE!,
    tblPassengerNames[[#This Row],[InParentheses]]
)</f>
        <v>#VALUE!</v>
      </c>
      <c r="M1287" t="e">
        <f>LEN(tblPassengerNames[[#This Row],[InParenthesesCleaned]]) - LEN(SUBSTITUTE(tblPassengerNames[[#This Row],[InParenthesesCleaned]], " ", ""))</f>
        <v>#VALUE!</v>
      </c>
      <c r="N1287" t="e">
        <f>FIND("@", SUBSTITUTE(tblPassengerNames[[#This Row],[InParenthesesCleaned]], " ", "@", tblPassengerNames[[#This Row],[P_NSpaces]]))</f>
        <v>#VALUE!</v>
      </c>
      <c r="O1287" t="e">
        <f>IF(tblPassengerNames[[#This Row],[P_NSpaces]] = 0,
    tblPassengerNames[[#This Row],[InParenthesesCleaned]],
    LEFT(tblPassengerNames[[#This Row],[InParenthesesCleaned]], tblPassengerNames[[#This Row],[P_FinalSpacePos]] - 1)
)</f>
        <v>#VALUE!</v>
      </c>
      <c r="P1287" t="str">
        <f>IFERROR(tblPassengerNames[[#This Row],[P_Forenames]], tblPassengerNames[[#This Row],[ConvForenames]])</f>
        <v>James</v>
      </c>
      <c r="Q1287" t="str">
        <f>MID(tblPassengerNames[[#This Row],[Name]], tblPassengerNames[[#This Row],[CommaPos]] + 2, tblPassengerNames[[#This Row],[DotPos]] - tblPassengerNames[[#This Row],[CommaPos]] - 1)</f>
        <v>Mr.</v>
      </c>
      <c r="R1287" t="str">
        <f>LEFT(tblPassengerNames[[#This Row],[Name]], tblPassengerNames[[#This Row],[CommaPos]] - 1)</f>
        <v>Webber</v>
      </c>
    </row>
    <row r="1288" spans="2:18" x14ac:dyDescent="0.25">
      <c r="B1288" s="21">
        <v>1286</v>
      </c>
      <c r="C1288" s="21" t="s">
        <v>1420</v>
      </c>
      <c r="D1288" s="21" t="s">
        <v>138</v>
      </c>
      <c r="E1288">
        <f>FIND(",", tblPassengerNames[[#This Row],[Name]])</f>
        <v>7</v>
      </c>
      <c r="F1288">
        <f>FIND(".", tblPassengerNames[[#This Row],[Name]])</f>
        <v>11</v>
      </c>
      <c r="G1288" t="e">
        <f>FIND("(", tblPassengerNames[[#This Row],[Name]])</f>
        <v>#VALUE!</v>
      </c>
      <c r="H1288" t="e">
        <f>FIND(")", tblPassengerNames[[#This Row],[Name]])</f>
        <v>#VALUE!</v>
      </c>
      <c r="I1288">
        <f>IFERROR(tblPassengerNames[[#This Row],[OpenParPos]] - 2, LEN(tblPassengerNames[[#This Row],[Name]]))</f>
        <v>19</v>
      </c>
      <c r="J1288" t="str">
        <f>MID(tblPassengerNames[[#This Row],[Name]], tblPassengerNames[[#This Row],[DotPos]] + 2, tblPassengerNames[[#This Row],[EndOfConvFNPos]] - tblPassengerNames[[#This Row],[DotPos]] - 1)</f>
        <v>Linhart</v>
      </c>
      <c r="K1288" t="e">
        <f>MID(tblPassengerNames[[#This Row],[Name]], tblPassengerNames[[#This Row],[OpenParPos]] + 1, tblPassengerNames[[#This Row],[CloseParPos]] - tblPassengerNames[[#This Row],[OpenParPos]] - 1)</f>
        <v>#VALUE!</v>
      </c>
      <c r="L1288" t="e">
        <f>IF(AND(LEFT(tblPassengerNames[[#This Row],[InParentheses]], 1) = "'", RIGHT(tblPassengerNames[[#This Row],[InParentheses]], 1) = "'"),
    #VALUE!,
    tblPassengerNames[[#This Row],[InParentheses]]
)</f>
        <v>#VALUE!</v>
      </c>
      <c r="M1288" t="e">
        <f>LEN(tblPassengerNames[[#This Row],[InParenthesesCleaned]]) - LEN(SUBSTITUTE(tblPassengerNames[[#This Row],[InParenthesesCleaned]], " ", ""))</f>
        <v>#VALUE!</v>
      </c>
      <c r="N1288" t="e">
        <f>FIND("@", SUBSTITUTE(tblPassengerNames[[#This Row],[InParenthesesCleaned]], " ", "@", tblPassengerNames[[#This Row],[P_NSpaces]]))</f>
        <v>#VALUE!</v>
      </c>
      <c r="O1288" t="e">
        <f>IF(tblPassengerNames[[#This Row],[P_NSpaces]] = 0,
    tblPassengerNames[[#This Row],[InParenthesesCleaned]],
    LEFT(tblPassengerNames[[#This Row],[InParenthesesCleaned]], tblPassengerNames[[#This Row],[P_FinalSpacePos]] - 1)
)</f>
        <v>#VALUE!</v>
      </c>
      <c r="P1288" t="str">
        <f>IFERROR(tblPassengerNames[[#This Row],[P_Forenames]], tblPassengerNames[[#This Row],[ConvForenames]])</f>
        <v>Linhart</v>
      </c>
      <c r="Q1288" t="str">
        <f>MID(tblPassengerNames[[#This Row],[Name]], tblPassengerNames[[#This Row],[CommaPos]] + 2, tblPassengerNames[[#This Row],[DotPos]] - tblPassengerNames[[#This Row],[CommaPos]] - 1)</f>
        <v>Mr.</v>
      </c>
      <c r="R1288" t="str">
        <f>LEFT(tblPassengerNames[[#This Row],[Name]], tblPassengerNames[[#This Row],[CommaPos]] - 1)</f>
        <v>Wenzel</v>
      </c>
    </row>
    <row r="1289" spans="2:18" x14ac:dyDescent="0.25">
      <c r="B1289" s="21">
        <v>1287</v>
      </c>
      <c r="C1289" s="21" t="s">
        <v>1421</v>
      </c>
      <c r="D1289" s="21" t="s">
        <v>136</v>
      </c>
      <c r="E1289">
        <f>FIND(",", tblPassengerNames[[#This Row],[Name]])</f>
        <v>7</v>
      </c>
      <c r="F1289">
        <f>FIND(".", tblPassengerNames[[#This Row],[Name]])</f>
        <v>12</v>
      </c>
      <c r="G1289">
        <f>FIND("(", tblPassengerNames[[#This Row],[Name]])</f>
        <v>28</v>
      </c>
      <c r="H1289">
        <f>FIND(")", tblPassengerNames[[#This Row],[Name]])</f>
        <v>47</v>
      </c>
      <c r="I1289">
        <f>IFERROR(tblPassengerNames[[#This Row],[OpenParPos]] - 2, LEN(tblPassengerNames[[#This Row],[Name]]))</f>
        <v>26</v>
      </c>
      <c r="J1289" t="str">
        <f>MID(tblPassengerNames[[#This Row],[Name]], tblPassengerNames[[#This Row],[DotPos]] + 2, tblPassengerNames[[#This Row],[EndOfConvFNPos]] - tblPassengerNames[[#This Row],[DotPos]] - 1)</f>
        <v>George Joseph</v>
      </c>
      <c r="K1289" t="str">
        <f>MID(tblPassengerNames[[#This Row],[Name]], tblPassengerNames[[#This Row],[OpenParPos]] + 1, tblPassengerNames[[#This Row],[CloseParPos]] - tblPassengerNames[[#This Row],[OpenParPos]] - 1)</f>
        <v>Shawneene Abi-Saab</v>
      </c>
      <c r="L1289" t="str">
        <f>IF(AND(LEFT(tblPassengerNames[[#This Row],[InParentheses]], 1) = "'", RIGHT(tblPassengerNames[[#This Row],[InParentheses]], 1) = "'"),
    #VALUE!,
    tblPassengerNames[[#This Row],[InParentheses]]
)</f>
        <v>Shawneene Abi-Saab</v>
      </c>
      <c r="M1289">
        <f>LEN(tblPassengerNames[[#This Row],[InParenthesesCleaned]]) - LEN(SUBSTITUTE(tblPassengerNames[[#This Row],[InParenthesesCleaned]], " ", ""))</f>
        <v>1</v>
      </c>
      <c r="N1289">
        <f>FIND("@", SUBSTITUTE(tblPassengerNames[[#This Row],[InParenthesesCleaned]], " ", "@", tblPassengerNames[[#This Row],[P_NSpaces]]))</f>
        <v>10</v>
      </c>
      <c r="O1289" t="str">
        <f>IF(tblPassengerNames[[#This Row],[P_NSpaces]] = 0,
    tblPassengerNames[[#This Row],[InParenthesesCleaned]],
    LEFT(tblPassengerNames[[#This Row],[InParenthesesCleaned]], tblPassengerNames[[#This Row],[P_FinalSpacePos]] - 1)
)</f>
        <v>Shawneene</v>
      </c>
      <c r="P1289" t="str">
        <f>IFERROR(tblPassengerNames[[#This Row],[P_Forenames]], tblPassengerNames[[#This Row],[ConvForenames]])</f>
        <v>Shawneene</v>
      </c>
      <c r="Q1289" t="str">
        <f>MID(tblPassengerNames[[#This Row],[Name]], tblPassengerNames[[#This Row],[CommaPos]] + 2, tblPassengerNames[[#This Row],[DotPos]] - tblPassengerNames[[#This Row],[CommaPos]] - 1)</f>
        <v>Mrs.</v>
      </c>
      <c r="R1289" t="str">
        <f>LEFT(tblPassengerNames[[#This Row],[Name]], tblPassengerNames[[#This Row],[CommaPos]] - 1)</f>
        <v>Whabee</v>
      </c>
    </row>
    <row r="1290" spans="2:18" x14ac:dyDescent="0.25">
      <c r="B1290" s="21">
        <v>1288</v>
      </c>
      <c r="C1290" s="21" t="s">
        <v>1422</v>
      </c>
      <c r="D1290" s="21" t="s">
        <v>138</v>
      </c>
      <c r="E1290">
        <f>FIND(",", tblPassengerNames[[#This Row],[Name]])</f>
        <v>9</v>
      </c>
      <c r="F1290">
        <f>FIND(".", tblPassengerNames[[#This Row],[Name]])</f>
        <v>13</v>
      </c>
      <c r="G1290" t="e">
        <f>FIND("(", tblPassengerNames[[#This Row],[Name]])</f>
        <v>#VALUE!</v>
      </c>
      <c r="H1290" t="e">
        <f>FIND(")", tblPassengerNames[[#This Row],[Name]])</f>
        <v>#VALUE!</v>
      </c>
      <c r="I1290">
        <f>IFERROR(tblPassengerNames[[#This Row],[OpenParPos]] - 2, LEN(tblPassengerNames[[#This Row],[Name]]))</f>
        <v>32</v>
      </c>
      <c r="J1290" t="str">
        <f>MID(tblPassengerNames[[#This Row],[Name]], tblPassengerNames[[#This Row],[DotPos]] + 2, tblPassengerNames[[#This Row],[EndOfConvFNPos]] - tblPassengerNames[[#This Row],[DotPos]] - 1)</f>
        <v>Carl/Charles Peter</v>
      </c>
      <c r="K1290" t="e">
        <f>MID(tblPassengerNames[[#This Row],[Name]], tblPassengerNames[[#This Row],[OpenParPos]] + 1, tblPassengerNames[[#This Row],[CloseParPos]] - tblPassengerNames[[#This Row],[OpenParPos]] - 1)</f>
        <v>#VALUE!</v>
      </c>
      <c r="L1290" t="e">
        <f>IF(AND(LEFT(tblPassengerNames[[#This Row],[InParentheses]], 1) = "'", RIGHT(tblPassengerNames[[#This Row],[InParentheses]], 1) = "'"),
    #VALUE!,
    tblPassengerNames[[#This Row],[InParentheses]]
)</f>
        <v>#VALUE!</v>
      </c>
      <c r="M1290" t="e">
        <f>LEN(tblPassengerNames[[#This Row],[InParenthesesCleaned]]) - LEN(SUBSTITUTE(tblPassengerNames[[#This Row],[InParenthesesCleaned]], " ", ""))</f>
        <v>#VALUE!</v>
      </c>
      <c r="N1290" t="e">
        <f>FIND("@", SUBSTITUTE(tblPassengerNames[[#This Row],[InParenthesesCleaned]], " ", "@", tblPassengerNames[[#This Row],[P_NSpaces]]))</f>
        <v>#VALUE!</v>
      </c>
      <c r="O1290" t="e">
        <f>IF(tblPassengerNames[[#This Row],[P_NSpaces]] = 0,
    tblPassengerNames[[#This Row],[InParenthesesCleaned]],
    LEFT(tblPassengerNames[[#This Row],[InParenthesesCleaned]], tblPassengerNames[[#This Row],[P_FinalSpacePos]] - 1)
)</f>
        <v>#VALUE!</v>
      </c>
      <c r="P1290" t="str">
        <f>IFERROR(tblPassengerNames[[#This Row],[P_Forenames]], tblPassengerNames[[#This Row],[ConvForenames]])</f>
        <v>Carl/Charles Peter</v>
      </c>
      <c r="Q1290" t="str">
        <f>MID(tblPassengerNames[[#This Row],[Name]], tblPassengerNames[[#This Row],[CommaPos]] + 2, tblPassengerNames[[#This Row],[DotPos]] - tblPassengerNames[[#This Row],[CommaPos]] - 1)</f>
        <v>Mr.</v>
      </c>
      <c r="R1290" t="str">
        <f>LEFT(tblPassengerNames[[#This Row],[Name]], tblPassengerNames[[#This Row],[CommaPos]] - 1)</f>
        <v>Widegren</v>
      </c>
    </row>
    <row r="1291" spans="2:18" x14ac:dyDescent="0.25">
      <c r="B1291" s="21">
        <v>1289</v>
      </c>
      <c r="C1291" s="21" t="s">
        <v>1423</v>
      </c>
      <c r="D1291" s="21" t="s">
        <v>138</v>
      </c>
      <c r="E1291">
        <f>FIND(",", tblPassengerNames[[#This Row],[Name]])</f>
        <v>8</v>
      </c>
      <c r="F1291">
        <f>FIND(".", tblPassengerNames[[#This Row],[Name]])</f>
        <v>12</v>
      </c>
      <c r="G1291" t="e">
        <f>FIND("(", tblPassengerNames[[#This Row],[Name]])</f>
        <v>#VALUE!</v>
      </c>
      <c r="H1291" t="e">
        <f>FIND(")", tblPassengerNames[[#This Row],[Name]])</f>
        <v>#VALUE!</v>
      </c>
      <c r="I1291">
        <f>IFERROR(tblPassengerNames[[#This Row],[OpenParPos]] - 2, LEN(tblPassengerNames[[#This Row],[Name]]))</f>
        <v>25</v>
      </c>
      <c r="J1291" t="str">
        <f>MID(tblPassengerNames[[#This Row],[Name]], tblPassengerNames[[#This Row],[DotPos]] + 2, tblPassengerNames[[#This Row],[EndOfConvFNPos]] - tblPassengerNames[[#This Row],[DotPos]] - 1)</f>
        <v>Jakob Alfred</v>
      </c>
      <c r="K1291" t="e">
        <f>MID(tblPassengerNames[[#This Row],[Name]], tblPassengerNames[[#This Row],[OpenParPos]] + 1, tblPassengerNames[[#This Row],[CloseParPos]] - tblPassengerNames[[#This Row],[OpenParPos]] - 1)</f>
        <v>#VALUE!</v>
      </c>
      <c r="L1291" t="e">
        <f>IF(AND(LEFT(tblPassengerNames[[#This Row],[InParentheses]], 1) = "'", RIGHT(tblPassengerNames[[#This Row],[InParentheses]], 1) = "'"),
    #VALUE!,
    tblPassengerNames[[#This Row],[InParentheses]]
)</f>
        <v>#VALUE!</v>
      </c>
      <c r="M1291" t="e">
        <f>LEN(tblPassengerNames[[#This Row],[InParenthesesCleaned]]) - LEN(SUBSTITUTE(tblPassengerNames[[#This Row],[InParenthesesCleaned]], " ", ""))</f>
        <v>#VALUE!</v>
      </c>
      <c r="N1291" t="e">
        <f>FIND("@", SUBSTITUTE(tblPassengerNames[[#This Row],[InParenthesesCleaned]], " ", "@", tblPassengerNames[[#This Row],[P_NSpaces]]))</f>
        <v>#VALUE!</v>
      </c>
      <c r="O1291" t="e">
        <f>IF(tblPassengerNames[[#This Row],[P_NSpaces]] = 0,
    tblPassengerNames[[#This Row],[InParenthesesCleaned]],
    LEFT(tblPassengerNames[[#This Row],[InParenthesesCleaned]], tblPassengerNames[[#This Row],[P_FinalSpacePos]] - 1)
)</f>
        <v>#VALUE!</v>
      </c>
      <c r="P1291" t="str">
        <f>IFERROR(tblPassengerNames[[#This Row],[P_Forenames]], tblPassengerNames[[#This Row],[ConvForenames]])</f>
        <v>Jakob Alfred</v>
      </c>
      <c r="Q1291" t="str">
        <f>MID(tblPassengerNames[[#This Row],[Name]], tblPassengerNames[[#This Row],[CommaPos]] + 2, tblPassengerNames[[#This Row],[DotPos]] - tblPassengerNames[[#This Row],[CommaPos]] - 1)</f>
        <v>Mr.</v>
      </c>
      <c r="R1291" t="str">
        <f>LEFT(tblPassengerNames[[#This Row],[Name]], tblPassengerNames[[#This Row],[CommaPos]] - 1)</f>
        <v>Wiklund</v>
      </c>
    </row>
    <row r="1292" spans="2:18" x14ac:dyDescent="0.25">
      <c r="B1292" s="21">
        <v>1290</v>
      </c>
      <c r="C1292" s="21" t="s">
        <v>1424</v>
      </c>
      <c r="D1292" s="21" t="s">
        <v>138</v>
      </c>
      <c r="E1292">
        <f>FIND(",", tblPassengerNames[[#This Row],[Name]])</f>
        <v>8</v>
      </c>
      <c r="F1292">
        <f>FIND(".", tblPassengerNames[[#This Row],[Name]])</f>
        <v>12</v>
      </c>
      <c r="G1292" t="e">
        <f>FIND("(", tblPassengerNames[[#This Row],[Name]])</f>
        <v>#VALUE!</v>
      </c>
      <c r="H1292" t="e">
        <f>FIND(")", tblPassengerNames[[#This Row],[Name]])</f>
        <v>#VALUE!</v>
      </c>
      <c r="I1292">
        <f>IFERROR(tblPassengerNames[[#This Row],[OpenParPos]] - 2, LEN(tblPassengerNames[[#This Row],[Name]]))</f>
        <v>23</v>
      </c>
      <c r="J1292" t="str">
        <f>MID(tblPassengerNames[[#This Row],[Name]], tblPassengerNames[[#This Row],[DotPos]] + 2, tblPassengerNames[[#This Row],[EndOfConvFNPos]] - tblPassengerNames[[#This Row],[DotPos]] - 1)</f>
        <v>Karl Johan</v>
      </c>
      <c r="K1292" t="e">
        <f>MID(tblPassengerNames[[#This Row],[Name]], tblPassengerNames[[#This Row],[OpenParPos]] + 1, tblPassengerNames[[#This Row],[CloseParPos]] - tblPassengerNames[[#This Row],[OpenParPos]] - 1)</f>
        <v>#VALUE!</v>
      </c>
      <c r="L1292" t="e">
        <f>IF(AND(LEFT(tblPassengerNames[[#This Row],[InParentheses]], 1) = "'", RIGHT(tblPassengerNames[[#This Row],[InParentheses]], 1) = "'"),
    #VALUE!,
    tblPassengerNames[[#This Row],[InParentheses]]
)</f>
        <v>#VALUE!</v>
      </c>
      <c r="M1292" t="e">
        <f>LEN(tblPassengerNames[[#This Row],[InParenthesesCleaned]]) - LEN(SUBSTITUTE(tblPassengerNames[[#This Row],[InParenthesesCleaned]], " ", ""))</f>
        <v>#VALUE!</v>
      </c>
      <c r="N1292" t="e">
        <f>FIND("@", SUBSTITUTE(tblPassengerNames[[#This Row],[InParenthesesCleaned]], " ", "@", tblPassengerNames[[#This Row],[P_NSpaces]]))</f>
        <v>#VALUE!</v>
      </c>
      <c r="O1292" t="e">
        <f>IF(tblPassengerNames[[#This Row],[P_NSpaces]] = 0,
    tblPassengerNames[[#This Row],[InParenthesesCleaned]],
    LEFT(tblPassengerNames[[#This Row],[InParenthesesCleaned]], tblPassengerNames[[#This Row],[P_FinalSpacePos]] - 1)
)</f>
        <v>#VALUE!</v>
      </c>
      <c r="P1292" t="str">
        <f>IFERROR(tblPassengerNames[[#This Row],[P_Forenames]], tblPassengerNames[[#This Row],[ConvForenames]])</f>
        <v>Karl Johan</v>
      </c>
      <c r="Q1292" t="str">
        <f>MID(tblPassengerNames[[#This Row],[Name]], tblPassengerNames[[#This Row],[CommaPos]] + 2, tblPassengerNames[[#This Row],[DotPos]] - tblPassengerNames[[#This Row],[CommaPos]] - 1)</f>
        <v>Mr.</v>
      </c>
      <c r="R1292" t="str">
        <f>LEFT(tblPassengerNames[[#This Row],[Name]], tblPassengerNames[[#This Row],[CommaPos]] - 1)</f>
        <v>Wiklund</v>
      </c>
    </row>
    <row r="1293" spans="2:18" x14ac:dyDescent="0.25">
      <c r="B1293" s="21">
        <v>1291</v>
      </c>
      <c r="C1293" s="21" t="s">
        <v>1425</v>
      </c>
      <c r="D1293" s="21" t="s">
        <v>136</v>
      </c>
      <c r="E1293">
        <f>FIND(",", tblPassengerNames[[#This Row],[Name]])</f>
        <v>7</v>
      </c>
      <c r="F1293">
        <f>FIND(".", tblPassengerNames[[#This Row],[Name]])</f>
        <v>12</v>
      </c>
      <c r="G1293">
        <f>FIND("(", tblPassengerNames[[#This Row],[Name]])</f>
        <v>20</v>
      </c>
      <c r="H1293">
        <f>FIND(")", tblPassengerNames[[#This Row],[Name]])</f>
        <v>32</v>
      </c>
      <c r="I1293">
        <f>IFERROR(tblPassengerNames[[#This Row],[OpenParPos]] - 2, LEN(tblPassengerNames[[#This Row],[Name]]))</f>
        <v>18</v>
      </c>
      <c r="J1293" t="str">
        <f>MID(tblPassengerNames[[#This Row],[Name]], tblPassengerNames[[#This Row],[DotPos]] + 2, tblPassengerNames[[#This Row],[EndOfConvFNPos]] - tblPassengerNames[[#This Row],[DotPos]] - 1)</f>
        <v>James</v>
      </c>
      <c r="K1293" t="str">
        <f>MID(tblPassengerNames[[#This Row],[Name]], tblPassengerNames[[#This Row],[OpenParPos]] + 1, tblPassengerNames[[#This Row],[CloseParPos]] - tblPassengerNames[[#This Row],[OpenParPos]] - 1)</f>
        <v>Ellen Needs</v>
      </c>
      <c r="L1293" t="str">
        <f>IF(AND(LEFT(tblPassengerNames[[#This Row],[InParentheses]], 1) = "'", RIGHT(tblPassengerNames[[#This Row],[InParentheses]], 1) = "'"),
    #VALUE!,
    tblPassengerNames[[#This Row],[InParentheses]]
)</f>
        <v>Ellen Needs</v>
      </c>
      <c r="M1293">
        <f>LEN(tblPassengerNames[[#This Row],[InParenthesesCleaned]]) - LEN(SUBSTITUTE(tblPassengerNames[[#This Row],[InParenthesesCleaned]], " ", ""))</f>
        <v>1</v>
      </c>
      <c r="N1293">
        <f>FIND("@", SUBSTITUTE(tblPassengerNames[[#This Row],[InParenthesesCleaned]], " ", "@", tblPassengerNames[[#This Row],[P_NSpaces]]))</f>
        <v>6</v>
      </c>
      <c r="O1293" t="str">
        <f>IF(tblPassengerNames[[#This Row],[P_NSpaces]] = 0,
    tblPassengerNames[[#This Row],[InParenthesesCleaned]],
    LEFT(tblPassengerNames[[#This Row],[InParenthesesCleaned]], tblPassengerNames[[#This Row],[P_FinalSpacePos]] - 1)
)</f>
        <v>Ellen</v>
      </c>
      <c r="P1293" t="str">
        <f>IFERROR(tblPassengerNames[[#This Row],[P_Forenames]], tblPassengerNames[[#This Row],[ConvForenames]])</f>
        <v>Ellen</v>
      </c>
      <c r="Q1293" t="str">
        <f>MID(tblPassengerNames[[#This Row],[Name]], tblPassengerNames[[#This Row],[CommaPos]] + 2, tblPassengerNames[[#This Row],[DotPos]] - tblPassengerNames[[#This Row],[CommaPos]] - 1)</f>
        <v>Mrs.</v>
      </c>
      <c r="R1293" t="str">
        <f>LEFT(tblPassengerNames[[#This Row],[Name]], tblPassengerNames[[#This Row],[CommaPos]] - 1)</f>
        <v>Wilkes</v>
      </c>
    </row>
    <row r="1294" spans="2:18" x14ac:dyDescent="0.25">
      <c r="B1294" s="21">
        <v>1292</v>
      </c>
      <c r="C1294" s="21" t="s">
        <v>1426</v>
      </c>
      <c r="D1294" s="21" t="s">
        <v>138</v>
      </c>
      <c r="E1294">
        <f>FIND(",", tblPassengerNames[[#This Row],[Name]])</f>
        <v>7</v>
      </c>
      <c r="F1294">
        <f>FIND(".", tblPassengerNames[[#This Row],[Name]])</f>
        <v>11</v>
      </c>
      <c r="G1294">
        <f>FIND("(", tblPassengerNames[[#This Row],[Name]])</f>
        <v>19</v>
      </c>
      <c r="H1294">
        <f>FIND(")", tblPassengerNames[[#This Row],[Name]])</f>
        <v>32</v>
      </c>
      <c r="I1294">
        <f>IFERROR(tblPassengerNames[[#This Row],[OpenParPos]] - 2, LEN(tblPassengerNames[[#This Row],[Name]]))</f>
        <v>17</v>
      </c>
      <c r="J1294" t="str">
        <f>MID(tblPassengerNames[[#This Row],[Name]], tblPassengerNames[[#This Row],[DotPos]] + 2, tblPassengerNames[[#This Row],[EndOfConvFNPos]] - tblPassengerNames[[#This Row],[DotPos]] - 1)</f>
        <v>Aaron</v>
      </c>
      <c r="K1294" t="str">
        <f>MID(tblPassengerNames[[#This Row],[Name]], tblPassengerNames[[#This Row],[OpenParPos]] + 1, tblPassengerNames[[#This Row],[CloseParPos]] - tblPassengerNames[[#This Row],[OpenParPos]] - 1)</f>
        <v>'Abi Weller'</v>
      </c>
      <c r="L1294" t="e">
        <f>IF(AND(LEFT(tblPassengerNames[[#This Row],[InParentheses]], 1) = "'", RIGHT(tblPassengerNames[[#This Row],[InParentheses]], 1) = "'"),
    #VALUE!,
    tblPassengerNames[[#This Row],[InParentheses]]
)</f>
        <v>#VALUE!</v>
      </c>
      <c r="M1294" t="e">
        <f>LEN(tblPassengerNames[[#This Row],[InParenthesesCleaned]]) - LEN(SUBSTITUTE(tblPassengerNames[[#This Row],[InParenthesesCleaned]], " ", ""))</f>
        <v>#VALUE!</v>
      </c>
      <c r="N1294" t="e">
        <f>FIND("@", SUBSTITUTE(tblPassengerNames[[#This Row],[InParenthesesCleaned]], " ", "@", tblPassengerNames[[#This Row],[P_NSpaces]]))</f>
        <v>#VALUE!</v>
      </c>
      <c r="O1294" t="e">
        <f>IF(tblPassengerNames[[#This Row],[P_NSpaces]] = 0,
    tblPassengerNames[[#This Row],[InParenthesesCleaned]],
    LEFT(tblPassengerNames[[#This Row],[InParenthesesCleaned]], tblPassengerNames[[#This Row],[P_FinalSpacePos]] - 1)
)</f>
        <v>#VALUE!</v>
      </c>
      <c r="P1294" t="str">
        <f>IFERROR(tblPassengerNames[[#This Row],[P_Forenames]], tblPassengerNames[[#This Row],[ConvForenames]])</f>
        <v>Aaron</v>
      </c>
      <c r="Q1294" t="str">
        <f>MID(tblPassengerNames[[#This Row],[Name]], tblPassengerNames[[#This Row],[CommaPos]] + 2, tblPassengerNames[[#This Row],[DotPos]] - tblPassengerNames[[#This Row],[CommaPos]] - 1)</f>
        <v>Mr.</v>
      </c>
      <c r="R1294" t="str">
        <f>LEFT(tblPassengerNames[[#This Row],[Name]], tblPassengerNames[[#This Row],[CommaPos]] - 1)</f>
        <v>Willer</v>
      </c>
    </row>
    <row r="1295" spans="2:18" x14ac:dyDescent="0.25">
      <c r="B1295" s="21">
        <v>1293</v>
      </c>
      <c r="C1295" s="21" t="s">
        <v>1427</v>
      </c>
      <c r="D1295" s="21" t="s">
        <v>138</v>
      </c>
      <c r="E1295">
        <f>FIND(",", tblPassengerNames[[#This Row],[Name]])</f>
        <v>7</v>
      </c>
      <c r="F1295">
        <f>FIND(".", tblPassengerNames[[#This Row],[Name]])</f>
        <v>11</v>
      </c>
      <c r="G1295" t="e">
        <f>FIND("(", tblPassengerNames[[#This Row],[Name]])</f>
        <v>#VALUE!</v>
      </c>
      <c r="H1295" t="e">
        <f>FIND(")", tblPassengerNames[[#This Row],[Name]])</f>
        <v>#VALUE!</v>
      </c>
      <c r="I1295">
        <f>IFERROR(tblPassengerNames[[#This Row],[OpenParPos]] - 2, LEN(tblPassengerNames[[#This Row],[Name]]))</f>
        <v>18</v>
      </c>
      <c r="J1295" t="str">
        <f>MID(tblPassengerNames[[#This Row],[Name]], tblPassengerNames[[#This Row],[DotPos]] + 2, tblPassengerNames[[#This Row],[EndOfConvFNPos]] - tblPassengerNames[[#This Row],[DotPos]] - 1)</f>
        <v>Edward</v>
      </c>
      <c r="K1295" t="e">
        <f>MID(tblPassengerNames[[#This Row],[Name]], tblPassengerNames[[#This Row],[OpenParPos]] + 1, tblPassengerNames[[#This Row],[CloseParPos]] - tblPassengerNames[[#This Row],[OpenParPos]] - 1)</f>
        <v>#VALUE!</v>
      </c>
      <c r="L1295" t="e">
        <f>IF(AND(LEFT(tblPassengerNames[[#This Row],[InParentheses]], 1) = "'", RIGHT(tblPassengerNames[[#This Row],[InParentheses]], 1) = "'"),
    #VALUE!,
    tblPassengerNames[[#This Row],[InParentheses]]
)</f>
        <v>#VALUE!</v>
      </c>
      <c r="M1295" t="e">
        <f>LEN(tblPassengerNames[[#This Row],[InParenthesesCleaned]]) - LEN(SUBSTITUTE(tblPassengerNames[[#This Row],[InParenthesesCleaned]], " ", ""))</f>
        <v>#VALUE!</v>
      </c>
      <c r="N1295" t="e">
        <f>FIND("@", SUBSTITUTE(tblPassengerNames[[#This Row],[InParenthesesCleaned]], " ", "@", tblPassengerNames[[#This Row],[P_NSpaces]]))</f>
        <v>#VALUE!</v>
      </c>
      <c r="O1295" t="e">
        <f>IF(tblPassengerNames[[#This Row],[P_NSpaces]] = 0,
    tblPassengerNames[[#This Row],[InParenthesesCleaned]],
    LEFT(tblPassengerNames[[#This Row],[InParenthesesCleaned]], tblPassengerNames[[#This Row],[P_FinalSpacePos]] - 1)
)</f>
        <v>#VALUE!</v>
      </c>
      <c r="P1295" t="str">
        <f>IFERROR(tblPassengerNames[[#This Row],[P_Forenames]], tblPassengerNames[[#This Row],[ConvForenames]])</f>
        <v>Edward</v>
      </c>
      <c r="Q1295" t="str">
        <f>MID(tblPassengerNames[[#This Row],[Name]], tblPassengerNames[[#This Row],[CommaPos]] + 2, tblPassengerNames[[#This Row],[DotPos]] - tblPassengerNames[[#This Row],[CommaPos]] - 1)</f>
        <v>Mr.</v>
      </c>
      <c r="R1295" t="str">
        <f>LEFT(tblPassengerNames[[#This Row],[Name]], tblPassengerNames[[#This Row],[CommaPos]] - 1)</f>
        <v>Willey</v>
      </c>
    </row>
    <row r="1296" spans="2:18" x14ac:dyDescent="0.25">
      <c r="B1296" s="21">
        <v>1294</v>
      </c>
      <c r="C1296" s="21" t="s">
        <v>1428</v>
      </c>
      <c r="D1296" s="21" t="s">
        <v>138</v>
      </c>
      <c r="E1296">
        <f>FIND(",", tblPassengerNames[[#This Row],[Name]])</f>
        <v>9</v>
      </c>
      <c r="F1296">
        <f>FIND(".", tblPassengerNames[[#This Row],[Name]])</f>
        <v>13</v>
      </c>
      <c r="G1296" t="e">
        <f>FIND("(", tblPassengerNames[[#This Row],[Name]])</f>
        <v>#VALUE!</v>
      </c>
      <c r="H1296" t="e">
        <f>FIND(")", tblPassengerNames[[#This Row],[Name]])</f>
        <v>#VALUE!</v>
      </c>
      <c r="I1296">
        <f>IFERROR(tblPassengerNames[[#This Row],[OpenParPos]] - 2, LEN(tblPassengerNames[[#This Row],[Name]]))</f>
        <v>33</v>
      </c>
      <c r="J1296" t="str">
        <f>MID(tblPassengerNames[[#This Row],[Name]], tblPassengerNames[[#This Row],[DotPos]] + 2, tblPassengerNames[[#This Row],[EndOfConvFNPos]] - tblPassengerNames[[#This Row],[DotPos]] - 1)</f>
        <v>Howard Hugh 'Harry'</v>
      </c>
      <c r="K1296" t="e">
        <f>MID(tblPassengerNames[[#This Row],[Name]], tblPassengerNames[[#This Row],[OpenParPos]] + 1, tblPassengerNames[[#This Row],[CloseParPos]] - tblPassengerNames[[#This Row],[OpenParPos]] - 1)</f>
        <v>#VALUE!</v>
      </c>
      <c r="L1296" t="e">
        <f>IF(AND(LEFT(tblPassengerNames[[#This Row],[InParentheses]], 1) = "'", RIGHT(tblPassengerNames[[#This Row],[InParentheses]], 1) = "'"),
    #VALUE!,
    tblPassengerNames[[#This Row],[InParentheses]]
)</f>
        <v>#VALUE!</v>
      </c>
      <c r="M1296" t="e">
        <f>LEN(tblPassengerNames[[#This Row],[InParenthesesCleaned]]) - LEN(SUBSTITUTE(tblPassengerNames[[#This Row],[InParenthesesCleaned]], " ", ""))</f>
        <v>#VALUE!</v>
      </c>
      <c r="N1296" t="e">
        <f>FIND("@", SUBSTITUTE(tblPassengerNames[[#This Row],[InParenthesesCleaned]], " ", "@", tblPassengerNames[[#This Row],[P_NSpaces]]))</f>
        <v>#VALUE!</v>
      </c>
      <c r="O1296" t="e">
        <f>IF(tblPassengerNames[[#This Row],[P_NSpaces]] = 0,
    tblPassengerNames[[#This Row],[InParenthesesCleaned]],
    LEFT(tblPassengerNames[[#This Row],[InParenthesesCleaned]], tblPassengerNames[[#This Row],[P_FinalSpacePos]] - 1)
)</f>
        <v>#VALUE!</v>
      </c>
      <c r="P1296" t="str">
        <f>IFERROR(tblPassengerNames[[#This Row],[P_Forenames]], tblPassengerNames[[#This Row],[ConvForenames]])</f>
        <v>Howard Hugh 'Harry'</v>
      </c>
      <c r="Q1296" t="str">
        <f>MID(tblPassengerNames[[#This Row],[Name]], tblPassengerNames[[#This Row],[CommaPos]] + 2, tblPassengerNames[[#This Row],[DotPos]] - tblPassengerNames[[#This Row],[CommaPos]] - 1)</f>
        <v>Mr.</v>
      </c>
      <c r="R1296" t="str">
        <f>LEFT(tblPassengerNames[[#This Row],[Name]], tblPassengerNames[[#This Row],[CommaPos]] - 1)</f>
        <v>Williams</v>
      </c>
    </row>
    <row r="1297" spans="2:18" x14ac:dyDescent="0.25">
      <c r="B1297" s="21">
        <v>1295</v>
      </c>
      <c r="C1297" s="21" t="s">
        <v>1429</v>
      </c>
      <c r="D1297" s="21" t="s">
        <v>138</v>
      </c>
      <c r="E1297">
        <f>FIND(",", tblPassengerNames[[#This Row],[Name]])</f>
        <v>9</v>
      </c>
      <c r="F1297">
        <f>FIND(".", tblPassengerNames[[#This Row],[Name]])</f>
        <v>13</v>
      </c>
      <c r="G1297" t="e">
        <f>FIND("(", tblPassengerNames[[#This Row],[Name]])</f>
        <v>#VALUE!</v>
      </c>
      <c r="H1297" t="e">
        <f>FIND(")", tblPassengerNames[[#This Row],[Name]])</f>
        <v>#VALUE!</v>
      </c>
      <c r="I1297">
        <f>IFERROR(tblPassengerNames[[#This Row],[OpenParPos]] - 2, LEN(tblPassengerNames[[#This Row],[Name]]))</f>
        <v>20</v>
      </c>
      <c r="J1297" t="str">
        <f>MID(tblPassengerNames[[#This Row],[Name]], tblPassengerNames[[#This Row],[DotPos]] + 2, tblPassengerNames[[#This Row],[EndOfConvFNPos]] - tblPassengerNames[[#This Row],[DotPos]] - 1)</f>
        <v>Leslie</v>
      </c>
      <c r="K1297" t="e">
        <f>MID(tblPassengerNames[[#This Row],[Name]], tblPassengerNames[[#This Row],[OpenParPos]] + 1, tblPassengerNames[[#This Row],[CloseParPos]] - tblPassengerNames[[#This Row],[OpenParPos]] - 1)</f>
        <v>#VALUE!</v>
      </c>
      <c r="L1297" t="e">
        <f>IF(AND(LEFT(tblPassengerNames[[#This Row],[InParentheses]], 1) = "'", RIGHT(tblPassengerNames[[#This Row],[InParentheses]], 1) = "'"),
    #VALUE!,
    tblPassengerNames[[#This Row],[InParentheses]]
)</f>
        <v>#VALUE!</v>
      </c>
      <c r="M1297" t="e">
        <f>LEN(tblPassengerNames[[#This Row],[InParenthesesCleaned]]) - LEN(SUBSTITUTE(tblPassengerNames[[#This Row],[InParenthesesCleaned]], " ", ""))</f>
        <v>#VALUE!</v>
      </c>
      <c r="N1297" t="e">
        <f>FIND("@", SUBSTITUTE(tblPassengerNames[[#This Row],[InParenthesesCleaned]], " ", "@", tblPassengerNames[[#This Row],[P_NSpaces]]))</f>
        <v>#VALUE!</v>
      </c>
      <c r="O1297" t="e">
        <f>IF(tblPassengerNames[[#This Row],[P_NSpaces]] = 0,
    tblPassengerNames[[#This Row],[InParenthesesCleaned]],
    LEFT(tblPassengerNames[[#This Row],[InParenthesesCleaned]], tblPassengerNames[[#This Row],[P_FinalSpacePos]] - 1)
)</f>
        <v>#VALUE!</v>
      </c>
      <c r="P1297" t="str">
        <f>IFERROR(tblPassengerNames[[#This Row],[P_Forenames]], tblPassengerNames[[#This Row],[ConvForenames]])</f>
        <v>Leslie</v>
      </c>
      <c r="Q1297" t="str">
        <f>MID(tblPassengerNames[[#This Row],[Name]], tblPassengerNames[[#This Row],[CommaPos]] + 2, tblPassengerNames[[#This Row],[DotPos]] - tblPassengerNames[[#This Row],[CommaPos]] - 1)</f>
        <v>Mr.</v>
      </c>
      <c r="R1297" t="str">
        <f>LEFT(tblPassengerNames[[#This Row],[Name]], tblPassengerNames[[#This Row],[CommaPos]] - 1)</f>
        <v>Williams</v>
      </c>
    </row>
    <row r="1298" spans="2:18" x14ac:dyDescent="0.25">
      <c r="B1298" s="21">
        <v>1296</v>
      </c>
      <c r="C1298" s="21" t="s">
        <v>1430</v>
      </c>
      <c r="D1298" s="21" t="s">
        <v>138</v>
      </c>
      <c r="E1298">
        <f>FIND(",", tblPassengerNames[[#This Row],[Name]])</f>
        <v>9</v>
      </c>
      <c r="F1298">
        <f>FIND(".", tblPassengerNames[[#This Row],[Name]])</f>
        <v>13</v>
      </c>
      <c r="G1298" t="e">
        <f>FIND("(", tblPassengerNames[[#This Row],[Name]])</f>
        <v>#VALUE!</v>
      </c>
      <c r="H1298" t="e">
        <f>FIND(")", tblPassengerNames[[#This Row],[Name]])</f>
        <v>#VALUE!</v>
      </c>
      <c r="I1298">
        <f>IFERROR(tblPassengerNames[[#This Row],[OpenParPos]] - 2, LEN(tblPassengerNames[[#This Row],[Name]]))</f>
        <v>19</v>
      </c>
      <c r="J1298" t="str">
        <f>MID(tblPassengerNames[[#This Row],[Name]], tblPassengerNames[[#This Row],[DotPos]] + 2, tblPassengerNames[[#This Row],[EndOfConvFNPos]] - tblPassengerNames[[#This Row],[DotPos]] - 1)</f>
        <v>Einar</v>
      </c>
      <c r="K1298" t="e">
        <f>MID(tblPassengerNames[[#This Row],[Name]], tblPassengerNames[[#This Row],[OpenParPos]] + 1, tblPassengerNames[[#This Row],[CloseParPos]] - tblPassengerNames[[#This Row],[OpenParPos]] - 1)</f>
        <v>#VALUE!</v>
      </c>
      <c r="L1298" t="e">
        <f>IF(AND(LEFT(tblPassengerNames[[#This Row],[InParentheses]], 1) = "'", RIGHT(tblPassengerNames[[#This Row],[InParentheses]], 1) = "'"),
    #VALUE!,
    tblPassengerNames[[#This Row],[InParentheses]]
)</f>
        <v>#VALUE!</v>
      </c>
      <c r="M1298" t="e">
        <f>LEN(tblPassengerNames[[#This Row],[InParenthesesCleaned]]) - LEN(SUBSTITUTE(tblPassengerNames[[#This Row],[InParenthesesCleaned]], " ", ""))</f>
        <v>#VALUE!</v>
      </c>
      <c r="N1298" t="e">
        <f>FIND("@", SUBSTITUTE(tblPassengerNames[[#This Row],[InParenthesesCleaned]], " ", "@", tblPassengerNames[[#This Row],[P_NSpaces]]))</f>
        <v>#VALUE!</v>
      </c>
      <c r="O1298" t="e">
        <f>IF(tblPassengerNames[[#This Row],[P_NSpaces]] = 0,
    tblPassengerNames[[#This Row],[InParenthesesCleaned]],
    LEFT(tblPassengerNames[[#This Row],[InParenthesesCleaned]], tblPassengerNames[[#This Row],[P_FinalSpacePos]] - 1)
)</f>
        <v>#VALUE!</v>
      </c>
      <c r="P1298" t="str">
        <f>IFERROR(tblPassengerNames[[#This Row],[P_Forenames]], tblPassengerNames[[#This Row],[ConvForenames]])</f>
        <v>Einar</v>
      </c>
      <c r="Q1298" t="str">
        <f>MID(tblPassengerNames[[#This Row],[Name]], tblPassengerNames[[#This Row],[CommaPos]] + 2, tblPassengerNames[[#This Row],[DotPos]] - tblPassengerNames[[#This Row],[CommaPos]] - 1)</f>
        <v>Mr.</v>
      </c>
      <c r="R1298" t="str">
        <f>LEFT(tblPassengerNames[[#This Row],[Name]], tblPassengerNames[[#This Row],[CommaPos]] - 1)</f>
        <v>Windelov</v>
      </c>
    </row>
    <row r="1299" spans="2:18" x14ac:dyDescent="0.25">
      <c r="B1299" s="21">
        <v>1297</v>
      </c>
      <c r="C1299" s="21" t="s">
        <v>1431</v>
      </c>
      <c r="D1299" s="21" t="s">
        <v>138</v>
      </c>
      <c r="E1299">
        <f>FIND(",", tblPassengerNames[[#This Row],[Name]])</f>
        <v>5</v>
      </c>
      <c r="F1299">
        <f>FIND(".", tblPassengerNames[[#This Row],[Name]])</f>
        <v>9</v>
      </c>
      <c r="G1299" t="e">
        <f>FIND("(", tblPassengerNames[[#This Row],[Name]])</f>
        <v>#VALUE!</v>
      </c>
      <c r="H1299" t="e">
        <f>FIND(")", tblPassengerNames[[#This Row],[Name]])</f>
        <v>#VALUE!</v>
      </c>
      <c r="I1299">
        <f>IFERROR(tblPassengerNames[[#This Row],[OpenParPos]] - 2, LEN(tblPassengerNames[[#This Row],[Name]]))</f>
        <v>16</v>
      </c>
      <c r="J1299" t="str">
        <f>MID(tblPassengerNames[[#This Row],[Name]], tblPassengerNames[[#This Row],[DotPos]] + 2, tblPassengerNames[[#This Row],[EndOfConvFNPos]] - tblPassengerNames[[#This Row],[DotPos]] - 1)</f>
        <v>Albert</v>
      </c>
      <c r="K1299" t="e">
        <f>MID(tblPassengerNames[[#This Row],[Name]], tblPassengerNames[[#This Row],[OpenParPos]] + 1, tblPassengerNames[[#This Row],[CloseParPos]] - tblPassengerNames[[#This Row],[OpenParPos]] - 1)</f>
        <v>#VALUE!</v>
      </c>
      <c r="L1299" t="e">
        <f>IF(AND(LEFT(tblPassengerNames[[#This Row],[InParentheses]], 1) = "'", RIGHT(tblPassengerNames[[#This Row],[InParentheses]], 1) = "'"),
    #VALUE!,
    tblPassengerNames[[#This Row],[InParentheses]]
)</f>
        <v>#VALUE!</v>
      </c>
      <c r="M1299" t="e">
        <f>LEN(tblPassengerNames[[#This Row],[InParenthesesCleaned]]) - LEN(SUBSTITUTE(tblPassengerNames[[#This Row],[InParenthesesCleaned]], " ", ""))</f>
        <v>#VALUE!</v>
      </c>
      <c r="N1299" t="e">
        <f>FIND("@", SUBSTITUTE(tblPassengerNames[[#This Row],[InParenthesesCleaned]], " ", "@", tblPassengerNames[[#This Row],[P_NSpaces]]))</f>
        <v>#VALUE!</v>
      </c>
      <c r="O1299" t="e">
        <f>IF(tblPassengerNames[[#This Row],[P_NSpaces]] = 0,
    tblPassengerNames[[#This Row],[InParenthesesCleaned]],
    LEFT(tblPassengerNames[[#This Row],[InParenthesesCleaned]], tblPassengerNames[[#This Row],[P_FinalSpacePos]] - 1)
)</f>
        <v>#VALUE!</v>
      </c>
      <c r="P1299" t="str">
        <f>IFERROR(tblPassengerNames[[#This Row],[P_Forenames]], tblPassengerNames[[#This Row],[ConvForenames]])</f>
        <v>Albert</v>
      </c>
      <c r="Q1299" t="str">
        <f>MID(tblPassengerNames[[#This Row],[Name]], tblPassengerNames[[#This Row],[CommaPos]] + 2, tblPassengerNames[[#This Row],[DotPos]] - tblPassengerNames[[#This Row],[CommaPos]] - 1)</f>
        <v>Mr.</v>
      </c>
      <c r="R1299" t="str">
        <f>LEFT(tblPassengerNames[[#This Row],[Name]], tblPassengerNames[[#This Row],[CommaPos]] - 1)</f>
        <v>Wirz</v>
      </c>
    </row>
    <row r="1300" spans="2:18" x14ac:dyDescent="0.25">
      <c r="B1300" s="21">
        <v>1298</v>
      </c>
      <c r="C1300" s="21" t="s">
        <v>1432</v>
      </c>
      <c r="D1300" s="21" t="s">
        <v>138</v>
      </c>
      <c r="E1300">
        <f>FIND(",", tblPassengerNames[[#This Row],[Name]])</f>
        <v>8</v>
      </c>
      <c r="F1300">
        <f>FIND(".", tblPassengerNames[[#This Row],[Name]])</f>
        <v>12</v>
      </c>
      <c r="G1300" t="e">
        <f>FIND("(", tblPassengerNames[[#This Row],[Name]])</f>
        <v>#VALUE!</v>
      </c>
      <c r="H1300" t="e">
        <f>FIND(")", tblPassengerNames[[#This Row],[Name]])</f>
        <v>#VALUE!</v>
      </c>
      <c r="I1300">
        <f>IFERROR(tblPassengerNames[[#This Row],[OpenParPos]] - 2, LEN(tblPassengerNames[[#This Row],[Name]]))</f>
        <v>22</v>
      </c>
      <c r="J1300" t="str">
        <f>MID(tblPassengerNames[[#This Row],[Name]], tblPassengerNames[[#This Row],[DotPos]] + 2, tblPassengerNames[[#This Row],[EndOfConvFNPos]] - tblPassengerNames[[#This Row],[DotPos]] - 1)</f>
        <v>Phillippe</v>
      </c>
      <c r="K1300" t="e">
        <f>MID(tblPassengerNames[[#This Row],[Name]], tblPassengerNames[[#This Row],[OpenParPos]] + 1, tblPassengerNames[[#This Row],[CloseParPos]] - tblPassengerNames[[#This Row],[OpenParPos]] - 1)</f>
        <v>#VALUE!</v>
      </c>
      <c r="L1300" t="e">
        <f>IF(AND(LEFT(tblPassengerNames[[#This Row],[InParentheses]], 1) = "'", RIGHT(tblPassengerNames[[#This Row],[InParentheses]], 1) = "'"),
    #VALUE!,
    tblPassengerNames[[#This Row],[InParentheses]]
)</f>
        <v>#VALUE!</v>
      </c>
      <c r="M1300" t="e">
        <f>LEN(tblPassengerNames[[#This Row],[InParenthesesCleaned]]) - LEN(SUBSTITUTE(tblPassengerNames[[#This Row],[InParenthesesCleaned]], " ", ""))</f>
        <v>#VALUE!</v>
      </c>
      <c r="N1300" t="e">
        <f>FIND("@", SUBSTITUTE(tblPassengerNames[[#This Row],[InParenthesesCleaned]], " ", "@", tblPassengerNames[[#This Row],[P_NSpaces]]))</f>
        <v>#VALUE!</v>
      </c>
      <c r="O1300" t="e">
        <f>IF(tblPassengerNames[[#This Row],[P_NSpaces]] = 0,
    tblPassengerNames[[#This Row],[InParenthesesCleaned]],
    LEFT(tblPassengerNames[[#This Row],[InParenthesesCleaned]], tblPassengerNames[[#This Row],[P_FinalSpacePos]] - 1)
)</f>
        <v>#VALUE!</v>
      </c>
      <c r="P1300" t="str">
        <f>IFERROR(tblPassengerNames[[#This Row],[P_Forenames]], tblPassengerNames[[#This Row],[ConvForenames]])</f>
        <v>Phillippe</v>
      </c>
      <c r="Q1300" t="str">
        <f>MID(tblPassengerNames[[#This Row],[Name]], tblPassengerNames[[#This Row],[CommaPos]] + 2, tblPassengerNames[[#This Row],[DotPos]] - tblPassengerNames[[#This Row],[CommaPos]] - 1)</f>
        <v>Mr.</v>
      </c>
      <c r="R1300" t="str">
        <f>LEFT(tblPassengerNames[[#This Row],[Name]], tblPassengerNames[[#This Row],[CommaPos]] - 1)</f>
        <v>Wiseman</v>
      </c>
    </row>
    <row r="1301" spans="2:18" x14ac:dyDescent="0.25">
      <c r="B1301" s="21">
        <v>1299</v>
      </c>
      <c r="C1301" s="21" t="s">
        <v>1433</v>
      </c>
      <c r="D1301" s="21" t="s">
        <v>138</v>
      </c>
      <c r="E1301">
        <f>FIND(",", tblPassengerNames[[#This Row],[Name]])</f>
        <v>13</v>
      </c>
      <c r="F1301">
        <f>FIND(".", tblPassengerNames[[#This Row],[Name]])</f>
        <v>17</v>
      </c>
      <c r="G1301" t="e">
        <f>FIND("(", tblPassengerNames[[#This Row],[Name]])</f>
        <v>#VALUE!</v>
      </c>
      <c r="H1301" t="e">
        <f>FIND(")", tblPassengerNames[[#This Row],[Name]])</f>
        <v>#VALUE!</v>
      </c>
      <c r="I1301">
        <f>IFERROR(tblPassengerNames[[#This Row],[OpenParPos]] - 2, LEN(tblPassengerNames[[#This Row],[Name]]))</f>
        <v>25</v>
      </c>
      <c r="J1301" t="str">
        <f>MID(tblPassengerNames[[#This Row],[Name]], tblPassengerNames[[#This Row],[DotPos]] + 2, tblPassengerNames[[#This Row],[EndOfConvFNPos]] - tblPassengerNames[[#This Row],[DotPos]] - 1)</f>
        <v>Camille</v>
      </c>
      <c r="K1301" t="e">
        <f>MID(tblPassengerNames[[#This Row],[Name]], tblPassengerNames[[#This Row],[OpenParPos]] + 1, tblPassengerNames[[#This Row],[CloseParPos]] - tblPassengerNames[[#This Row],[OpenParPos]] - 1)</f>
        <v>#VALUE!</v>
      </c>
      <c r="L1301" t="e">
        <f>IF(AND(LEFT(tblPassengerNames[[#This Row],[InParentheses]], 1) = "'", RIGHT(tblPassengerNames[[#This Row],[InParentheses]], 1) = "'"),
    #VALUE!,
    tblPassengerNames[[#This Row],[InParentheses]]
)</f>
        <v>#VALUE!</v>
      </c>
      <c r="M1301" t="e">
        <f>LEN(tblPassengerNames[[#This Row],[InParenthesesCleaned]]) - LEN(SUBSTITUTE(tblPassengerNames[[#This Row],[InParenthesesCleaned]], " ", ""))</f>
        <v>#VALUE!</v>
      </c>
      <c r="N1301" t="e">
        <f>FIND("@", SUBSTITUTE(tblPassengerNames[[#This Row],[InParenthesesCleaned]], " ", "@", tblPassengerNames[[#This Row],[P_NSpaces]]))</f>
        <v>#VALUE!</v>
      </c>
      <c r="O1301" t="e">
        <f>IF(tblPassengerNames[[#This Row],[P_NSpaces]] = 0,
    tblPassengerNames[[#This Row],[InParenthesesCleaned]],
    LEFT(tblPassengerNames[[#This Row],[InParenthesesCleaned]], tblPassengerNames[[#This Row],[P_FinalSpacePos]] - 1)
)</f>
        <v>#VALUE!</v>
      </c>
      <c r="P1301" t="str">
        <f>IFERROR(tblPassengerNames[[#This Row],[P_Forenames]], tblPassengerNames[[#This Row],[ConvForenames]])</f>
        <v>Camille</v>
      </c>
      <c r="Q1301" t="str">
        <f>MID(tblPassengerNames[[#This Row],[Name]], tblPassengerNames[[#This Row],[CommaPos]] + 2, tblPassengerNames[[#This Row],[DotPos]] - tblPassengerNames[[#This Row],[CommaPos]] - 1)</f>
        <v>Mr.</v>
      </c>
      <c r="R1301" t="str">
        <f>LEFT(tblPassengerNames[[#This Row],[Name]], tblPassengerNames[[#This Row],[CommaPos]] - 1)</f>
        <v>Wittevrongel</v>
      </c>
    </row>
    <row r="1302" spans="2:18" x14ac:dyDescent="0.25">
      <c r="B1302" s="21">
        <v>1300</v>
      </c>
      <c r="C1302" s="21" t="s">
        <v>1434</v>
      </c>
      <c r="D1302" s="21" t="s">
        <v>138</v>
      </c>
      <c r="E1302">
        <f>FIND(",", tblPassengerNames[[#This Row],[Name]])</f>
        <v>8</v>
      </c>
      <c r="F1302">
        <f>FIND(".", tblPassengerNames[[#This Row],[Name]])</f>
        <v>12</v>
      </c>
      <c r="G1302" t="e">
        <f>FIND("(", tblPassengerNames[[#This Row],[Name]])</f>
        <v>#VALUE!</v>
      </c>
      <c r="H1302" t="e">
        <f>FIND(")", tblPassengerNames[[#This Row],[Name]])</f>
        <v>#VALUE!</v>
      </c>
      <c r="I1302">
        <f>IFERROR(tblPassengerNames[[#This Row],[OpenParPos]] - 2, LEN(tblPassengerNames[[#This Row],[Name]]))</f>
        <v>19</v>
      </c>
      <c r="J1302" t="str">
        <f>MID(tblPassengerNames[[#This Row],[Name]], tblPassengerNames[[#This Row],[DotPos]] + 2, tblPassengerNames[[#This Row],[EndOfConvFNPos]] - tblPassengerNames[[#This Row],[DotPos]] - 1)</f>
        <v>Antoni</v>
      </c>
      <c r="K1302" t="e">
        <f>MID(tblPassengerNames[[#This Row],[Name]], tblPassengerNames[[#This Row],[OpenParPos]] + 1, tblPassengerNames[[#This Row],[CloseParPos]] - tblPassengerNames[[#This Row],[OpenParPos]] - 1)</f>
        <v>#VALUE!</v>
      </c>
      <c r="L1302" t="e">
        <f>IF(AND(LEFT(tblPassengerNames[[#This Row],[InParentheses]], 1) = "'", RIGHT(tblPassengerNames[[#This Row],[InParentheses]], 1) = "'"),
    #VALUE!,
    tblPassengerNames[[#This Row],[InParentheses]]
)</f>
        <v>#VALUE!</v>
      </c>
      <c r="M1302" t="e">
        <f>LEN(tblPassengerNames[[#This Row],[InParenthesesCleaned]]) - LEN(SUBSTITUTE(tblPassengerNames[[#This Row],[InParenthesesCleaned]], " ", ""))</f>
        <v>#VALUE!</v>
      </c>
      <c r="N1302" t="e">
        <f>FIND("@", SUBSTITUTE(tblPassengerNames[[#This Row],[InParenthesesCleaned]], " ", "@", tblPassengerNames[[#This Row],[P_NSpaces]]))</f>
        <v>#VALUE!</v>
      </c>
      <c r="O1302" t="e">
        <f>IF(tblPassengerNames[[#This Row],[P_NSpaces]] = 0,
    tblPassengerNames[[#This Row],[InParenthesesCleaned]],
    LEFT(tblPassengerNames[[#This Row],[InParenthesesCleaned]], tblPassengerNames[[#This Row],[P_FinalSpacePos]] - 1)
)</f>
        <v>#VALUE!</v>
      </c>
      <c r="P1302" t="str">
        <f>IFERROR(tblPassengerNames[[#This Row],[P_Forenames]], tblPassengerNames[[#This Row],[ConvForenames]])</f>
        <v>Antoni</v>
      </c>
      <c r="Q1302" t="str">
        <f>MID(tblPassengerNames[[#This Row],[Name]], tblPassengerNames[[#This Row],[CommaPos]] + 2, tblPassengerNames[[#This Row],[DotPos]] - tblPassengerNames[[#This Row],[CommaPos]] - 1)</f>
        <v>Mr.</v>
      </c>
      <c r="R1302" t="str">
        <f>LEFT(tblPassengerNames[[#This Row],[Name]], tblPassengerNames[[#This Row],[CommaPos]] - 1)</f>
        <v>Yasbeck</v>
      </c>
    </row>
    <row r="1303" spans="2:18" x14ac:dyDescent="0.25">
      <c r="B1303" s="21">
        <v>1301</v>
      </c>
      <c r="C1303" s="21" t="s">
        <v>1435</v>
      </c>
      <c r="D1303" s="21" t="s">
        <v>136</v>
      </c>
      <c r="E1303">
        <f>FIND(",", tblPassengerNames[[#This Row],[Name]])</f>
        <v>8</v>
      </c>
      <c r="F1303">
        <f>FIND(".", tblPassengerNames[[#This Row],[Name]])</f>
        <v>13</v>
      </c>
      <c r="G1303">
        <f>FIND("(", tblPassengerNames[[#This Row],[Name]])</f>
        <v>22</v>
      </c>
      <c r="H1303">
        <f>FIND(")", tblPassengerNames[[#This Row],[Name]])</f>
        <v>39</v>
      </c>
      <c r="I1303">
        <f>IFERROR(tblPassengerNames[[#This Row],[OpenParPos]] - 2, LEN(tblPassengerNames[[#This Row],[Name]]))</f>
        <v>20</v>
      </c>
      <c r="J1303" t="str">
        <f>MID(tblPassengerNames[[#This Row],[Name]], tblPassengerNames[[#This Row],[DotPos]] + 2, tblPassengerNames[[#This Row],[EndOfConvFNPos]] - tblPassengerNames[[#This Row],[DotPos]] - 1)</f>
        <v>Antoni</v>
      </c>
      <c r="K1303" t="str">
        <f>MID(tblPassengerNames[[#This Row],[Name]], tblPassengerNames[[#This Row],[OpenParPos]] + 1, tblPassengerNames[[#This Row],[CloseParPos]] - tblPassengerNames[[#This Row],[OpenParPos]] - 1)</f>
        <v>Selini Alexander</v>
      </c>
      <c r="L1303" t="str">
        <f>IF(AND(LEFT(tblPassengerNames[[#This Row],[InParentheses]], 1) = "'", RIGHT(tblPassengerNames[[#This Row],[InParentheses]], 1) = "'"),
    #VALUE!,
    tblPassengerNames[[#This Row],[InParentheses]]
)</f>
        <v>Selini Alexander</v>
      </c>
      <c r="M1303">
        <f>LEN(tblPassengerNames[[#This Row],[InParenthesesCleaned]]) - LEN(SUBSTITUTE(tblPassengerNames[[#This Row],[InParenthesesCleaned]], " ", ""))</f>
        <v>1</v>
      </c>
      <c r="N1303">
        <f>FIND("@", SUBSTITUTE(tblPassengerNames[[#This Row],[InParenthesesCleaned]], " ", "@", tblPassengerNames[[#This Row],[P_NSpaces]]))</f>
        <v>7</v>
      </c>
      <c r="O1303" t="str">
        <f>IF(tblPassengerNames[[#This Row],[P_NSpaces]] = 0,
    tblPassengerNames[[#This Row],[InParenthesesCleaned]],
    LEFT(tblPassengerNames[[#This Row],[InParenthesesCleaned]], tblPassengerNames[[#This Row],[P_FinalSpacePos]] - 1)
)</f>
        <v>Selini</v>
      </c>
      <c r="P1303" t="str">
        <f>IFERROR(tblPassengerNames[[#This Row],[P_Forenames]], tblPassengerNames[[#This Row],[ConvForenames]])</f>
        <v>Selini</v>
      </c>
      <c r="Q1303" t="str">
        <f>MID(tblPassengerNames[[#This Row],[Name]], tblPassengerNames[[#This Row],[CommaPos]] + 2, tblPassengerNames[[#This Row],[DotPos]] - tblPassengerNames[[#This Row],[CommaPos]] - 1)</f>
        <v>Mrs.</v>
      </c>
      <c r="R1303" t="str">
        <f>LEFT(tblPassengerNames[[#This Row],[Name]], tblPassengerNames[[#This Row],[CommaPos]] - 1)</f>
        <v>Yasbeck</v>
      </c>
    </row>
    <row r="1304" spans="2:18" x14ac:dyDescent="0.25">
      <c r="B1304" s="21">
        <v>1302</v>
      </c>
      <c r="C1304" s="21" t="s">
        <v>1436</v>
      </c>
      <c r="D1304" s="21" t="s">
        <v>138</v>
      </c>
      <c r="E1304">
        <f>FIND(",", tblPassengerNames[[#This Row],[Name]])</f>
        <v>8</v>
      </c>
      <c r="F1304">
        <f>FIND(".", tblPassengerNames[[#This Row],[Name]])</f>
        <v>12</v>
      </c>
      <c r="G1304" t="e">
        <f>FIND("(", tblPassengerNames[[#This Row],[Name]])</f>
        <v>#VALUE!</v>
      </c>
      <c r="H1304" t="e">
        <f>FIND(")", tblPassengerNames[[#This Row],[Name]])</f>
        <v>#VALUE!</v>
      </c>
      <c r="I1304">
        <f>IFERROR(tblPassengerNames[[#This Row],[OpenParPos]] - 2, LEN(tblPassengerNames[[#This Row],[Name]]))</f>
        <v>20</v>
      </c>
      <c r="J1304" t="str">
        <f>MID(tblPassengerNames[[#This Row],[Name]], tblPassengerNames[[#This Row],[DotPos]] + 2, tblPassengerNames[[#This Row],[EndOfConvFNPos]] - tblPassengerNames[[#This Row],[DotPos]] - 1)</f>
        <v>Gerious</v>
      </c>
      <c r="K1304" t="e">
        <f>MID(tblPassengerNames[[#This Row],[Name]], tblPassengerNames[[#This Row],[OpenParPos]] + 1, tblPassengerNames[[#This Row],[CloseParPos]] - tblPassengerNames[[#This Row],[OpenParPos]] - 1)</f>
        <v>#VALUE!</v>
      </c>
      <c r="L1304" t="e">
        <f>IF(AND(LEFT(tblPassengerNames[[#This Row],[InParentheses]], 1) = "'", RIGHT(tblPassengerNames[[#This Row],[InParentheses]], 1) = "'"),
    #VALUE!,
    tblPassengerNames[[#This Row],[InParentheses]]
)</f>
        <v>#VALUE!</v>
      </c>
      <c r="M1304" t="e">
        <f>LEN(tblPassengerNames[[#This Row],[InParenthesesCleaned]]) - LEN(SUBSTITUTE(tblPassengerNames[[#This Row],[InParenthesesCleaned]], " ", ""))</f>
        <v>#VALUE!</v>
      </c>
      <c r="N1304" t="e">
        <f>FIND("@", SUBSTITUTE(tblPassengerNames[[#This Row],[InParenthesesCleaned]], " ", "@", tblPassengerNames[[#This Row],[P_NSpaces]]))</f>
        <v>#VALUE!</v>
      </c>
      <c r="O1304" t="e">
        <f>IF(tblPassengerNames[[#This Row],[P_NSpaces]] = 0,
    tblPassengerNames[[#This Row],[InParenthesesCleaned]],
    LEFT(tblPassengerNames[[#This Row],[InParenthesesCleaned]], tblPassengerNames[[#This Row],[P_FinalSpacePos]] - 1)
)</f>
        <v>#VALUE!</v>
      </c>
      <c r="P1304" t="str">
        <f>IFERROR(tblPassengerNames[[#This Row],[P_Forenames]], tblPassengerNames[[#This Row],[ConvForenames]])</f>
        <v>Gerious</v>
      </c>
      <c r="Q1304" t="str">
        <f>MID(tblPassengerNames[[#This Row],[Name]], tblPassengerNames[[#This Row],[CommaPos]] + 2, tblPassengerNames[[#This Row],[DotPos]] - tblPassengerNames[[#This Row],[CommaPos]] - 1)</f>
        <v>Mr.</v>
      </c>
      <c r="R1304" t="str">
        <f>LEFT(tblPassengerNames[[#This Row],[Name]], tblPassengerNames[[#This Row],[CommaPos]] - 1)</f>
        <v>Youseff</v>
      </c>
    </row>
    <row r="1305" spans="2:18" x14ac:dyDescent="0.25">
      <c r="B1305" s="21">
        <v>1303</v>
      </c>
      <c r="C1305" s="21" t="s">
        <v>1437</v>
      </c>
      <c r="D1305" s="21" t="s">
        <v>138</v>
      </c>
      <c r="E1305">
        <f>FIND(",", tblPassengerNames[[#This Row],[Name]])</f>
        <v>7</v>
      </c>
      <c r="F1305">
        <f>FIND(".", tblPassengerNames[[#This Row],[Name]])</f>
        <v>11</v>
      </c>
      <c r="G1305" t="e">
        <f>FIND("(", tblPassengerNames[[#This Row],[Name]])</f>
        <v>#VALUE!</v>
      </c>
      <c r="H1305" t="e">
        <f>FIND(")", tblPassengerNames[[#This Row],[Name]])</f>
        <v>#VALUE!</v>
      </c>
      <c r="I1305">
        <f>IFERROR(tblPassengerNames[[#This Row],[OpenParPos]] - 2, LEN(tblPassengerNames[[#This Row],[Name]]))</f>
        <v>17</v>
      </c>
      <c r="J1305" t="str">
        <f>MID(tblPassengerNames[[#This Row],[Name]], tblPassengerNames[[#This Row],[DotPos]] + 2, tblPassengerNames[[#This Row],[EndOfConvFNPos]] - tblPassengerNames[[#This Row],[DotPos]] - 1)</f>
        <v>Wazli</v>
      </c>
      <c r="K1305" t="e">
        <f>MID(tblPassengerNames[[#This Row],[Name]], tblPassengerNames[[#This Row],[OpenParPos]] + 1, tblPassengerNames[[#This Row],[CloseParPos]] - tblPassengerNames[[#This Row],[OpenParPos]] - 1)</f>
        <v>#VALUE!</v>
      </c>
      <c r="L1305" t="e">
        <f>IF(AND(LEFT(tblPassengerNames[[#This Row],[InParentheses]], 1) = "'", RIGHT(tblPassengerNames[[#This Row],[InParentheses]], 1) = "'"),
    #VALUE!,
    tblPassengerNames[[#This Row],[InParentheses]]
)</f>
        <v>#VALUE!</v>
      </c>
      <c r="M1305" t="e">
        <f>LEN(tblPassengerNames[[#This Row],[InParenthesesCleaned]]) - LEN(SUBSTITUTE(tblPassengerNames[[#This Row],[InParenthesesCleaned]], " ", ""))</f>
        <v>#VALUE!</v>
      </c>
      <c r="N1305" t="e">
        <f>FIND("@", SUBSTITUTE(tblPassengerNames[[#This Row],[InParenthesesCleaned]], " ", "@", tblPassengerNames[[#This Row],[P_NSpaces]]))</f>
        <v>#VALUE!</v>
      </c>
      <c r="O1305" t="e">
        <f>IF(tblPassengerNames[[#This Row],[P_NSpaces]] = 0,
    tblPassengerNames[[#This Row],[InParenthesesCleaned]],
    LEFT(tblPassengerNames[[#This Row],[InParenthesesCleaned]], tblPassengerNames[[#This Row],[P_FinalSpacePos]] - 1)
)</f>
        <v>#VALUE!</v>
      </c>
      <c r="P1305" t="str">
        <f>IFERROR(tblPassengerNames[[#This Row],[P_Forenames]], tblPassengerNames[[#This Row],[ConvForenames]])</f>
        <v>Wazli</v>
      </c>
      <c r="Q1305" t="str">
        <f>MID(tblPassengerNames[[#This Row],[Name]], tblPassengerNames[[#This Row],[CommaPos]] + 2, tblPassengerNames[[#This Row],[DotPos]] - tblPassengerNames[[#This Row],[CommaPos]] - 1)</f>
        <v>Mr.</v>
      </c>
      <c r="R1305" t="str">
        <f>LEFT(tblPassengerNames[[#This Row],[Name]], tblPassengerNames[[#This Row],[CommaPos]] - 1)</f>
        <v>Yousif</v>
      </c>
    </row>
    <row r="1306" spans="2:18" x14ac:dyDescent="0.25">
      <c r="B1306" s="21">
        <v>1304</v>
      </c>
      <c r="C1306" s="21" t="s">
        <v>1438</v>
      </c>
      <c r="D1306" s="21" t="s">
        <v>138</v>
      </c>
      <c r="E1306">
        <f>FIND(",", tblPassengerNames[[#This Row],[Name]])</f>
        <v>9</v>
      </c>
      <c r="F1306">
        <f>FIND(".", tblPassengerNames[[#This Row],[Name]])</f>
        <v>13</v>
      </c>
      <c r="G1306" t="e">
        <f>FIND("(", tblPassengerNames[[#This Row],[Name]])</f>
        <v>#VALUE!</v>
      </c>
      <c r="H1306" t="e">
        <f>FIND(")", tblPassengerNames[[#This Row],[Name]])</f>
        <v>#VALUE!</v>
      </c>
      <c r="I1306">
        <f>IFERROR(tblPassengerNames[[#This Row],[OpenParPos]] - 2, LEN(tblPassengerNames[[#This Row],[Name]]))</f>
        <v>21</v>
      </c>
      <c r="J1306" t="str">
        <f>MID(tblPassengerNames[[#This Row],[Name]], tblPassengerNames[[#This Row],[DotPos]] + 2, tblPassengerNames[[#This Row],[EndOfConvFNPos]] - tblPassengerNames[[#This Row],[DotPos]] - 1)</f>
        <v>Gerious</v>
      </c>
      <c r="K1306" t="e">
        <f>MID(tblPassengerNames[[#This Row],[Name]], tblPassengerNames[[#This Row],[OpenParPos]] + 1, tblPassengerNames[[#This Row],[CloseParPos]] - tblPassengerNames[[#This Row],[OpenParPos]] - 1)</f>
        <v>#VALUE!</v>
      </c>
      <c r="L1306" t="e">
        <f>IF(AND(LEFT(tblPassengerNames[[#This Row],[InParentheses]], 1) = "'", RIGHT(tblPassengerNames[[#This Row],[InParentheses]], 1) = "'"),
    #VALUE!,
    tblPassengerNames[[#This Row],[InParentheses]]
)</f>
        <v>#VALUE!</v>
      </c>
      <c r="M1306" t="e">
        <f>LEN(tblPassengerNames[[#This Row],[InParenthesesCleaned]]) - LEN(SUBSTITUTE(tblPassengerNames[[#This Row],[InParenthesesCleaned]], " ", ""))</f>
        <v>#VALUE!</v>
      </c>
      <c r="N1306" t="e">
        <f>FIND("@", SUBSTITUTE(tblPassengerNames[[#This Row],[InParenthesesCleaned]], " ", "@", tblPassengerNames[[#This Row],[P_NSpaces]]))</f>
        <v>#VALUE!</v>
      </c>
      <c r="O1306" t="e">
        <f>IF(tblPassengerNames[[#This Row],[P_NSpaces]] = 0,
    tblPassengerNames[[#This Row],[InParenthesesCleaned]],
    LEFT(tblPassengerNames[[#This Row],[InParenthesesCleaned]], tblPassengerNames[[#This Row],[P_FinalSpacePos]] - 1)
)</f>
        <v>#VALUE!</v>
      </c>
      <c r="P1306" t="str">
        <f>IFERROR(tblPassengerNames[[#This Row],[P_Forenames]], tblPassengerNames[[#This Row],[ConvForenames]])</f>
        <v>Gerious</v>
      </c>
      <c r="Q1306" t="str">
        <f>MID(tblPassengerNames[[#This Row],[Name]], tblPassengerNames[[#This Row],[CommaPos]] + 2, tblPassengerNames[[#This Row],[DotPos]] - tblPassengerNames[[#This Row],[CommaPos]] - 1)</f>
        <v>Mr.</v>
      </c>
      <c r="R1306" t="str">
        <f>LEFT(tblPassengerNames[[#This Row],[Name]], tblPassengerNames[[#This Row],[CommaPos]] - 1)</f>
        <v>Yousseff</v>
      </c>
    </row>
    <row r="1307" spans="2:18" x14ac:dyDescent="0.25">
      <c r="B1307" s="21">
        <v>1305</v>
      </c>
      <c r="C1307" s="21" t="s">
        <v>1439</v>
      </c>
      <c r="D1307" s="21" t="s">
        <v>136</v>
      </c>
      <c r="E1307">
        <f>FIND(",", tblPassengerNames[[#This Row],[Name]])</f>
        <v>7</v>
      </c>
      <c r="F1307">
        <f>FIND(".", tblPassengerNames[[#This Row],[Name]])</f>
        <v>13</v>
      </c>
      <c r="G1307" t="e">
        <f>FIND("(", tblPassengerNames[[#This Row],[Name]])</f>
        <v>#VALUE!</v>
      </c>
      <c r="H1307" t="e">
        <f>FIND(")", tblPassengerNames[[#This Row],[Name]])</f>
        <v>#VALUE!</v>
      </c>
      <c r="I1307">
        <f>IFERROR(tblPassengerNames[[#This Row],[OpenParPos]] - 2, LEN(tblPassengerNames[[#This Row],[Name]]))</f>
        <v>20</v>
      </c>
      <c r="J1307" t="str">
        <f>MID(tblPassengerNames[[#This Row],[Name]], tblPassengerNames[[#This Row],[DotPos]] + 2, tblPassengerNames[[#This Row],[EndOfConvFNPos]] - tblPassengerNames[[#This Row],[DotPos]] - 1)</f>
        <v>Hileni</v>
      </c>
      <c r="K1307" t="e">
        <f>MID(tblPassengerNames[[#This Row],[Name]], tblPassengerNames[[#This Row],[OpenParPos]] + 1, tblPassengerNames[[#This Row],[CloseParPos]] - tblPassengerNames[[#This Row],[OpenParPos]] - 1)</f>
        <v>#VALUE!</v>
      </c>
      <c r="L1307" t="e">
        <f>IF(AND(LEFT(tblPassengerNames[[#This Row],[InParentheses]], 1) = "'", RIGHT(tblPassengerNames[[#This Row],[InParentheses]], 1) = "'"),
    #VALUE!,
    tblPassengerNames[[#This Row],[InParentheses]]
)</f>
        <v>#VALUE!</v>
      </c>
      <c r="M1307" t="e">
        <f>LEN(tblPassengerNames[[#This Row],[InParenthesesCleaned]]) - LEN(SUBSTITUTE(tblPassengerNames[[#This Row],[InParenthesesCleaned]], " ", ""))</f>
        <v>#VALUE!</v>
      </c>
      <c r="N1307" t="e">
        <f>FIND("@", SUBSTITUTE(tblPassengerNames[[#This Row],[InParenthesesCleaned]], " ", "@", tblPassengerNames[[#This Row],[P_NSpaces]]))</f>
        <v>#VALUE!</v>
      </c>
      <c r="O1307" t="e">
        <f>IF(tblPassengerNames[[#This Row],[P_NSpaces]] = 0,
    tblPassengerNames[[#This Row],[InParenthesesCleaned]],
    LEFT(tblPassengerNames[[#This Row],[InParenthesesCleaned]], tblPassengerNames[[#This Row],[P_FinalSpacePos]] - 1)
)</f>
        <v>#VALUE!</v>
      </c>
      <c r="P1307" t="str">
        <f>IFERROR(tblPassengerNames[[#This Row],[P_Forenames]], tblPassengerNames[[#This Row],[ConvForenames]])</f>
        <v>Hileni</v>
      </c>
      <c r="Q1307" t="str">
        <f>MID(tblPassengerNames[[#This Row],[Name]], tblPassengerNames[[#This Row],[CommaPos]] + 2, tblPassengerNames[[#This Row],[DotPos]] - tblPassengerNames[[#This Row],[CommaPos]] - 1)</f>
        <v>Miss.</v>
      </c>
      <c r="R1307" t="str">
        <f>LEFT(tblPassengerNames[[#This Row],[Name]], tblPassengerNames[[#This Row],[CommaPos]] - 1)</f>
        <v>Zabour</v>
      </c>
    </row>
    <row r="1308" spans="2:18" x14ac:dyDescent="0.25">
      <c r="B1308" s="21">
        <v>1306</v>
      </c>
      <c r="C1308" s="21" t="s">
        <v>1440</v>
      </c>
      <c r="D1308" s="21" t="s">
        <v>136</v>
      </c>
      <c r="E1308">
        <f>FIND(",", tblPassengerNames[[#This Row],[Name]])</f>
        <v>7</v>
      </c>
      <c r="F1308">
        <f>FIND(".", tblPassengerNames[[#This Row],[Name]])</f>
        <v>13</v>
      </c>
      <c r="G1308" t="e">
        <f>FIND("(", tblPassengerNames[[#This Row],[Name]])</f>
        <v>#VALUE!</v>
      </c>
      <c r="H1308" t="e">
        <f>FIND(")", tblPassengerNames[[#This Row],[Name]])</f>
        <v>#VALUE!</v>
      </c>
      <c r="I1308">
        <f>IFERROR(tblPassengerNames[[#This Row],[OpenParPos]] - 2, LEN(tblPassengerNames[[#This Row],[Name]]))</f>
        <v>21</v>
      </c>
      <c r="J1308" t="str">
        <f>MID(tblPassengerNames[[#This Row],[Name]], tblPassengerNames[[#This Row],[DotPos]] + 2, tblPassengerNames[[#This Row],[EndOfConvFNPos]] - tblPassengerNames[[#This Row],[DotPos]] - 1)</f>
        <v>Thamine</v>
      </c>
      <c r="K1308" t="e">
        <f>MID(tblPassengerNames[[#This Row],[Name]], tblPassengerNames[[#This Row],[OpenParPos]] + 1, tblPassengerNames[[#This Row],[CloseParPos]] - tblPassengerNames[[#This Row],[OpenParPos]] - 1)</f>
        <v>#VALUE!</v>
      </c>
      <c r="L1308" t="e">
        <f>IF(AND(LEFT(tblPassengerNames[[#This Row],[InParentheses]], 1) = "'", RIGHT(tblPassengerNames[[#This Row],[InParentheses]], 1) = "'"),
    #VALUE!,
    tblPassengerNames[[#This Row],[InParentheses]]
)</f>
        <v>#VALUE!</v>
      </c>
      <c r="M1308" t="e">
        <f>LEN(tblPassengerNames[[#This Row],[InParenthesesCleaned]]) - LEN(SUBSTITUTE(tblPassengerNames[[#This Row],[InParenthesesCleaned]], " ", ""))</f>
        <v>#VALUE!</v>
      </c>
      <c r="N1308" t="e">
        <f>FIND("@", SUBSTITUTE(tblPassengerNames[[#This Row],[InParenthesesCleaned]], " ", "@", tblPassengerNames[[#This Row],[P_NSpaces]]))</f>
        <v>#VALUE!</v>
      </c>
      <c r="O1308" t="e">
        <f>IF(tblPassengerNames[[#This Row],[P_NSpaces]] = 0,
    tblPassengerNames[[#This Row],[InParenthesesCleaned]],
    LEFT(tblPassengerNames[[#This Row],[InParenthesesCleaned]], tblPassengerNames[[#This Row],[P_FinalSpacePos]] - 1)
)</f>
        <v>#VALUE!</v>
      </c>
      <c r="P1308" t="str">
        <f>IFERROR(tblPassengerNames[[#This Row],[P_Forenames]], tblPassengerNames[[#This Row],[ConvForenames]])</f>
        <v>Thamine</v>
      </c>
      <c r="Q1308" t="str">
        <f>MID(tblPassengerNames[[#This Row],[Name]], tblPassengerNames[[#This Row],[CommaPos]] + 2, tblPassengerNames[[#This Row],[DotPos]] - tblPassengerNames[[#This Row],[CommaPos]] - 1)</f>
        <v>Miss.</v>
      </c>
      <c r="R1308" t="str">
        <f>LEFT(tblPassengerNames[[#This Row],[Name]], tblPassengerNames[[#This Row],[CommaPos]] - 1)</f>
        <v>Zabour</v>
      </c>
    </row>
    <row r="1309" spans="2:18" x14ac:dyDescent="0.25">
      <c r="B1309" s="21">
        <v>1307</v>
      </c>
      <c r="C1309" s="21" t="s">
        <v>1441</v>
      </c>
      <c r="D1309" s="21" t="s">
        <v>138</v>
      </c>
      <c r="E1309">
        <f>FIND(",", tblPassengerNames[[#This Row],[Name]])</f>
        <v>9</v>
      </c>
      <c r="F1309">
        <f>FIND(".", tblPassengerNames[[#This Row],[Name]])</f>
        <v>13</v>
      </c>
      <c r="G1309" t="e">
        <f>FIND("(", tblPassengerNames[[#This Row],[Name]])</f>
        <v>#VALUE!</v>
      </c>
      <c r="H1309" t="e">
        <f>FIND(")", tblPassengerNames[[#This Row],[Name]])</f>
        <v>#VALUE!</v>
      </c>
      <c r="I1309">
        <f>IFERROR(tblPassengerNames[[#This Row],[OpenParPos]] - 2, LEN(tblPassengerNames[[#This Row],[Name]]))</f>
        <v>25</v>
      </c>
      <c r="J1309" t="str">
        <f>MID(tblPassengerNames[[#This Row],[Name]], tblPassengerNames[[#This Row],[DotPos]] + 2, tblPassengerNames[[#This Row],[EndOfConvFNPos]] - tblPassengerNames[[#This Row],[DotPos]] - 1)</f>
        <v>Mapriededer</v>
      </c>
      <c r="K1309" t="e">
        <f>MID(tblPassengerNames[[#This Row],[Name]], tblPassengerNames[[#This Row],[OpenParPos]] + 1, tblPassengerNames[[#This Row],[CloseParPos]] - tblPassengerNames[[#This Row],[OpenParPos]] - 1)</f>
        <v>#VALUE!</v>
      </c>
      <c r="L1309" t="e">
        <f>IF(AND(LEFT(tblPassengerNames[[#This Row],[InParentheses]], 1) = "'", RIGHT(tblPassengerNames[[#This Row],[InParentheses]], 1) = "'"),
    #VALUE!,
    tblPassengerNames[[#This Row],[InParentheses]]
)</f>
        <v>#VALUE!</v>
      </c>
      <c r="M1309" t="e">
        <f>LEN(tblPassengerNames[[#This Row],[InParenthesesCleaned]]) - LEN(SUBSTITUTE(tblPassengerNames[[#This Row],[InParenthesesCleaned]], " ", ""))</f>
        <v>#VALUE!</v>
      </c>
      <c r="N1309" t="e">
        <f>FIND("@", SUBSTITUTE(tblPassengerNames[[#This Row],[InParenthesesCleaned]], " ", "@", tblPassengerNames[[#This Row],[P_NSpaces]]))</f>
        <v>#VALUE!</v>
      </c>
      <c r="O1309" t="e">
        <f>IF(tblPassengerNames[[#This Row],[P_NSpaces]] = 0,
    tblPassengerNames[[#This Row],[InParenthesesCleaned]],
    LEFT(tblPassengerNames[[#This Row],[InParenthesesCleaned]], tblPassengerNames[[#This Row],[P_FinalSpacePos]] - 1)
)</f>
        <v>#VALUE!</v>
      </c>
      <c r="P1309" t="str">
        <f>IFERROR(tblPassengerNames[[#This Row],[P_Forenames]], tblPassengerNames[[#This Row],[ConvForenames]])</f>
        <v>Mapriededer</v>
      </c>
      <c r="Q1309" t="str">
        <f>MID(tblPassengerNames[[#This Row],[Name]], tblPassengerNames[[#This Row],[CommaPos]] + 2, tblPassengerNames[[#This Row],[DotPos]] - tblPassengerNames[[#This Row],[CommaPos]] - 1)</f>
        <v>Mr.</v>
      </c>
      <c r="R1309" t="str">
        <f>LEFT(tblPassengerNames[[#This Row],[Name]], tblPassengerNames[[#This Row],[CommaPos]] - 1)</f>
        <v>Zakarian</v>
      </c>
    </row>
    <row r="1310" spans="2:18" x14ac:dyDescent="0.25">
      <c r="B1310" s="21">
        <v>1308</v>
      </c>
      <c r="C1310" s="21" t="s">
        <v>1442</v>
      </c>
      <c r="D1310" s="21" t="s">
        <v>138</v>
      </c>
      <c r="E1310">
        <f>FIND(",", tblPassengerNames[[#This Row],[Name]])</f>
        <v>9</v>
      </c>
      <c r="F1310">
        <f>FIND(".", tblPassengerNames[[#This Row],[Name]])</f>
        <v>13</v>
      </c>
      <c r="G1310" t="e">
        <f>FIND("(", tblPassengerNames[[#This Row],[Name]])</f>
        <v>#VALUE!</v>
      </c>
      <c r="H1310" t="e">
        <f>FIND(")", tblPassengerNames[[#This Row],[Name]])</f>
        <v>#VALUE!</v>
      </c>
      <c r="I1310">
        <f>IFERROR(tblPassengerNames[[#This Row],[OpenParPos]] - 2, LEN(tblPassengerNames[[#This Row],[Name]]))</f>
        <v>19</v>
      </c>
      <c r="J1310" t="str">
        <f>MID(tblPassengerNames[[#This Row],[Name]], tblPassengerNames[[#This Row],[DotPos]] + 2, tblPassengerNames[[#This Row],[EndOfConvFNPos]] - tblPassengerNames[[#This Row],[DotPos]] - 1)</f>
        <v>Ortin</v>
      </c>
      <c r="K1310" t="e">
        <f>MID(tblPassengerNames[[#This Row],[Name]], tblPassengerNames[[#This Row],[OpenParPos]] + 1, tblPassengerNames[[#This Row],[CloseParPos]] - tblPassengerNames[[#This Row],[OpenParPos]] - 1)</f>
        <v>#VALUE!</v>
      </c>
      <c r="L1310" t="e">
        <f>IF(AND(LEFT(tblPassengerNames[[#This Row],[InParentheses]], 1) = "'", RIGHT(tblPassengerNames[[#This Row],[InParentheses]], 1) = "'"),
    #VALUE!,
    tblPassengerNames[[#This Row],[InParentheses]]
)</f>
        <v>#VALUE!</v>
      </c>
      <c r="M1310" t="e">
        <f>LEN(tblPassengerNames[[#This Row],[InParenthesesCleaned]]) - LEN(SUBSTITUTE(tblPassengerNames[[#This Row],[InParenthesesCleaned]], " ", ""))</f>
        <v>#VALUE!</v>
      </c>
      <c r="N1310" t="e">
        <f>FIND("@", SUBSTITUTE(tblPassengerNames[[#This Row],[InParenthesesCleaned]], " ", "@", tblPassengerNames[[#This Row],[P_NSpaces]]))</f>
        <v>#VALUE!</v>
      </c>
      <c r="O1310" t="e">
        <f>IF(tblPassengerNames[[#This Row],[P_NSpaces]] = 0,
    tblPassengerNames[[#This Row],[InParenthesesCleaned]],
    LEFT(tblPassengerNames[[#This Row],[InParenthesesCleaned]], tblPassengerNames[[#This Row],[P_FinalSpacePos]] - 1)
)</f>
        <v>#VALUE!</v>
      </c>
      <c r="P1310" t="str">
        <f>IFERROR(tblPassengerNames[[#This Row],[P_Forenames]], tblPassengerNames[[#This Row],[ConvForenames]])</f>
        <v>Ortin</v>
      </c>
      <c r="Q1310" t="str">
        <f>MID(tblPassengerNames[[#This Row],[Name]], tblPassengerNames[[#This Row],[CommaPos]] + 2, tblPassengerNames[[#This Row],[DotPos]] - tblPassengerNames[[#This Row],[CommaPos]] - 1)</f>
        <v>Mr.</v>
      </c>
      <c r="R1310" t="str">
        <f>LEFT(tblPassengerNames[[#This Row],[Name]], tblPassengerNames[[#This Row],[CommaPos]] - 1)</f>
        <v>Zakarian</v>
      </c>
    </row>
    <row r="1311" spans="2:18" x14ac:dyDescent="0.25">
      <c r="B1311" s="21">
        <v>1309</v>
      </c>
      <c r="C1311" s="21" t="s">
        <v>1443</v>
      </c>
      <c r="D1311" s="21" t="s">
        <v>138</v>
      </c>
      <c r="E1311">
        <f>FIND(",", tblPassengerNames[[#This Row],[Name]])</f>
        <v>10</v>
      </c>
      <c r="F1311">
        <f>FIND(".", tblPassengerNames[[#This Row],[Name]])</f>
        <v>14</v>
      </c>
      <c r="G1311" t="e">
        <f>FIND("(", tblPassengerNames[[#This Row],[Name]])</f>
        <v>#VALUE!</v>
      </c>
      <c r="H1311" t="e">
        <f>FIND(")", tblPassengerNames[[#This Row],[Name]])</f>
        <v>#VALUE!</v>
      </c>
      <c r="I1311">
        <f>IFERROR(tblPassengerNames[[#This Row],[OpenParPos]] - 2, LEN(tblPassengerNames[[#This Row],[Name]]))</f>
        <v>18</v>
      </c>
      <c r="J1311" t="str">
        <f>MID(tblPassengerNames[[#This Row],[Name]], tblPassengerNames[[#This Row],[DotPos]] + 2, tblPassengerNames[[#This Row],[EndOfConvFNPos]] - tblPassengerNames[[#This Row],[DotPos]] - 1)</f>
        <v>Leo</v>
      </c>
      <c r="K1311" t="e">
        <f>MID(tblPassengerNames[[#This Row],[Name]], tblPassengerNames[[#This Row],[OpenParPos]] + 1, tblPassengerNames[[#This Row],[CloseParPos]] - tblPassengerNames[[#This Row],[OpenParPos]] - 1)</f>
        <v>#VALUE!</v>
      </c>
      <c r="L1311" t="e">
        <f>IF(AND(LEFT(tblPassengerNames[[#This Row],[InParentheses]], 1) = "'", RIGHT(tblPassengerNames[[#This Row],[InParentheses]], 1) = "'"),
    #VALUE!,
    tblPassengerNames[[#This Row],[InParentheses]]
)</f>
        <v>#VALUE!</v>
      </c>
      <c r="M1311" t="e">
        <f>LEN(tblPassengerNames[[#This Row],[InParenthesesCleaned]]) - LEN(SUBSTITUTE(tblPassengerNames[[#This Row],[InParenthesesCleaned]], " ", ""))</f>
        <v>#VALUE!</v>
      </c>
      <c r="N1311" t="e">
        <f>FIND("@", SUBSTITUTE(tblPassengerNames[[#This Row],[InParenthesesCleaned]], " ", "@", tblPassengerNames[[#This Row],[P_NSpaces]]))</f>
        <v>#VALUE!</v>
      </c>
      <c r="O1311" t="e">
        <f>IF(tblPassengerNames[[#This Row],[P_NSpaces]] = 0,
    tblPassengerNames[[#This Row],[InParenthesesCleaned]],
    LEFT(tblPassengerNames[[#This Row],[InParenthesesCleaned]], tblPassengerNames[[#This Row],[P_FinalSpacePos]] - 1)
)</f>
        <v>#VALUE!</v>
      </c>
      <c r="P1311" t="str">
        <f>IFERROR(tblPassengerNames[[#This Row],[P_Forenames]], tblPassengerNames[[#This Row],[ConvForenames]])</f>
        <v>Leo</v>
      </c>
      <c r="Q1311" t="str">
        <f>MID(tblPassengerNames[[#This Row],[Name]], tblPassengerNames[[#This Row],[CommaPos]] + 2, tblPassengerNames[[#This Row],[DotPos]] - tblPassengerNames[[#This Row],[CommaPos]] - 1)</f>
        <v>Mr.</v>
      </c>
      <c r="R1311" t="str">
        <f>LEFT(tblPassengerNames[[#This Row],[Name]], tblPassengerNames[[#This Row],[CommaPos]] - 1)</f>
        <v>Zimmerman</v>
      </c>
    </row>
  </sheetData>
  <sheetProtection formatCells="0" formatColumns="0" formatRows="0" insertColumns="0" deleteColumns="0" sort="0" autoFilter="0"/>
  <protectedRanges>
    <protectedRange sqref="E3:R1311" name="Data table"/>
  </protectedRanges>
  <phoneticPr fontId="3" type="noConversion"/>
  <conditionalFormatting sqref="B2:R2">
    <cfRule type="expression" dxfId="276" priority="5">
      <formula>SUMPRODUCT(--(B2 = INDIRECT("tblLockedColnames_tblData[Column name]"))) = 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F3981-828B-488A-86A4-DFE7C1075D08}">
  <sheetPr codeName="shtFormulaHelp"/>
  <dimension ref="A2:X310"/>
  <sheetViews>
    <sheetView showGridLines="0" tabSelected="1" zoomScaleNormal="100" workbookViewId="0">
      <selection activeCell="K261" sqref="K261"/>
    </sheetView>
  </sheetViews>
  <sheetFormatPr defaultColWidth="9.140625" defaultRowHeight="18" x14ac:dyDescent="0.35"/>
  <cols>
    <col min="1" max="1" width="9.140625" style="31" customWidth="1"/>
    <col min="2" max="2" width="33.140625" style="31" customWidth="1"/>
    <col min="3" max="3" width="4.42578125" style="31" customWidth="1"/>
    <col min="4" max="4" width="12.140625" style="31" customWidth="1"/>
    <col min="5" max="16384" width="9.140625" style="31"/>
  </cols>
  <sheetData>
    <row r="2" spans="1:24" x14ac:dyDescent="0.35">
      <c r="A2" s="30" t="str">
        <f>" "</f>
        <v xml:space="preserve"> </v>
      </c>
    </row>
    <row r="7" spans="1:24" ht="24" x14ac:dyDescent="0.45">
      <c r="B7" s="29" t="s">
        <v>3400</v>
      </c>
      <c r="C7" s="29"/>
      <c r="D7" s="29"/>
      <c r="E7" s="29"/>
      <c r="F7" s="29"/>
      <c r="G7" s="29"/>
      <c r="H7" s="29"/>
      <c r="I7" s="29"/>
      <c r="J7" s="29"/>
      <c r="K7" s="29"/>
      <c r="L7" s="29"/>
      <c r="M7" s="29"/>
      <c r="N7" s="29"/>
      <c r="O7" s="29"/>
      <c r="P7" s="29"/>
      <c r="Q7" s="29"/>
      <c r="R7" s="29"/>
      <c r="S7" s="29"/>
      <c r="T7" s="29"/>
      <c r="U7" s="29"/>
      <c r="V7" s="29"/>
      <c r="W7" s="29"/>
      <c r="X7" s="29"/>
    </row>
    <row r="8" spans="1:24" ht="3" customHeight="1" x14ac:dyDescent="0.45">
      <c r="B8" s="32"/>
      <c r="C8" s="32"/>
      <c r="D8" s="32"/>
      <c r="E8" s="32"/>
      <c r="F8" s="32"/>
      <c r="G8" s="32"/>
      <c r="H8" s="32"/>
      <c r="I8" s="32"/>
      <c r="J8" s="32"/>
      <c r="K8" s="32"/>
      <c r="L8" s="32"/>
      <c r="M8" s="32"/>
      <c r="N8" s="32"/>
      <c r="O8" s="32"/>
      <c r="P8" s="32"/>
      <c r="Q8" s="32"/>
      <c r="R8" s="32"/>
      <c r="S8" s="32"/>
      <c r="T8" s="32"/>
      <c r="U8" s="32"/>
      <c r="V8" s="32"/>
      <c r="W8" s="32"/>
      <c r="X8" s="32"/>
    </row>
    <row r="9" spans="1:24" ht="6.95" customHeight="1" x14ac:dyDescent="0.35"/>
    <row r="10" spans="1:24" x14ac:dyDescent="0.35">
      <c r="B10" s="30" t="s">
        <v>3402</v>
      </c>
    </row>
    <row r="11" spans="1:24" ht="6.95" customHeight="1" x14ac:dyDescent="0.35"/>
    <row r="12" spans="1:24" x14ac:dyDescent="0.35">
      <c r="B12" s="30" t="s">
        <v>3401</v>
      </c>
    </row>
    <row r="31" spans="2:2" x14ac:dyDescent="0.35">
      <c r="B31" s="30" t="s">
        <v>3443</v>
      </c>
    </row>
    <row r="35" spans="2:24" ht="24" x14ac:dyDescent="0.45">
      <c r="B35" s="29" t="s">
        <v>1477</v>
      </c>
      <c r="C35" s="29"/>
      <c r="D35" s="29"/>
      <c r="E35" s="29"/>
      <c r="F35" s="29"/>
      <c r="G35" s="29"/>
      <c r="H35" s="29"/>
      <c r="I35" s="29"/>
      <c r="J35" s="29"/>
      <c r="K35" s="29"/>
      <c r="L35" s="29"/>
      <c r="M35" s="29"/>
      <c r="N35" s="29"/>
      <c r="O35" s="29"/>
      <c r="P35" s="29"/>
      <c r="Q35" s="29"/>
      <c r="R35" s="29"/>
      <c r="S35" s="29"/>
      <c r="T35" s="29"/>
      <c r="U35" s="29"/>
      <c r="V35" s="29"/>
      <c r="W35" s="29"/>
      <c r="X35" s="29"/>
    </row>
    <row r="36" spans="2:24" ht="3" customHeight="1" x14ac:dyDescent="0.45">
      <c r="B36" s="32"/>
      <c r="C36" s="32"/>
      <c r="D36" s="32"/>
      <c r="E36" s="32"/>
      <c r="F36" s="32"/>
      <c r="G36" s="32"/>
      <c r="H36" s="32"/>
      <c r="I36" s="32"/>
      <c r="J36" s="32"/>
      <c r="K36" s="32"/>
      <c r="L36" s="32"/>
      <c r="M36" s="32"/>
      <c r="N36" s="32"/>
      <c r="O36" s="32"/>
      <c r="P36" s="32"/>
      <c r="Q36" s="32"/>
      <c r="R36" s="32"/>
      <c r="S36" s="32"/>
      <c r="T36" s="32"/>
      <c r="U36" s="32"/>
      <c r="V36" s="32"/>
      <c r="W36" s="32"/>
      <c r="X36" s="32"/>
    </row>
    <row r="37" spans="2:24" ht="6.95" customHeight="1" x14ac:dyDescent="0.35"/>
    <row r="38" spans="2:24" x14ac:dyDescent="0.35">
      <c r="B38" s="30" t="s">
        <v>84</v>
      </c>
    </row>
    <row r="41" spans="2:24" x14ac:dyDescent="0.35">
      <c r="B41" s="30" t="s">
        <v>3444</v>
      </c>
    </row>
    <row r="42" spans="2:24" ht="6.95" customHeight="1" thickBot="1" x14ac:dyDescent="0.4"/>
    <row r="43" spans="2:24" ht="18.75" thickBot="1" x14ac:dyDescent="0.4">
      <c r="B43" s="33" t="s">
        <v>133</v>
      </c>
      <c r="C43" s="34"/>
      <c r="D43" s="34"/>
      <c r="E43" s="34"/>
      <c r="F43" s="35"/>
      <c r="H43" s="30" t="str" cm="1">
        <f t="array" ref="H43">IF(ISERROR(IF(TRUE, 1)),
    fnDoesNotWorkStr,
    fnWorksStr
)</f>
        <v>✔️ This function is included in your version of Excel</v>
      </c>
    </row>
    <row r="44" spans="2:24" ht="6.95" customHeight="1" x14ac:dyDescent="0.35"/>
    <row r="45" spans="2:24" x14ac:dyDescent="0.35">
      <c r="B45" s="36" t="s">
        <v>13</v>
      </c>
      <c r="C45" s="37"/>
      <c r="D45" s="38" t="s">
        <v>14</v>
      </c>
    </row>
    <row r="46" spans="2:24" x14ac:dyDescent="0.35">
      <c r="B46" s="39" t="str">
        <f ca="1">_xlfn.FORMULATEXT(D46)</f>
        <v>=IF(TRUE, "A", "B")</v>
      </c>
      <c r="C46" s="40"/>
      <c r="D46" s="41" t="str">
        <f>IF(TRUE, "A", "B")</f>
        <v>A</v>
      </c>
    </row>
    <row r="47" spans="2:24" x14ac:dyDescent="0.35">
      <c r="B47" s="42" t="str">
        <f ca="1">_xlfn.FORMULATEXT(D47)</f>
        <v>=IF(FALSE, "A", "B")</v>
      </c>
      <c r="C47" s="43"/>
      <c r="D47" s="41" t="str">
        <f>IF(FALSE, "A", "B")</f>
        <v>B</v>
      </c>
    </row>
    <row r="48" spans="2:24" x14ac:dyDescent="0.35">
      <c r="B48" s="42" t="str">
        <f ca="1">_xlfn.FORMULATEXT(D48)</f>
        <v>=IF(1 / 2 = 0.5, "A", "B")</v>
      </c>
      <c r="C48" s="43"/>
      <c r="D48" s="41" t="str">
        <f>IF(1 / 2 = 0.5, "A", "B")</f>
        <v>A</v>
      </c>
    </row>
    <row r="49" spans="2:8" x14ac:dyDescent="0.35">
      <c r="B49" s="42" t="str">
        <f ca="1">_xlfn.FORMULATEXT(D49)</f>
        <v>=IF(1 / 3 = 0.5, "A", "B")</v>
      </c>
      <c r="C49" s="43"/>
      <c r="D49" s="41" t="str">
        <f>IF(1 / 3 = 0.5, "A", "B")</f>
        <v>B</v>
      </c>
    </row>
    <row r="50" spans="2:8" x14ac:dyDescent="0.35">
      <c r="B50" s="44" t="str">
        <f ca="1">_xlfn.FORMULATEXT(D50)</f>
        <v>=IF(LEFT("QA", 1) = "Q", 123, 456)</v>
      </c>
      <c r="C50" s="45"/>
      <c r="D50" s="46">
        <f>IF(LEFT("QA", 1) = "Q", 123, 456)</f>
        <v>123</v>
      </c>
    </row>
    <row r="53" spans="2:8" x14ac:dyDescent="0.35">
      <c r="B53" s="30" t="s">
        <v>3445</v>
      </c>
    </row>
    <row r="54" spans="2:8" ht="6.95" customHeight="1" thickBot="1" x14ac:dyDescent="0.4"/>
    <row r="55" spans="2:8" ht="18.75" thickBot="1" x14ac:dyDescent="0.4">
      <c r="B55" s="33" t="s">
        <v>3395</v>
      </c>
      <c r="C55" s="34"/>
      <c r="D55" s="34"/>
      <c r="E55" s="34"/>
      <c r="F55" s="35"/>
      <c r="H55" s="30" t="str" cm="1">
        <f t="array" ref="H55">IF(ISERROR(AND(TRUE, FALSE)),
    fnDoesNotWorkStr,
    fnWorksStr
)</f>
        <v>✔️ This function is included in your version of Excel</v>
      </c>
    </row>
    <row r="56" spans="2:8" ht="6.95" customHeight="1" x14ac:dyDescent="0.35"/>
    <row r="57" spans="2:8" x14ac:dyDescent="0.35">
      <c r="B57" s="36" t="s">
        <v>13</v>
      </c>
      <c r="C57" s="37"/>
      <c r="D57" s="38" t="s">
        <v>14</v>
      </c>
    </row>
    <row r="58" spans="2:8" x14ac:dyDescent="0.35">
      <c r="B58" s="39" t="str">
        <f t="shared" ref="B58:B63" ca="1" si="0">_xlfn.FORMULATEXT(D58)</f>
        <v>=AND(TRUE, TRUE)</v>
      </c>
      <c r="C58" s="40"/>
      <c r="D58" s="41" t="b">
        <f>AND(TRUE, TRUE)</f>
        <v>1</v>
      </c>
    </row>
    <row r="59" spans="2:8" x14ac:dyDescent="0.35">
      <c r="B59" s="42" t="str">
        <f t="shared" ca="1" si="0"/>
        <v>=AND(TRUE, FALSE)</v>
      </c>
      <c r="C59" s="43"/>
      <c r="D59" s="41" t="b">
        <f>AND(TRUE, FALSE)</f>
        <v>0</v>
      </c>
    </row>
    <row r="60" spans="2:8" x14ac:dyDescent="0.35">
      <c r="B60" s="42" t="str">
        <f t="shared" ca="1" si="0"/>
        <v>=AND(FALSE, FALSE)</v>
      </c>
      <c r="C60" s="43"/>
      <c r="D60" s="41" t="b">
        <f>AND(FALSE, FALSE)</f>
        <v>0</v>
      </c>
    </row>
    <row r="61" spans="2:8" x14ac:dyDescent="0.35">
      <c r="B61" s="42" t="str">
        <f t="shared" ca="1" si="0"/>
        <v>=AND(TRUE, FALSE, #N/A)</v>
      </c>
      <c r="C61" s="43"/>
      <c r="D61" s="41" t="e">
        <f>AND(TRUE, FALSE, #N/A)</f>
        <v>#N/A</v>
      </c>
    </row>
    <row r="62" spans="2:8" x14ac:dyDescent="0.35">
      <c r="B62" s="42" t="str">
        <f t="shared" ca="1" si="0"/>
        <v>=AND(2 &gt; 1, "a" = "a", 5 * 2 = 10)</v>
      </c>
      <c r="C62" s="43"/>
      <c r="D62" s="41" t="b">
        <f>AND(2 &gt; 1, "a" = "a", 5 * 2 = 10)</f>
        <v>1</v>
      </c>
    </row>
    <row r="63" spans="2:8" x14ac:dyDescent="0.35">
      <c r="B63" s="44" t="str">
        <f t="shared" ca="1" si="0"/>
        <v>=AND(2 &gt; 1, "a" = "a", 5 * 2 = 11)</v>
      </c>
      <c r="C63" s="45"/>
      <c r="D63" s="46" t="b">
        <f>AND(2 &gt; 1, "a" = "a", 5 * 2 = 11)</f>
        <v>0</v>
      </c>
    </row>
    <row r="66" spans="2:8" x14ac:dyDescent="0.35">
      <c r="B66" s="30" t="s">
        <v>3446</v>
      </c>
    </row>
    <row r="67" spans="2:8" ht="6.95" customHeight="1" thickBot="1" x14ac:dyDescent="0.4"/>
    <row r="68" spans="2:8" ht="18.75" thickBot="1" x14ac:dyDescent="0.4">
      <c r="B68" s="33" t="s">
        <v>3396</v>
      </c>
      <c r="C68" s="34"/>
      <c r="D68" s="34"/>
      <c r="E68" s="34"/>
      <c r="F68" s="35"/>
      <c r="H68" s="30" t="str" cm="1">
        <f t="array" ref="H68">IF(ISERROR(OR(TRUE, FALSE)),
    fnDoesNotWorkStr,
    fnWorksStr
)</f>
        <v>✔️ This function is included in your version of Excel</v>
      </c>
    </row>
    <row r="69" spans="2:8" ht="6.95" customHeight="1" x14ac:dyDescent="0.35"/>
    <row r="70" spans="2:8" x14ac:dyDescent="0.35">
      <c r="B70" s="36" t="s">
        <v>13</v>
      </c>
      <c r="C70" s="37"/>
      <c r="D70" s="38" t="s">
        <v>14</v>
      </c>
    </row>
    <row r="71" spans="2:8" x14ac:dyDescent="0.35">
      <c r="B71" s="39" t="str">
        <f t="shared" ref="B71:B77" ca="1" si="1">_xlfn.FORMULATEXT(D71)</f>
        <v>=OR(TRUE, TRUE)</v>
      </c>
      <c r="C71" s="40"/>
      <c r="D71" s="41" t="b">
        <f>OR(TRUE, TRUE)</f>
        <v>1</v>
      </c>
    </row>
    <row r="72" spans="2:8" x14ac:dyDescent="0.35">
      <c r="B72" s="42" t="str">
        <f t="shared" ca="1" si="1"/>
        <v>=OR(TRUE, FALSE)</v>
      </c>
      <c r="C72" s="43"/>
      <c r="D72" s="41" t="b">
        <f>OR(TRUE, FALSE)</f>
        <v>1</v>
      </c>
    </row>
    <row r="73" spans="2:8" x14ac:dyDescent="0.35">
      <c r="B73" s="42" t="str">
        <f t="shared" ca="1" si="1"/>
        <v>=OR(FALSE, FALSE)</v>
      </c>
      <c r="C73" s="43"/>
      <c r="D73" s="41" t="b">
        <f>OR(FALSE, FALSE)</f>
        <v>0</v>
      </c>
    </row>
    <row r="74" spans="2:8" x14ac:dyDescent="0.35">
      <c r="B74" s="42" t="str">
        <f t="shared" ca="1" si="1"/>
        <v>=OR(FALSE, TRUE, FALSE, FALSE)</v>
      </c>
      <c r="C74" s="43"/>
      <c r="D74" s="41" t="b">
        <f>OR(FALSE, TRUE, FALSE, FALSE)</f>
        <v>1</v>
      </c>
    </row>
    <row r="75" spans="2:8" x14ac:dyDescent="0.35">
      <c r="B75" s="42" t="str">
        <f t="shared" ca="1" si="1"/>
        <v>=OR(TRUE, FALSE, #N/A)</v>
      </c>
      <c r="C75" s="43"/>
      <c r="D75" s="41" t="e">
        <f>OR(TRUE, FALSE, #N/A)</f>
        <v>#N/A</v>
      </c>
    </row>
    <row r="76" spans="2:8" x14ac:dyDescent="0.35">
      <c r="B76" s="42" t="str">
        <f t="shared" ca="1" si="1"/>
        <v>=OR(2 &gt; 1, "a" = "a", 5 * 2 = 11)</v>
      </c>
      <c r="C76" s="43"/>
      <c r="D76" s="41" t="b">
        <f>OR(2 &gt; 1, "a" = "a", 5 * 2 = 11)</f>
        <v>1</v>
      </c>
    </row>
    <row r="77" spans="2:8" x14ac:dyDescent="0.35">
      <c r="B77" s="44" t="str">
        <f t="shared" ca="1" si="1"/>
        <v>=OR(2 &lt; 1, "a" = "b", 5 * 2 = 11)</v>
      </c>
      <c r="C77" s="45"/>
      <c r="D77" s="46" t="b">
        <f>OR(2 &lt; 1, "a" = "b", 5 * 2 = 11)</f>
        <v>0</v>
      </c>
    </row>
    <row r="80" spans="2:8" x14ac:dyDescent="0.35">
      <c r="B80" s="30" t="s">
        <v>3447</v>
      </c>
    </row>
    <row r="81" spans="2:8" ht="6.95" customHeight="1" thickBot="1" x14ac:dyDescent="0.4"/>
    <row r="82" spans="2:8" ht="18.75" thickBot="1" x14ac:dyDescent="0.4">
      <c r="B82" s="33" t="s">
        <v>3399</v>
      </c>
      <c r="C82" s="34"/>
      <c r="D82" s="34"/>
      <c r="E82" s="34"/>
      <c r="F82" s="35"/>
      <c r="H82" s="30" t="str" cm="1">
        <f t="array" ref="H82">IF(ISERROR(NOT(TRUE)),
    fnDoesNotWorkStr,
    fnWorksStr
)</f>
        <v>✔️ This function is included in your version of Excel</v>
      </c>
    </row>
    <row r="83" spans="2:8" ht="6.95" customHeight="1" x14ac:dyDescent="0.35"/>
    <row r="84" spans="2:8" x14ac:dyDescent="0.35">
      <c r="B84" s="36" t="s">
        <v>13</v>
      </c>
      <c r="C84" s="37"/>
      <c r="D84" s="38" t="s">
        <v>14</v>
      </c>
    </row>
    <row r="85" spans="2:8" x14ac:dyDescent="0.35">
      <c r="B85" s="39" t="str">
        <f t="shared" ref="B85:B90" ca="1" si="2">_xlfn.FORMULATEXT(D85)</f>
        <v>=NOT(TRUE)</v>
      </c>
      <c r="C85" s="40"/>
      <c r="D85" s="41" t="b">
        <f>NOT(TRUE)</f>
        <v>0</v>
      </c>
    </row>
    <row r="86" spans="2:8" x14ac:dyDescent="0.35">
      <c r="B86" s="42" t="str">
        <f t="shared" ca="1" si="2"/>
        <v>=NOT(FALSE)</v>
      </c>
      <c r="C86" s="43"/>
      <c r="D86" s="41" t="b">
        <f>NOT(FALSE)</f>
        <v>1</v>
      </c>
    </row>
    <row r="87" spans="2:8" x14ac:dyDescent="0.35">
      <c r="B87" s="42" t="str">
        <f t="shared" ca="1" si="2"/>
        <v>=NOT(1 = 1)</v>
      </c>
      <c r="C87" s="43"/>
      <c r="D87" s="41" t="b">
        <f>NOT(1 = 1)</f>
        <v>0</v>
      </c>
    </row>
    <row r="88" spans="2:8" x14ac:dyDescent="0.35">
      <c r="B88" s="42" t="str">
        <f t="shared" ca="1" si="2"/>
        <v>=NOT(1 = 0)</v>
      </c>
      <c r="C88" s="43"/>
      <c r="D88" s="41" t="b">
        <f>NOT(1 = 0)</f>
        <v>1</v>
      </c>
    </row>
    <row r="89" spans="2:8" x14ac:dyDescent="0.35">
      <c r="B89" s="42" t="str">
        <f t="shared" ca="1" si="2"/>
        <v>=NOT(#N/A)</v>
      </c>
      <c r="C89" s="43"/>
      <c r="D89" s="41" t="e">
        <f>NOT(#N/A)</f>
        <v>#N/A</v>
      </c>
    </row>
    <row r="90" spans="2:8" x14ac:dyDescent="0.35">
      <c r="B90" s="44" t="str">
        <f t="shared" ca="1" si="2"/>
        <v>=NOT(NOT(TRUE))</v>
      </c>
      <c r="C90" s="45"/>
      <c r="D90" s="46" t="b">
        <f>NOT(NOT(TRUE))</f>
        <v>1</v>
      </c>
    </row>
    <row r="93" spans="2:8" x14ac:dyDescent="0.35">
      <c r="B93" s="30" t="s">
        <v>3448</v>
      </c>
    </row>
    <row r="94" spans="2:8" ht="6.95" customHeight="1" thickBot="1" x14ac:dyDescent="0.4"/>
    <row r="95" spans="2:8" ht="18.75" thickBot="1" x14ac:dyDescent="0.4">
      <c r="B95" s="33" t="s">
        <v>70</v>
      </c>
      <c r="C95" s="34"/>
      <c r="D95" s="34"/>
      <c r="E95" s="34"/>
      <c r="F95" s="35"/>
      <c r="H95" s="30" t="str" cm="1">
        <f t="array" ref="H95">IF(ISERROR(LEFT("abc", 1)),
    fnDoesNotWorkStr,
    fnWorksStr
)</f>
        <v>✔️ This function is included in your version of Excel</v>
      </c>
    </row>
    <row r="96" spans="2:8" ht="6.95" customHeight="1" thickBot="1" x14ac:dyDescent="0.4"/>
    <row r="97" spans="2:8" ht="18.75" thickBot="1" x14ac:dyDescent="0.4">
      <c r="B97" s="33" t="s">
        <v>71</v>
      </c>
      <c r="C97" s="34"/>
      <c r="D97" s="34"/>
      <c r="E97" s="34"/>
      <c r="F97" s="35"/>
      <c r="H97" s="30" t="str" cm="1">
        <f t="array" ref="H97">IF(ISERROR(RIGHT("abc", 1)),
    fnDoesNotWorkStr,
    fnWorksStr
)</f>
        <v>✔️ This function is included in your version of Excel</v>
      </c>
    </row>
    <row r="98" spans="2:8" ht="6.95" customHeight="1" x14ac:dyDescent="0.35"/>
    <row r="99" spans="2:8" x14ac:dyDescent="0.35">
      <c r="B99" s="36" t="s">
        <v>13</v>
      </c>
      <c r="C99" s="37"/>
      <c r="D99" s="38" t="s">
        <v>14</v>
      </c>
    </row>
    <row r="100" spans="2:8" x14ac:dyDescent="0.35">
      <c r="B100" s="39" t="str">
        <f ca="1">_xlfn.FORMULATEXT(D100)</f>
        <v>=LEFT("abcde", 1)</v>
      </c>
      <c r="C100" s="40"/>
      <c r="D100" s="41" t="str">
        <f>LEFT("abcde", 1)</f>
        <v>a</v>
      </c>
    </row>
    <row r="101" spans="2:8" x14ac:dyDescent="0.35">
      <c r="B101" s="42" t="str">
        <f ca="1">_xlfn.FORMULATEXT(D101)</f>
        <v>=LEFT("abcde", 3)</v>
      </c>
      <c r="C101" s="43"/>
      <c r="D101" s="41" t="str">
        <f>LEFT("abcde", 3)</f>
        <v>abc</v>
      </c>
    </row>
    <row r="102" spans="2:8" x14ac:dyDescent="0.35">
      <c r="B102" s="42" t="str">
        <f ca="1">_xlfn.FORMULATEXT(D102)</f>
        <v>=LEFT("abcde", 100)</v>
      </c>
      <c r="C102" s="43"/>
      <c r="D102" s="41" t="str">
        <f>LEFT("abcde", 100)</f>
        <v>abcde</v>
      </c>
    </row>
    <row r="103" spans="2:8" x14ac:dyDescent="0.35">
      <c r="B103" s="42" t="str">
        <f ca="1">_xlfn.FORMULATEXT(D103)</f>
        <v>=RIGHT("abcde", 1)</v>
      </c>
      <c r="C103" s="43"/>
      <c r="D103" s="41" t="str">
        <f>RIGHT("abcde", 1)</f>
        <v>e</v>
      </c>
    </row>
    <row r="104" spans="2:8" x14ac:dyDescent="0.35">
      <c r="B104" s="44" t="str">
        <f ca="1">_xlfn.FORMULATEXT(D104)</f>
        <v>=RIGHT("abcde", 4)</v>
      </c>
      <c r="C104" s="45"/>
      <c r="D104" s="46" t="str">
        <f>RIGHT("abcde", 4)</f>
        <v>bcde</v>
      </c>
    </row>
    <row r="107" spans="2:8" x14ac:dyDescent="0.35">
      <c r="B107" s="30" t="s">
        <v>3449</v>
      </c>
    </row>
    <row r="108" spans="2:8" ht="6.95" customHeight="1" thickBot="1" x14ac:dyDescent="0.4"/>
    <row r="109" spans="2:8" ht="18.75" thickBot="1" x14ac:dyDescent="0.4">
      <c r="B109" s="33" t="s">
        <v>72</v>
      </c>
      <c r="C109" s="34"/>
      <c r="D109" s="34"/>
      <c r="E109" s="34"/>
      <c r="F109" s="35"/>
      <c r="H109" s="30" t="str" cm="1">
        <f t="array" ref="H109">IF(ISERROR(MID("abc", 1, 1)),
    fnDoesNotWorkStr,
    fnWorksStr
)</f>
        <v>✔️ This function is included in your version of Excel</v>
      </c>
    </row>
    <row r="110" spans="2:8" ht="6.95" customHeight="1" x14ac:dyDescent="0.35"/>
    <row r="111" spans="2:8" x14ac:dyDescent="0.35">
      <c r="B111" s="36" t="s">
        <v>13</v>
      </c>
      <c r="C111" s="37"/>
      <c r="D111" s="38" t="s">
        <v>14</v>
      </c>
    </row>
    <row r="112" spans="2:8" x14ac:dyDescent="0.35">
      <c r="B112" s="39" t="str">
        <f ca="1">_xlfn.FORMULATEXT(D112)</f>
        <v>=MID("abcde", 1, 1)</v>
      </c>
      <c r="C112" s="40"/>
      <c r="D112" s="41" t="str">
        <f>MID("abcde", 1, 1)</f>
        <v>a</v>
      </c>
    </row>
    <row r="113" spans="2:8" x14ac:dyDescent="0.35">
      <c r="B113" s="42" t="e">
        <f ca="1">_xlfn.FORMULATEXT(D113)</f>
        <v>#N/A</v>
      </c>
      <c r="C113" s="43"/>
      <c r="D113" s="41"/>
    </row>
    <row r="114" spans="2:8" x14ac:dyDescent="0.35">
      <c r="B114" s="42" t="str">
        <f ca="1">_xlfn.FORMULATEXT(D114)</f>
        <v>=MID("abcde", 2, 1)</v>
      </c>
      <c r="C114" s="43"/>
      <c r="D114" s="41" t="str">
        <f>MID("abcde", 2, 1)</f>
        <v>b</v>
      </c>
    </row>
    <row r="115" spans="2:8" x14ac:dyDescent="0.35">
      <c r="B115" s="42" t="str">
        <f ca="1">_xlfn.FORMULATEXT(D115)</f>
        <v>=MID("abcde", 2, 4)</v>
      </c>
      <c r="C115" s="43"/>
      <c r="D115" s="41" t="str">
        <f>MID("abcde", 2, 4)</f>
        <v>bcde</v>
      </c>
    </row>
    <row r="116" spans="2:8" x14ac:dyDescent="0.35">
      <c r="B116" s="44" t="str">
        <f ca="1">_xlfn.FORMULATEXT(D116)</f>
        <v>=MID("abcde", 4, 100)</v>
      </c>
      <c r="C116" s="45"/>
      <c r="D116" s="46" t="str">
        <f>MID("abcde", 4, 100)</f>
        <v>de</v>
      </c>
    </row>
    <row r="119" spans="2:8" x14ac:dyDescent="0.35">
      <c r="B119" s="30" t="s">
        <v>3450</v>
      </c>
    </row>
    <row r="120" spans="2:8" ht="6.95" customHeight="1" thickBot="1" x14ac:dyDescent="0.4"/>
    <row r="121" spans="2:8" ht="18.75" thickBot="1" x14ac:dyDescent="0.4">
      <c r="B121" s="33" t="s">
        <v>73</v>
      </c>
      <c r="C121" s="34"/>
      <c r="D121" s="34"/>
      <c r="E121" s="34"/>
      <c r="F121" s="35"/>
      <c r="H121" s="30" t="str" cm="1">
        <f t="array" ref="H121">IF(ISERROR(LEN("abc")),
    fnDoesNotWorkStr,
    fnWorksStr
)</f>
        <v>✔️ This function is included in your version of Excel</v>
      </c>
    </row>
    <row r="122" spans="2:8" ht="6.95" customHeight="1" x14ac:dyDescent="0.35"/>
    <row r="123" spans="2:8" x14ac:dyDescent="0.35">
      <c r="B123" s="36" t="s">
        <v>13</v>
      </c>
      <c r="C123" s="37"/>
      <c r="D123" s="38" t="s">
        <v>14</v>
      </c>
    </row>
    <row r="124" spans="2:8" x14ac:dyDescent="0.35">
      <c r="B124" s="39" t="str">
        <f ca="1">_xlfn.FORMULATEXT(D124)</f>
        <v>=LEN("a")</v>
      </c>
      <c r="C124" s="40"/>
      <c r="D124" s="41">
        <f>LEN("a")</f>
        <v>1</v>
      </c>
    </row>
    <row r="125" spans="2:8" x14ac:dyDescent="0.35">
      <c r="B125" s="42" t="str">
        <f ca="1">_xlfn.FORMULATEXT(D125)</f>
        <v>=LEN("b")</v>
      </c>
      <c r="C125" s="43"/>
      <c r="D125" s="41">
        <f>LEN("b")</f>
        <v>1</v>
      </c>
    </row>
    <row r="126" spans="2:8" x14ac:dyDescent="0.35">
      <c r="B126" s="42" t="str">
        <f ca="1">_xlfn.FORMULATEXT(D126)</f>
        <v>=LEN("ab")</v>
      </c>
      <c r="C126" s="43"/>
      <c r="D126" s="41">
        <f>LEN("ab")</f>
        <v>2</v>
      </c>
    </row>
    <row r="127" spans="2:8" x14ac:dyDescent="0.35">
      <c r="B127" s="42" t="str">
        <f ca="1">_xlfn.FORMULATEXT(D127)</f>
        <v>=LEN("abcde")</v>
      </c>
      <c r="C127" s="43"/>
      <c r="D127" s="41">
        <f>LEN("abcde")</f>
        <v>5</v>
      </c>
    </row>
    <row r="128" spans="2:8" x14ac:dyDescent="0.35">
      <c r="B128" s="44" t="str">
        <f ca="1">_xlfn.FORMULATEXT(D128)</f>
        <v>=LEN("1234567")</v>
      </c>
      <c r="C128" s="45"/>
      <c r="D128" s="46">
        <f>LEN("1234567")</f>
        <v>7</v>
      </c>
    </row>
    <row r="131" spans="2:8" x14ac:dyDescent="0.35">
      <c r="B131" s="30" t="s">
        <v>3451</v>
      </c>
    </row>
    <row r="132" spans="2:8" ht="6.95" customHeight="1" thickBot="1" x14ac:dyDescent="0.4"/>
    <row r="133" spans="2:8" ht="18.75" thickBot="1" x14ac:dyDescent="0.4">
      <c r="B133" s="33" t="s">
        <v>74</v>
      </c>
      <c r="C133" s="34"/>
      <c r="D133" s="34"/>
      <c r="E133" s="34"/>
      <c r="F133" s="35"/>
      <c r="H133" s="30" t="str" cm="1">
        <f t="array" ref="H133">IF(ISERROR(TRIM("abc")),
    fnDoesNotWorkStr,
    fnWorksStr
)</f>
        <v>✔️ This function is included in your version of Excel</v>
      </c>
    </row>
    <row r="134" spans="2:8" ht="6.95" customHeight="1" x14ac:dyDescent="0.35"/>
    <row r="135" spans="2:8" x14ac:dyDescent="0.35">
      <c r="B135" s="36" t="s">
        <v>13</v>
      </c>
      <c r="C135" s="37"/>
      <c r="D135" s="38" t="s">
        <v>14</v>
      </c>
    </row>
    <row r="136" spans="2:8" x14ac:dyDescent="0.35">
      <c r="B136" s="39" t="str">
        <f ca="1">_xlfn.FORMULATEXT(D136)</f>
        <v>=TRIM("abc")</v>
      </c>
      <c r="C136" s="40"/>
      <c r="D136" s="41" t="str">
        <f>TRIM("abc")</f>
        <v>abc</v>
      </c>
    </row>
    <row r="137" spans="2:8" x14ac:dyDescent="0.35">
      <c r="B137" s="42" t="str">
        <f ca="1">_xlfn.FORMULATEXT(D137)</f>
        <v>=TRIM("   abc")</v>
      </c>
      <c r="C137" s="43"/>
      <c r="D137" s="41" t="str">
        <f>TRIM("   abc")</f>
        <v>abc</v>
      </c>
    </row>
    <row r="138" spans="2:8" x14ac:dyDescent="0.35">
      <c r="B138" s="42" t="str">
        <f ca="1">_xlfn.FORMULATEXT(D138)</f>
        <v>=TRIM("abc     ")</v>
      </c>
      <c r="C138" s="43"/>
      <c r="D138" s="41" t="str">
        <f>TRIM("abc     ")</f>
        <v>abc</v>
      </c>
    </row>
    <row r="139" spans="2:8" x14ac:dyDescent="0.35">
      <c r="B139" s="42" t="str">
        <f ca="1">_xlfn.FORMULATEXT(D139)</f>
        <v>=TRIM("    abc          ")</v>
      </c>
      <c r="C139" s="43"/>
      <c r="D139" s="41" t="str">
        <f>TRIM("    abc          ")</f>
        <v>abc</v>
      </c>
    </row>
    <row r="140" spans="2:8" x14ac:dyDescent="0.35">
      <c r="B140" s="44" t="str">
        <f ca="1">_xlfn.FORMULATEXT(D140)</f>
        <v>=TRIM("        ")</v>
      </c>
      <c r="C140" s="45"/>
      <c r="D140" s="46" t="str">
        <f>TRIM("        ")</f>
        <v/>
      </c>
    </row>
    <row r="143" spans="2:8" x14ac:dyDescent="0.35">
      <c r="B143" s="30" t="s">
        <v>3452</v>
      </c>
    </row>
    <row r="144" spans="2:8" ht="6.95" customHeight="1" thickBot="1" x14ac:dyDescent="0.4"/>
    <row r="145" spans="2:8" ht="18.75" thickBot="1" x14ac:dyDescent="0.4">
      <c r="B145" s="33" t="s">
        <v>75</v>
      </c>
      <c r="C145" s="34"/>
      <c r="D145" s="34"/>
      <c r="E145" s="34"/>
      <c r="F145" s="35"/>
      <c r="H145" s="30" t="str" cm="1">
        <f t="array" ref="H145">IF(ISERROR(SUBSTITUTE("abc", "a", "z")),
    fnDoesNotWorkStr,
    fnWorksStr
)</f>
        <v>✔️ This function is included in your version of Excel</v>
      </c>
    </row>
    <row r="146" spans="2:8" ht="6.95" customHeight="1" x14ac:dyDescent="0.35"/>
    <row r="147" spans="2:8" x14ac:dyDescent="0.35">
      <c r="B147" s="30" t="s">
        <v>76</v>
      </c>
    </row>
    <row r="148" spans="2:8" x14ac:dyDescent="0.35">
      <c r="B148" s="47" t="s">
        <v>77</v>
      </c>
      <c r="C148" s="30" t="s">
        <v>80</v>
      </c>
    </row>
    <row r="149" spans="2:8" x14ac:dyDescent="0.35">
      <c r="B149" s="47" t="s">
        <v>78</v>
      </c>
      <c r="C149" s="30" t="s">
        <v>81</v>
      </c>
    </row>
    <row r="150" spans="2:8" x14ac:dyDescent="0.35">
      <c r="B150" s="47" t="s">
        <v>79</v>
      </c>
      <c r="C150" s="30" t="s">
        <v>82</v>
      </c>
    </row>
    <row r="151" spans="2:8" ht="6.95" customHeight="1" x14ac:dyDescent="0.35"/>
    <row r="152" spans="2:8" x14ac:dyDescent="0.35">
      <c r="B152" s="36" t="s">
        <v>13</v>
      </c>
      <c r="C152" s="37"/>
      <c r="D152" s="38" t="s">
        <v>14</v>
      </c>
    </row>
    <row r="153" spans="2:8" x14ac:dyDescent="0.35">
      <c r="B153" s="39" t="str">
        <f ca="1">_xlfn.FORMULATEXT(D153)</f>
        <v>=SUBSTITUTE("abcabc", "a", "z")</v>
      </c>
      <c r="C153" s="40"/>
      <c r="D153" s="41" t="str">
        <f>SUBSTITUTE("abcabc", "a", "z")</f>
        <v>zbczbc</v>
      </c>
    </row>
    <row r="154" spans="2:8" x14ac:dyDescent="0.35">
      <c r="B154" s="42" t="str">
        <f ca="1">_xlfn.FORMULATEXT(D154)</f>
        <v>=SUBSTITUTE(" a   a a ", " ", "")</v>
      </c>
      <c r="C154" s="43"/>
      <c r="D154" s="41" t="str">
        <f>SUBSTITUTE(" a   a a ", " ", "")</f>
        <v>aaa</v>
      </c>
    </row>
    <row r="155" spans="2:8" x14ac:dyDescent="0.35">
      <c r="B155" s="42" t="str">
        <f ca="1">_xlfn.FORMULATEXT(D155)</f>
        <v>=SUBSTITUTE("Expel is pool", "p", "c")</v>
      </c>
      <c r="C155" s="43"/>
      <c r="D155" s="41" t="str">
        <f>SUBSTITUTE("Expel is pool", "p", "c")</f>
        <v>Excel is cool</v>
      </c>
    </row>
    <row r="156" spans="2:8" x14ac:dyDescent="0.35">
      <c r="B156" s="42" t="str">
        <f ca="1">_xlfn.FORMULATEXT(D156)</f>
        <v>=SUBSTITUTE("fork", "or", "**")</v>
      </c>
      <c r="C156" s="43"/>
      <c r="D156" s="41" t="str">
        <f>SUBSTITUTE("fork", "or", "**")</f>
        <v>f**k</v>
      </c>
    </row>
    <row r="157" spans="2:8" x14ac:dyDescent="0.35">
      <c r="B157" s="42" t="str">
        <f t="shared" ref="B157:B158" ca="1" si="3">_xlfn.FORMULATEXT(D157)</f>
        <v>=SUBSTITUTE("aabaaabb", "aaab", "_")</v>
      </c>
      <c r="C157" s="43"/>
      <c r="D157" s="41" t="str">
        <f t="shared" ref="D157" si="4">SUBSTITUTE("aabaaabb", "aaab", "_")</f>
        <v>aab_b</v>
      </c>
    </row>
    <row r="158" spans="2:8" x14ac:dyDescent="0.35">
      <c r="B158" s="42" t="str">
        <f t="shared" ca="1" si="3"/>
        <v>=SUBSTITUTE("aaaaa", "a", "b", 2)</v>
      </c>
      <c r="C158" s="43"/>
      <c r="D158" s="41" t="str">
        <f>SUBSTITUTE("aaaaa", "a", "b", 2)</f>
        <v>abaaa</v>
      </c>
    </row>
    <row r="159" spans="2:8" x14ac:dyDescent="0.35">
      <c r="B159" s="44" t="str">
        <f ca="1">_xlfn.FORMULATEXT(D159)</f>
        <v>=SUBSTITUTE("aaaaa", "a", "b", 5)</v>
      </c>
      <c r="C159" s="45"/>
      <c r="D159" s="46" t="str">
        <f>SUBSTITUTE("aaaaa", "a", "b", 5)</f>
        <v>aaaab</v>
      </c>
    </row>
    <row r="162" spans="2:8" x14ac:dyDescent="0.35">
      <c r="B162" s="30" t="s">
        <v>3453</v>
      </c>
    </row>
    <row r="163" spans="2:8" ht="6.95" customHeight="1" thickBot="1" x14ac:dyDescent="0.4"/>
    <row r="164" spans="2:8" ht="18.75" thickBot="1" x14ac:dyDescent="0.4">
      <c r="B164" s="33" t="s">
        <v>1454</v>
      </c>
      <c r="C164" s="34"/>
      <c r="D164" s="34"/>
      <c r="E164" s="34"/>
      <c r="F164" s="35"/>
      <c r="H164" s="30" t="str" cm="1">
        <f t="array" ref="H164">IF(ISERROR(FIND("a", "a")),
    fnDoesNotWorkStr,
    fnWorksStr
)</f>
        <v>✔️ This function is included in your version of Excel</v>
      </c>
    </row>
    <row r="165" spans="2:8" ht="6.95" customHeight="1" x14ac:dyDescent="0.35"/>
    <row r="166" spans="2:8" x14ac:dyDescent="0.35">
      <c r="B166" s="30" t="s">
        <v>76</v>
      </c>
    </row>
    <row r="167" spans="2:8" x14ac:dyDescent="0.35">
      <c r="B167" s="47" t="s">
        <v>1455</v>
      </c>
      <c r="C167" s="30" t="s">
        <v>81</v>
      </c>
    </row>
    <row r="168" spans="2:8" x14ac:dyDescent="0.35">
      <c r="B168" s="47" t="s">
        <v>1456</v>
      </c>
      <c r="C168" s="30" t="s">
        <v>80</v>
      </c>
    </row>
    <row r="169" spans="2:8" ht="6.95" customHeight="1" x14ac:dyDescent="0.35"/>
    <row r="170" spans="2:8" x14ac:dyDescent="0.35">
      <c r="B170" s="36" t="s">
        <v>13</v>
      </c>
      <c r="C170" s="37"/>
      <c r="D170" s="38" t="s">
        <v>14</v>
      </c>
    </row>
    <row r="171" spans="2:8" x14ac:dyDescent="0.35">
      <c r="B171" s="39" t="str">
        <f t="shared" ref="B171:B176" ca="1" si="5">_xlfn.FORMULATEXT(D171)</f>
        <v>=FIND("b", "banana")</v>
      </c>
      <c r="C171" s="40"/>
      <c r="D171" s="41">
        <f>FIND("b", "banana")</f>
        <v>1</v>
      </c>
    </row>
    <row r="172" spans="2:8" x14ac:dyDescent="0.35">
      <c r="B172" s="42" t="str">
        <f t="shared" ca="1" si="5"/>
        <v>=FIND("n", "banana")</v>
      </c>
      <c r="C172" s="43"/>
      <c r="D172" s="41">
        <f>FIND("n", "banana")</f>
        <v>3</v>
      </c>
    </row>
    <row r="173" spans="2:8" x14ac:dyDescent="0.35">
      <c r="B173" s="42" t="str">
        <f t="shared" ca="1" si="5"/>
        <v>=FIND("a", "banana")</v>
      </c>
      <c r="C173" s="43"/>
      <c r="D173" s="41">
        <f>FIND("a", "banana")</f>
        <v>2</v>
      </c>
    </row>
    <row r="174" spans="2:8" x14ac:dyDescent="0.35">
      <c r="B174" s="42" t="str">
        <f t="shared" ca="1" si="5"/>
        <v>=FIND("a", "banana", 3)</v>
      </c>
      <c r="C174" s="43"/>
      <c r="D174" s="41">
        <f>FIND("a", "banana", 3)</f>
        <v>4</v>
      </c>
    </row>
    <row r="175" spans="2:8" x14ac:dyDescent="0.35">
      <c r="B175" s="48" t="str">
        <f t="shared" ca="1" si="5"/>
        <v>=FIND("abb", "aabababba")</v>
      </c>
      <c r="C175" s="49"/>
      <c r="D175" s="41">
        <f>FIND("abb", "aabababba")</f>
        <v>6</v>
      </c>
    </row>
    <row r="176" spans="2:8" x14ac:dyDescent="0.35">
      <c r="B176" s="44" t="str">
        <f t="shared" ca="1" si="5"/>
        <v>=FIND("z", "abc")</v>
      </c>
      <c r="C176" s="45"/>
      <c r="D176" s="46" t="e">
        <f>FIND("z", "abc")</f>
        <v>#VALUE!</v>
      </c>
    </row>
    <row r="179" spans="2:8" x14ac:dyDescent="0.35">
      <c r="B179" s="30" t="s">
        <v>3454</v>
      </c>
    </row>
    <row r="180" spans="2:8" ht="6.95" customHeight="1" thickBot="1" x14ac:dyDescent="0.4"/>
    <row r="181" spans="2:8" ht="18.75" thickBot="1" x14ac:dyDescent="0.4">
      <c r="B181" s="33" t="s">
        <v>1457</v>
      </c>
      <c r="C181" s="34"/>
      <c r="D181" s="34"/>
      <c r="E181" s="34"/>
      <c r="F181" s="35"/>
      <c r="H181" s="30" t="str" cm="1">
        <f t="array" ref="H181">IF(ISERROR(IFERROR(123, TRUE)),
    fnDoesNotWorkStr,
    fnWorksStr
)</f>
        <v>✔️ This function is included in your version of Excel</v>
      </c>
    </row>
    <row r="182" spans="2:8" ht="6.95" customHeight="1" x14ac:dyDescent="0.35"/>
    <row r="183" spans="2:8" x14ac:dyDescent="0.35">
      <c r="B183" s="36" t="s">
        <v>13</v>
      </c>
      <c r="C183" s="37"/>
      <c r="D183" s="38" t="s">
        <v>14</v>
      </c>
    </row>
    <row r="184" spans="2:8" x14ac:dyDescent="0.35">
      <c r="B184" s="39" t="str">
        <f ca="1">_xlfn.FORMULATEXT(D184)</f>
        <v>=IFERROR(1 / 2, "error")</v>
      </c>
      <c r="C184" s="40"/>
      <c r="D184" s="41">
        <f>IFERROR(1 / 2, "error")</f>
        <v>0.5</v>
      </c>
    </row>
    <row r="185" spans="2:8" x14ac:dyDescent="0.35">
      <c r="B185" s="42" t="str">
        <f ca="1">_xlfn.FORMULATEXT(D185)</f>
        <v>=IFERROR(1 / 0, "error")</v>
      </c>
      <c r="C185" s="43"/>
      <c r="D185" s="41" t="str">
        <f>IFERROR(1 / 0, "error")</f>
        <v>error</v>
      </c>
    </row>
    <row r="186" spans="2:8" x14ac:dyDescent="0.35">
      <c r="B186" s="42" t="str">
        <f ca="1">_xlfn.FORMULATEXT(D186)</f>
        <v>=IFERROR(#N/A, "error")</v>
      </c>
      <c r="C186" s="43"/>
      <c r="D186" s="41" t="str">
        <f>IFERROR(#N/A, "error")</f>
        <v>error</v>
      </c>
    </row>
    <row r="187" spans="2:8" x14ac:dyDescent="0.35">
      <c r="B187" s="42" t="str">
        <f ca="1">_xlfn.FORMULATEXT(D187)</f>
        <v>=IFERROR("abc", "error")</v>
      </c>
      <c r="C187" s="43"/>
      <c r="D187" s="41" t="str">
        <f>IFERROR("abc", "error")</f>
        <v>abc</v>
      </c>
    </row>
    <row r="188" spans="2:8" x14ac:dyDescent="0.35">
      <c r="B188" s="44" t="str">
        <f ca="1">_xlfn.FORMULATEXT(D188)</f>
        <v>=IFERROR("abc" + 1, "error")</v>
      </c>
      <c r="C188" s="45"/>
      <c r="D188" s="46" t="str">
        <f>IFERROR("abc" + 1, "error")</f>
        <v>error</v>
      </c>
    </row>
    <row r="191" spans="2:8" x14ac:dyDescent="0.35">
      <c r="B191" s="30" t="s">
        <v>3455</v>
      </c>
    </row>
    <row r="192" spans="2:8" ht="6.95" customHeight="1" thickBot="1" x14ac:dyDescent="0.4"/>
    <row r="193" spans="2:24" ht="18.75" thickBot="1" x14ac:dyDescent="0.4">
      <c r="B193" s="33" t="s">
        <v>3398</v>
      </c>
      <c r="C193" s="34"/>
      <c r="D193" s="34"/>
      <c r="E193" s="34"/>
      <c r="F193" s="35"/>
      <c r="H193" s="30" t="str" cm="1">
        <f t="array" ref="H193">IF(ISERROR(ISERROR(123)),
    fnDoesNotWorkStr,
    fnWorksStr
)</f>
        <v>✔️ This function is included in your version of Excel</v>
      </c>
    </row>
    <row r="194" spans="2:24" ht="6.95" customHeight="1" x14ac:dyDescent="0.35"/>
    <row r="195" spans="2:24" x14ac:dyDescent="0.35">
      <c r="B195" s="36" t="s">
        <v>13</v>
      </c>
      <c r="C195" s="37"/>
      <c r="D195" s="38" t="s">
        <v>14</v>
      </c>
    </row>
    <row r="196" spans="2:24" x14ac:dyDescent="0.35">
      <c r="B196" s="39" t="str">
        <f t="shared" ref="B196:B202" ca="1" si="6">_xlfn.FORMULATEXT(D196)</f>
        <v>=ISERROR(123)</v>
      </c>
      <c r="C196" s="40"/>
      <c r="D196" s="41" t="b">
        <f>ISERROR(123)</f>
        <v>0</v>
      </c>
    </row>
    <row r="197" spans="2:24" x14ac:dyDescent="0.35">
      <c r="B197" s="42" t="str">
        <f t="shared" ca="1" si="6"/>
        <v>=ISERROR("abc")</v>
      </c>
      <c r="C197" s="43"/>
      <c r="D197" s="41" t="b">
        <f>ISERROR("abc")</f>
        <v>0</v>
      </c>
    </row>
    <row r="198" spans="2:24" x14ac:dyDescent="0.35">
      <c r="B198" s="42" t="str">
        <f t="shared" ca="1" si="6"/>
        <v>=ISERROR(123 + "abc")</v>
      </c>
      <c r="C198" s="43"/>
      <c r="D198" s="41" t="b">
        <f>ISERROR(123 + "abc")</f>
        <v>1</v>
      </c>
    </row>
    <row r="199" spans="2:24" x14ac:dyDescent="0.35">
      <c r="B199" s="42" t="str">
        <f t="shared" ca="1" si="6"/>
        <v>=ISERROR(1 / 0)</v>
      </c>
      <c r="C199" s="43"/>
      <c r="D199" s="41" t="b">
        <f>ISERROR(1 / 0)</f>
        <v>1</v>
      </c>
    </row>
    <row r="200" spans="2:24" x14ac:dyDescent="0.35">
      <c r="B200" s="42" t="str">
        <f t="shared" ca="1" si="6"/>
        <v>=ISERROR(10 ^ 1000)</v>
      </c>
      <c r="C200" s="43"/>
      <c r="D200" s="41" t="b">
        <f>ISERROR(10 ^ 1000)</f>
        <v>1</v>
      </c>
    </row>
    <row r="201" spans="2:24" x14ac:dyDescent="0.35">
      <c r="B201" s="42" t="str">
        <f t="shared" ca="1" si="6"/>
        <v>=ISERROR(#N/A)</v>
      </c>
      <c r="C201" s="43"/>
      <c r="D201" s="41" t="b">
        <f>ISERROR(#N/A)</f>
        <v>1</v>
      </c>
    </row>
    <row r="202" spans="2:24" x14ac:dyDescent="0.35">
      <c r="B202" s="44" t="str">
        <f t="shared" ca="1" si="6"/>
        <v>=ISERROR(non_existent_name)</v>
      </c>
      <c r="C202" s="45"/>
      <c r="D202" s="46" t="b" cm="1">
        <f t="array" ref="D202">ISERROR(non_existent_name)</f>
        <v>1</v>
      </c>
    </row>
    <row r="206" spans="2:24" ht="24" x14ac:dyDescent="0.45">
      <c r="B206" s="29" t="s">
        <v>3435</v>
      </c>
      <c r="C206" s="29"/>
      <c r="D206" s="29"/>
      <c r="E206" s="29"/>
      <c r="F206" s="29"/>
      <c r="G206" s="29"/>
      <c r="H206" s="29"/>
      <c r="I206" s="29"/>
      <c r="J206" s="29"/>
      <c r="K206" s="29"/>
      <c r="L206" s="29"/>
      <c r="M206" s="29"/>
      <c r="N206" s="29"/>
      <c r="O206" s="29"/>
      <c r="P206" s="29"/>
      <c r="Q206" s="29"/>
      <c r="R206" s="29"/>
      <c r="S206" s="29"/>
      <c r="T206" s="29"/>
      <c r="U206" s="29"/>
      <c r="V206" s="29"/>
      <c r="W206" s="29"/>
      <c r="X206" s="29"/>
    </row>
    <row r="207" spans="2:24" ht="3" customHeight="1" x14ac:dyDescent="0.45">
      <c r="B207" s="32"/>
      <c r="C207" s="32"/>
      <c r="D207" s="32"/>
      <c r="E207" s="32"/>
      <c r="F207" s="32"/>
      <c r="G207" s="32"/>
      <c r="H207" s="32"/>
      <c r="I207" s="32"/>
      <c r="J207" s="32"/>
      <c r="K207" s="32"/>
      <c r="L207" s="32"/>
      <c r="M207" s="32"/>
      <c r="N207" s="32"/>
      <c r="O207" s="32"/>
      <c r="P207" s="32"/>
      <c r="Q207" s="32"/>
      <c r="R207" s="32"/>
      <c r="S207" s="32"/>
      <c r="T207" s="32"/>
      <c r="U207" s="32"/>
      <c r="V207" s="32"/>
      <c r="W207" s="32"/>
      <c r="X207" s="32"/>
    </row>
    <row r="208" spans="2:24" ht="6.95" customHeight="1" x14ac:dyDescent="0.35"/>
    <row r="209" spans="2:8" x14ac:dyDescent="0.35">
      <c r="B209" s="30" t="s">
        <v>3456</v>
      </c>
    </row>
    <row r="212" spans="2:8" x14ac:dyDescent="0.35">
      <c r="B212" s="30" t="s">
        <v>3457</v>
      </c>
    </row>
    <row r="213" spans="2:8" x14ac:dyDescent="0.35">
      <c r="B213" s="30" t="s">
        <v>3458</v>
      </c>
    </row>
    <row r="214" spans="2:8" ht="6.95" customHeight="1" thickBot="1" x14ac:dyDescent="0.4"/>
    <row r="215" spans="2:8" ht="18.75" thickBot="1" x14ac:dyDescent="0.4">
      <c r="B215" s="33" t="s">
        <v>3437</v>
      </c>
      <c r="C215" s="34"/>
      <c r="D215" s="34"/>
      <c r="E215" s="34"/>
      <c r="F215" s="35"/>
      <c r="H215" s="30" t="str" cm="1">
        <f t="array" ref="H215">IF(ISERROR(1 + 1 - 1 * 1 / 1),
    fnDoesNotWorkStr,
    fnWorksStr
)</f>
        <v>✔️ This function is included in your version of Excel</v>
      </c>
    </row>
    <row r="216" spans="2:8" ht="6.95" customHeight="1" x14ac:dyDescent="0.35"/>
    <row r="217" spans="2:8" x14ac:dyDescent="0.35">
      <c r="B217" s="36" t="s">
        <v>13</v>
      </c>
      <c r="C217" s="37"/>
      <c r="D217" s="38" t="s">
        <v>14</v>
      </c>
    </row>
    <row r="218" spans="2:8" x14ac:dyDescent="0.35">
      <c r="B218" s="39" t="str">
        <f t="shared" ref="B218:B224" ca="1" si="7">_xlfn.FORMULATEXT(D218)</f>
        <v>=2 + 3</v>
      </c>
      <c r="C218" s="40"/>
      <c r="D218" s="41">
        <f>2 + 3</f>
        <v>5</v>
      </c>
    </row>
    <row r="219" spans="2:8" x14ac:dyDescent="0.35">
      <c r="B219" s="42" t="str">
        <f t="shared" ca="1" si="7"/>
        <v>=2 * 3</v>
      </c>
      <c r="C219" s="43"/>
      <c r="D219" s="41">
        <f>2 * 3</f>
        <v>6</v>
      </c>
    </row>
    <row r="220" spans="2:8" x14ac:dyDescent="0.35">
      <c r="B220" s="42" t="str">
        <f t="shared" ca="1" si="7"/>
        <v>=2 - 3</v>
      </c>
      <c r="C220" s="43"/>
      <c r="D220" s="41">
        <f>2 - 3</f>
        <v>-1</v>
      </c>
    </row>
    <row r="221" spans="2:8" x14ac:dyDescent="0.35">
      <c r="B221" s="42" t="str">
        <f t="shared" ca="1" si="7"/>
        <v>=2 / 3</v>
      </c>
      <c r="C221" s="43"/>
      <c r="D221" s="41">
        <f>2 / 3</f>
        <v>0.66666666666666663</v>
      </c>
    </row>
    <row r="222" spans="2:8" x14ac:dyDescent="0.35">
      <c r="B222" s="42" t="str">
        <f t="shared" ca="1" si="7"/>
        <v>=1 + 2 - 3 * 4 / 5</v>
      </c>
      <c r="C222" s="43"/>
      <c r="D222" s="41">
        <f>1 + 2 - 3 * 4 / 5</f>
        <v>0.60000000000000009</v>
      </c>
    </row>
    <row r="223" spans="2:8" x14ac:dyDescent="0.35">
      <c r="B223" s="42" t="str">
        <f t="shared" ca="1" si="7"/>
        <v>=LEN("abcde") * 2</v>
      </c>
      <c r="C223" s="43"/>
      <c r="D223" s="41">
        <f>LEN("abcde") * 2</f>
        <v>10</v>
      </c>
    </row>
    <row r="224" spans="2:8" x14ac:dyDescent="0.35">
      <c r="B224" s="44" t="str">
        <f t="shared" ca="1" si="7"/>
        <v>=SQRT(1 + FIND("a", "spam")) / 4</v>
      </c>
      <c r="C224" s="45"/>
      <c r="D224" s="46">
        <f>SQRT(1 + FIND("a", "spam")) / 4</f>
        <v>0.5</v>
      </c>
    </row>
    <row r="227" spans="2:8" x14ac:dyDescent="0.35">
      <c r="B227" s="30" t="s">
        <v>3459</v>
      </c>
    </row>
    <row r="228" spans="2:8" ht="6.95" customHeight="1" thickBot="1" x14ac:dyDescent="0.4"/>
    <row r="229" spans="2:8" ht="18.75" thickBot="1" x14ac:dyDescent="0.4">
      <c r="B229" s="33" t="s">
        <v>3436</v>
      </c>
      <c r="C229" s="34"/>
      <c r="D229" s="34"/>
      <c r="E229" s="34"/>
      <c r="F229" s="35"/>
      <c r="H229" s="30" t="str" cm="1">
        <f t="array" ref="H229">IF(ISERROR("a" &amp; "b"),
    fnDoesNotWorkStr,
    fnWorksStr
)</f>
        <v>✔️ This function is included in your version of Excel</v>
      </c>
    </row>
    <row r="230" spans="2:8" ht="6.95" customHeight="1" x14ac:dyDescent="0.35"/>
    <row r="231" spans="2:8" x14ac:dyDescent="0.35">
      <c r="B231" s="36" t="s">
        <v>13</v>
      </c>
      <c r="C231" s="37"/>
      <c r="D231" s="38" t="s">
        <v>14</v>
      </c>
    </row>
    <row r="232" spans="2:8" x14ac:dyDescent="0.35">
      <c r="B232" s="39" t="str">
        <f t="shared" ref="B232:B238" ca="1" si="8">_xlfn.FORMULATEXT(D232)</f>
        <v>="Q" &amp; "A"</v>
      </c>
      <c r="C232" s="40"/>
      <c r="D232" s="41" t="str">
        <f>"Q" &amp; "A"</f>
        <v>QA</v>
      </c>
    </row>
    <row r="233" spans="2:8" x14ac:dyDescent="0.35">
      <c r="B233" s="42" t="str">
        <f t="shared" ca="1" si="8"/>
        <v>="Hello " &amp; "world"</v>
      </c>
      <c r="C233" s="43"/>
      <c r="D233" s="41" t="str">
        <f>"Hello " &amp; "world"</f>
        <v>Hello world</v>
      </c>
    </row>
    <row r="234" spans="2:8" x14ac:dyDescent="0.35">
      <c r="B234" s="42" t="str">
        <f t="shared" ca="1" si="8"/>
        <v>="a" &amp; "bcd" &amp; "e"</v>
      </c>
      <c r="C234" s="43"/>
      <c r="D234" s="41" t="str">
        <f>"a" &amp; "bcd" &amp; "e"</f>
        <v>abcde</v>
      </c>
    </row>
    <row r="235" spans="2:8" x14ac:dyDescent="0.35">
      <c r="B235" s="42" t="str">
        <f t="shared" ca="1" si="8"/>
        <v>=123 &amp; 123</v>
      </c>
      <c r="C235" s="43"/>
      <c r="D235" s="41" t="str">
        <f>123 &amp; 123</f>
        <v>123123</v>
      </c>
    </row>
    <row r="236" spans="2:8" x14ac:dyDescent="0.35">
      <c r="B236" s="42" t="str">
        <f t="shared" ca="1" si="8"/>
        <v>=TRUE &amp; FALSE</v>
      </c>
      <c r="C236" s="43"/>
      <c r="D236" s="41" t="str">
        <f>TRUE &amp; FALSE</f>
        <v>TRUEFALSE</v>
      </c>
    </row>
    <row r="237" spans="2:8" x14ac:dyDescent="0.35">
      <c r="B237" s="42" t="str">
        <f t="shared" ca="1" si="8"/>
        <v>="abc" &amp; #N/A</v>
      </c>
      <c r="C237" s="43"/>
      <c r="D237" s="41" t="e">
        <f>"abc" &amp; #N/A</f>
        <v>#N/A</v>
      </c>
    </row>
    <row r="238" spans="2:8" x14ac:dyDescent="0.35">
      <c r="B238" s="44" t="str">
        <f t="shared" ca="1" si="8"/>
        <v>="abc" &amp; 1/0</v>
      </c>
      <c r="C238" s="45"/>
      <c r="D238" s="46" t="e">
        <f>"abc" &amp; 1/0</f>
        <v>#DIV/0!</v>
      </c>
    </row>
    <row r="242" spans="2:24" ht="24" x14ac:dyDescent="0.45">
      <c r="B242" s="29" t="s">
        <v>3433</v>
      </c>
      <c r="C242" s="29"/>
      <c r="D242" s="29"/>
      <c r="E242" s="29"/>
      <c r="F242" s="29"/>
      <c r="G242" s="29"/>
      <c r="H242" s="29"/>
      <c r="I242" s="29"/>
      <c r="J242" s="29"/>
      <c r="K242" s="29"/>
      <c r="L242" s="29"/>
      <c r="M242" s="29"/>
      <c r="N242" s="29"/>
      <c r="O242" s="29"/>
      <c r="P242" s="29"/>
      <c r="Q242" s="29"/>
      <c r="R242" s="29"/>
      <c r="S242" s="29"/>
      <c r="T242" s="29"/>
      <c r="U242" s="29"/>
      <c r="V242" s="29"/>
      <c r="W242" s="29"/>
      <c r="X242" s="29"/>
    </row>
    <row r="243" spans="2:24" ht="3" customHeight="1" x14ac:dyDescent="0.45">
      <c r="B243" s="32"/>
      <c r="C243" s="32"/>
      <c r="D243" s="32"/>
      <c r="E243" s="32"/>
      <c r="F243" s="32"/>
      <c r="G243" s="32"/>
      <c r="H243" s="32"/>
      <c r="I243" s="32"/>
      <c r="J243" s="32"/>
      <c r="K243" s="32"/>
      <c r="L243" s="32"/>
      <c r="M243" s="32"/>
      <c r="N243" s="32"/>
      <c r="O243" s="32"/>
      <c r="P243" s="32"/>
      <c r="Q243" s="32"/>
      <c r="R243" s="32"/>
      <c r="S243" s="32"/>
      <c r="T243" s="32"/>
      <c r="U243" s="32"/>
      <c r="V243" s="32"/>
      <c r="W243" s="32"/>
      <c r="X243" s="32"/>
    </row>
    <row r="244" spans="2:24" ht="6.95" customHeight="1" x14ac:dyDescent="0.35"/>
    <row r="245" spans="2:24" x14ac:dyDescent="0.35">
      <c r="B245" s="30" t="s">
        <v>85</v>
      </c>
    </row>
    <row r="248" spans="2:24" x14ac:dyDescent="0.35">
      <c r="B248" s="30" t="s">
        <v>3460</v>
      </c>
    </row>
    <row r="249" spans="2:24" ht="6.95" customHeight="1" thickBot="1" x14ac:dyDescent="0.4"/>
    <row r="250" spans="2:24" ht="18.75" thickBot="1" x14ac:dyDescent="0.4">
      <c r="B250" s="33" t="s">
        <v>86</v>
      </c>
      <c r="C250" s="34"/>
      <c r="D250" s="34"/>
      <c r="E250" s="34"/>
      <c r="F250" s="35"/>
      <c r="H250" s="30" t="str" cm="1">
        <f t="array" ref="H250">IF(ISERROR(_xlfn.TEXTJOIN(",", TRUE, $B$253:$F$253)),
    fnDoesNotWorkStr,
    fnWorksStr
)</f>
        <v>✔️ This function is included in your version of Excel</v>
      </c>
    </row>
    <row r="251" spans="2:24" ht="6.95" customHeight="1" x14ac:dyDescent="0.35"/>
    <row r="252" spans="2:24" x14ac:dyDescent="0.35">
      <c r="B252" s="50" t="s">
        <v>90</v>
      </c>
      <c r="C252" s="51"/>
      <c r="D252" s="52"/>
      <c r="E252" s="53"/>
      <c r="F252" s="54"/>
    </row>
    <row r="253" spans="2:24" x14ac:dyDescent="0.35">
      <c r="B253" s="55" t="s">
        <v>87</v>
      </c>
      <c r="C253" s="55" t="s">
        <v>88</v>
      </c>
      <c r="D253" s="56"/>
      <c r="E253" s="56"/>
      <c r="F253" s="55" t="s">
        <v>89</v>
      </c>
    </row>
    <row r="254" spans="2:24" ht="6.95" customHeight="1" x14ac:dyDescent="0.35"/>
    <row r="255" spans="2:24" x14ac:dyDescent="0.35">
      <c r="B255" s="36" t="s">
        <v>13</v>
      </c>
      <c r="C255" s="37"/>
      <c r="D255" s="38" t="s">
        <v>14</v>
      </c>
    </row>
    <row r="256" spans="2:24" x14ac:dyDescent="0.35">
      <c r="B256" s="39" t="str">
        <f t="shared" ref="B256:B261" ca="1" si="9">_xlfn.FORMULATEXT(D256)</f>
        <v>=TEXTJOIN("", TRUE, $B$253:$F$253)</v>
      </c>
      <c r="C256" s="40"/>
      <c r="D256" s="41" t="str">
        <f>_xlfn.TEXTJOIN("", TRUE, $B$253:$F$253)</f>
        <v>abc</v>
      </c>
    </row>
    <row r="257" spans="2:24" x14ac:dyDescent="0.35">
      <c r="B257" s="42" t="str">
        <f t="shared" ca="1" si="9"/>
        <v>=TEXTJOIN("", FALSE, $B$253:$F$253)</v>
      </c>
      <c r="C257" s="43"/>
      <c r="D257" s="41" t="str">
        <f>_xlfn.TEXTJOIN("", FALSE, $B$253:$F$253)</f>
        <v>abc</v>
      </c>
    </row>
    <row r="258" spans="2:24" x14ac:dyDescent="0.35">
      <c r="B258" s="48" t="str">
        <f t="shared" ca="1" si="9"/>
        <v>=TEXTJOIN("-", FALSE, $B$253:$F$253)</v>
      </c>
      <c r="C258" s="49"/>
      <c r="D258" s="41" t="str">
        <f>_xlfn.TEXTJOIN("-", FALSE, $B$253:$F$253)</f>
        <v>a-b---c</v>
      </c>
    </row>
    <row r="259" spans="2:24" x14ac:dyDescent="0.35">
      <c r="B259" s="42" t="str">
        <f t="shared" ca="1" si="9"/>
        <v>=TEXTJOIN(",", TRUE, $B$253:$F$253)</v>
      </c>
      <c r="C259" s="43"/>
      <c r="D259" s="41" t="str">
        <f>_xlfn.TEXTJOIN(",", TRUE, $B$253:$F$253)</f>
        <v>a,b,c</v>
      </c>
    </row>
    <row r="260" spans="2:24" x14ac:dyDescent="0.35">
      <c r="B260" s="42" t="str">
        <f t="shared" ca="1" si="9"/>
        <v>=TEXTJOIN(",", FALSE, $B$253:$F$253)</v>
      </c>
      <c r="C260" s="43"/>
      <c r="D260" s="41" t="str">
        <f>_xlfn.TEXTJOIN(",", FALSE, $B$253:$F$253)</f>
        <v>a,b,,,c</v>
      </c>
    </row>
    <row r="261" spans="2:24" x14ac:dyDescent="0.35">
      <c r="B261" s="44" t="str">
        <f t="shared" ca="1" si="9"/>
        <v>=TEXTJOIN("***", TRUE, $B$253:$F$253)</v>
      </c>
      <c r="C261" s="45"/>
      <c r="D261" s="46" t="str">
        <f>_xlfn.TEXTJOIN("***", TRUE, $B$253:$F$253)</f>
        <v>a***b***c</v>
      </c>
    </row>
    <row r="265" spans="2:24" ht="24" x14ac:dyDescent="0.45">
      <c r="B265" s="29" t="s">
        <v>3434</v>
      </c>
      <c r="C265" s="29"/>
      <c r="D265" s="29"/>
      <c r="E265" s="29"/>
      <c r="F265" s="29"/>
      <c r="G265" s="29"/>
      <c r="H265" s="29"/>
      <c r="I265" s="29"/>
      <c r="J265" s="29"/>
      <c r="K265" s="29"/>
      <c r="L265" s="29"/>
      <c r="M265" s="29"/>
      <c r="N265" s="29"/>
      <c r="O265" s="29"/>
      <c r="P265" s="29"/>
      <c r="Q265" s="29"/>
      <c r="R265" s="29"/>
      <c r="S265" s="29"/>
      <c r="T265" s="29"/>
      <c r="U265" s="29"/>
      <c r="V265" s="29"/>
      <c r="W265" s="29"/>
      <c r="X265" s="29"/>
    </row>
    <row r="266" spans="2:24" ht="3" customHeight="1" x14ac:dyDescent="0.45">
      <c r="B266" s="32"/>
      <c r="C266" s="32"/>
      <c r="D266" s="32"/>
      <c r="E266" s="32"/>
      <c r="F266" s="32"/>
      <c r="G266" s="32"/>
      <c r="H266" s="32"/>
      <c r="I266" s="32"/>
      <c r="J266" s="32"/>
      <c r="K266" s="32"/>
      <c r="L266" s="32"/>
      <c r="M266" s="32"/>
      <c r="N266" s="32"/>
      <c r="O266" s="32"/>
      <c r="P266" s="32"/>
      <c r="Q266" s="32"/>
      <c r="R266" s="32"/>
      <c r="S266" s="32"/>
      <c r="T266" s="32"/>
      <c r="U266" s="32"/>
      <c r="V266" s="32"/>
      <c r="W266" s="32"/>
      <c r="X266" s="32"/>
    </row>
    <row r="267" spans="2:24" ht="6.95" customHeight="1" x14ac:dyDescent="0.35"/>
    <row r="268" spans="2:24" x14ac:dyDescent="0.35">
      <c r="B268" s="30" t="s">
        <v>83</v>
      </c>
    </row>
    <row r="271" spans="2:24" x14ac:dyDescent="0.35">
      <c r="B271" s="30" t="s">
        <v>3461</v>
      </c>
    </row>
    <row r="272" spans="2:24" ht="6.95" customHeight="1" thickBot="1" x14ac:dyDescent="0.4"/>
    <row r="273" spans="2:8" ht="18.75" thickBot="1" x14ac:dyDescent="0.4">
      <c r="B273" s="33" t="s">
        <v>91</v>
      </c>
      <c r="C273" s="34"/>
      <c r="D273" s="34"/>
      <c r="E273" s="34"/>
      <c r="F273" s="35"/>
      <c r="H273" s="30" t="str" cm="1">
        <f t="array" ref="H273">IF(ISERROR(_xlfn.SEQUENCE(1)),
    fnDoesNotWorkStr,
    fnWorksStr
)</f>
        <v>✔️ This function is included in your version of Excel</v>
      </c>
    </row>
    <row r="274" spans="2:8" ht="6.95" customHeight="1" x14ac:dyDescent="0.35"/>
    <row r="275" spans="2:8" x14ac:dyDescent="0.35">
      <c r="B275" s="57" t="s">
        <v>13</v>
      </c>
      <c r="C275" s="57"/>
      <c r="D275" s="58" t="s">
        <v>14</v>
      </c>
    </row>
    <row r="276" spans="2:8" x14ac:dyDescent="0.35">
      <c r="B276" s="43" t="str">
        <f ca="1">_xlfn.FORMULATEXT(D276)</f>
        <v>=SEQUENCE(1, 3)</v>
      </c>
      <c r="C276" s="43"/>
      <c r="D276" s="59" cm="1">
        <f t="array" ref="D276:F276">_xlfn.SEQUENCE(1, 3)</f>
        <v>1</v>
      </c>
      <c r="E276" s="59">
        <v>2</v>
      </c>
      <c r="F276" s="59">
        <v>3</v>
      </c>
    </row>
    <row r="277" spans="2:8" ht="6.95" customHeight="1" x14ac:dyDescent="0.35">
      <c r="B277" s="60"/>
      <c r="C277" s="60"/>
    </row>
    <row r="278" spans="2:8" x14ac:dyDescent="0.35">
      <c r="B278" s="43" t="str">
        <f ca="1">_xlfn.FORMULATEXT(D278)</f>
        <v>=SEQUENCE(1, 3, 6)</v>
      </c>
      <c r="C278" s="43"/>
      <c r="D278" s="59" cm="1">
        <f t="array" ref="D278:F278">_xlfn.SEQUENCE(1, 3, 6)</f>
        <v>6</v>
      </c>
      <c r="E278" s="59">
        <v>7</v>
      </c>
      <c r="F278" s="59">
        <v>8</v>
      </c>
    </row>
    <row r="279" spans="2:8" ht="6.95" customHeight="1" x14ac:dyDescent="0.35">
      <c r="B279" s="60"/>
      <c r="C279" s="60"/>
    </row>
    <row r="280" spans="2:8" x14ac:dyDescent="0.35">
      <c r="B280" s="43" t="str">
        <f ca="1">_xlfn.FORMULATEXT(D280)</f>
        <v>=SEQUENCE(1, 3, 6, 2)</v>
      </c>
      <c r="C280" s="43"/>
      <c r="D280" s="59" cm="1">
        <f t="array" ref="D280:F280">_xlfn.SEQUENCE(1, 3, 6, 2)</f>
        <v>6</v>
      </c>
      <c r="E280" s="59">
        <v>8</v>
      </c>
      <c r="F280" s="59">
        <v>10</v>
      </c>
    </row>
    <row r="281" spans="2:8" ht="6.95" customHeight="1" x14ac:dyDescent="0.35"/>
    <row r="282" spans="2:8" x14ac:dyDescent="0.35">
      <c r="B282" s="43" t="str">
        <f ca="1">_xlfn.FORMULATEXT(D282)</f>
        <v>=SEQUENCE(1, 5, , 2)</v>
      </c>
      <c r="C282" s="43"/>
      <c r="D282" s="59" cm="1">
        <f t="array" ref="D282:H282">_xlfn.SEQUENCE(1, 5, , 2)</f>
        <v>1</v>
      </c>
      <c r="E282" s="59">
        <v>3</v>
      </c>
      <c r="F282" s="59">
        <v>5</v>
      </c>
      <c r="G282" s="59">
        <v>7</v>
      </c>
      <c r="H282" s="59">
        <v>9</v>
      </c>
    </row>
    <row r="283" spans="2:8" ht="6.95" customHeight="1" x14ac:dyDescent="0.35"/>
    <row r="284" spans="2:8" x14ac:dyDescent="0.35">
      <c r="B284" s="43" t="str">
        <f ca="1">_xlfn.FORMULATEXT(D284)</f>
        <v>=SEQUENCE(3, 1)</v>
      </c>
      <c r="C284" s="43"/>
      <c r="D284" s="59" cm="1">
        <f t="array" ref="D284:D286">_xlfn.SEQUENCE(3, 1)</f>
        <v>1</v>
      </c>
    </row>
    <row r="285" spans="2:8" x14ac:dyDescent="0.35">
      <c r="D285" s="59">
        <v>2</v>
      </c>
    </row>
    <row r="286" spans="2:8" x14ac:dyDescent="0.35">
      <c r="B286" s="60"/>
      <c r="C286" s="60"/>
      <c r="D286" s="59">
        <v>3</v>
      </c>
    </row>
    <row r="287" spans="2:8" ht="6.95" customHeight="1" x14ac:dyDescent="0.35"/>
    <row r="288" spans="2:8" x14ac:dyDescent="0.35">
      <c r="B288" s="43" t="str">
        <f ca="1">_xlfn.FORMULATEXT(D288)</f>
        <v>=SEQUENCE(3, 1, -10)</v>
      </c>
      <c r="C288" s="43"/>
      <c r="D288" s="59" cm="1">
        <f t="array" ref="D288:D290">_xlfn.SEQUENCE(3, 1, -10)</f>
        <v>-10</v>
      </c>
    </row>
    <row r="289" spans="2:10" x14ac:dyDescent="0.35">
      <c r="D289" s="59">
        <v>-9</v>
      </c>
    </row>
    <row r="290" spans="2:10" x14ac:dyDescent="0.35">
      <c r="D290" s="59">
        <v>-8</v>
      </c>
    </row>
    <row r="291" spans="2:10" ht="6.95" customHeight="1" x14ac:dyDescent="0.35"/>
    <row r="292" spans="2:10" x14ac:dyDescent="0.35">
      <c r="B292" s="43" t="str">
        <f ca="1">_xlfn.FORMULATEXT(D292)</f>
        <v>=SEQUENCE(3, 1, -100, 100)</v>
      </c>
      <c r="C292" s="43"/>
      <c r="D292" s="59" cm="1">
        <f t="array" ref="D292:D294">_xlfn.SEQUENCE(3, 1, -100, 100)</f>
        <v>-100</v>
      </c>
    </row>
    <row r="293" spans="2:10" x14ac:dyDescent="0.35">
      <c r="D293" s="59">
        <v>0</v>
      </c>
    </row>
    <row r="294" spans="2:10" x14ac:dyDescent="0.35">
      <c r="D294" s="59">
        <v>100</v>
      </c>
    </row>
    <row r="295" spans="2:10" ht="6.95" customHeight="1" x14ac:dyDescent="0.35"/>
    <row r="296" spans="2:10" x14ac:dyDescent="0.35">
      <c r="B296" s="43" t="str">
        <f ca="1">_xlfn.FORMULATEXT(D296)</f>
        <v>=SEQUENCE(3, 5, 0, 1)</v>
      </c>
      <c r="C296" s="43"/>
      <c r="D296" s="59" cm="1">
        <f t="array" ref="D296:H298">_xlfn.SEQUENCE(3, 5, 0, 1)</f>
        <v>0</v>
      </c>
      <c r="E296" s="59">
        <v>1</v>
      </c>
      <c r="F296" s="59">
        <v>2</v>
      </c>
      <c r="G296" s="59">
        <v>3</v>
      </c>
      <c r="H296" s="59">
        <v>4</v>
      </c>
    </row>
    <row r="297" spans="2:10" x14ac:dyDescent="0.35">
      <c r="D297" s="59">
        <v>5</v>
      </c>
      <c r="E297" s="59">
        <v>6</v>
      </c>
      <c r="F297" s="59">
        <v>7</v>
      </c>
      <c r="G297" s="59">
        <v>8</v>
      </c>
      <c r="H297" s="59">
        <v>9</v>
      </c>
    </row>
    <row r="298" spans="2:10" x14ac:dyDescent="0.35">
      <c r="D298" s="59">
        <v>10</v>
      </c>
      <c r="E298" s="59">
        <v>11</v>
      </c>
      <c r="F298" s="59">
        <v>12</v>
      </c>
      <c r="G298" s="59">
        <v>13</v>
      </c>
      <c r="H298" s="59">
        <v>14</v>
      </c>
    </row>
    <row r="301" spans="2:10" x14ac:dyDescent="0.35">
      <c r="B301" s="30" t="s">
        <v>3462</v>
      </c>
    </row>
    <row r="302" spans="2:10" ht="6.95" customHeight="1" thickBot="1" x14ac:dyDescent="0.4"/>
    <row r="303" spans="2:10" ht="18.75" thickBot="1" x14ac:dyDescent="0.4">
      <c r="B303" s="33" t="s">
        <v>104</v>
      </c>
      <c r="C303" s="34"/>
      <c r="D303" s="34"/>
      <c r="E303" s="34"/>
      <c r="F303" s="34"/>
      <c r="G303" s="34"/>
      <c r="H303" s="35"/>
      <c r="J303" s="30" t="str" cm="1">
        <f t="array" ref="J303">IF(ISERROR(_xlfn.LET(_xlpm.x, 1, _xlpm.x)),
    fnDoesNotWorkStr,
    fnWorksStr
)</f>
        <v>✔️ This function is included in your version of Excel</v>
      </c>
    </row>
    <row r="304" spans="2:10" ht="6.95" customHeight="1" x14ac:dyDescent="0.35"/>
    <row r="305" spans="2:4" x14ac:dyDescent="0.35">
      <c r="B305" s="36" t="s">
        <v>13</v>
      </c>
      <c r="C305" s="37"/>
      <c r="D305" s="38" t="s">
        <v>14</v>
      </c>
    </row>
    <row r="306" spans="2:4" x14ac:dyDescent="0.35">
      <c r="B306" s="39" t="str">
        <f ca="1">_xlfn.FORMULATEXT(D306)</f>
        <v>=LET(x, 123, x)</v>
      </c>
      <c r="C306" s="40"/>
      <c r="D306" s="41">
        <f>_xlfn.LET(_xlpm.x, 123, _xlpm.x)</f>
        <v>123</v>
      </c>
    </row>
    <row r="307" spans="2:4" x14ac:dyDescent="0.35">
      <c r="B307" s="42" t="str">
        <f ca="1">_xlfn.FORMULATEXT(D307)</f>
        <v>=LET(x, 5, x ^ 2)</v>
      </c>
      <c r="C307" s="43"/>
      <c r="D307" s="41">
        <f>_xlfn.LET(_xlpm.x, 5, _xlpm.x ^ 2)</f>
        <v>25</v>
      </c>
    </row>
    <row r="308" spans="2:4" x14ac:dyDescent="0.35">
      <c r="B308" s="42" t="str">
        <f ca="1">_xlfn.FORMULATEXT(D308)</f>
        <v>=LET(x, 4, y, 8, x * y)</v>
      </c>
      <c r="C308" s="43"/>
      <c r="D308" s="41">
        <f>_xlfn.LET(_xlpm.x, 4, _xlpm.y, 8, _xlpm.x * _xlpm.y)</f>
        <v>32</v>
      </c>
    </row>
    <row r="309" spans="2:4" ht="15" customHeight="1" x14ac:dyDescent="0.35">
      <c r="B309" s="61" t="str">
        <f ca="1">_xlfn.FORMULATEXT(D309)</f>
        <v>=LET(name, "Jane", "Hello, " &amp; name)</v>
      </c>
      <c r="C309" s="62"/>
      <c r="D309" s="41" t="str">
        <f>_xlfn.LET(_xlpm.name, "Jane", "Hello, " &amp; _xlpm.name)</f>
        <v>Hello, Jane</v>
      </c>
    </row>
    <row r="310" spans="2:4" x14ac:dyDescent="0.35">
      <c r="B310" s="44" t="str">
        <f ca="1">_xlfn.FORMULATEXT(D310)</f>
        <v>=LET(x, 2, y, 5, z, x + y, z + 1)</v>
      </c>
      <c r="C310" s="45"/>
      <c r="D310" s="46">
        <f>_xlfn.LET(_xlpm.x, 2, _xlpm.y, 5, _xlpm.z, _xlpm.x + _xlpm.y, _xlpm.z + 1)</f>
        <v>8</v>
      </c>
    </row>
  </sheetData>
  <sheetProtection formatCells="0" formatColumns="0" formatRows="0" insertColumns="0" insertRows="0" deleteColumns="0" deleteRows="0" sort="0" autoFilter="0"/>
  <protectedRanges>
    <protectedRange sqref="A6:X310 A2:X5" name="UsedRange"/>
  </protectedRanges>
  <mergeCells count="150">
    <mergeCell ref="B49:C49"/>
    <mergeCell ref="B50:C50"/>
    <mergeCell ref="B62:C62"/>
    <mergeCell ref="B199:C199"/>
    <mergeCell ref="B202:C202"/>
    <mergeCell ref="B82:F82"/>
    <mergeCell ref="B84:C84"/>
    <mergeCell ref="B85:C85"/>
    <mergeCell ref="B86:C86"/>
    <mergeCell ref="B87:C87"/>
    <mergeCell ref="B88:C88"/>
    <mergeCell ref="B90:C90"/>
    <mergeCell ref="B193:F193"/>
    <mergeCell ref="B195:C195"/>
    <mergeCell ref="B196:C196"/>
    <mergeCell ref="B197:C197"/>
    <mergeCell ref="B198:C198"/>
    <mergeCell ref="B176:C176"/>
    <mergeCell ref="B181:F181"/>
    <mergeCell ref="B183:C183"/>
    <mergeCell ref="B156:C156"/>
    <mergeCell ref="B35:X35"/>
    <mergeCell ref="B36:X36"/>
    <mergeCell ref="B7:X7"/>
    <mergeCell ref="B8:X8"/>
    <mergeCell ref="B43:F43"/>
    <mergeCell ref="B45:C45"/>
    <mergeCell ref="B46:C46"/>
    <mergeCell ref="B47:C47"/>
    <mergeCell ref="B48:C48"/>
    <mergeCell ref="B63:C63"/>
    <mergeCell ref="B55:F55"/>
    <mergeCell ref="B57:C57"/>
    <mergeCell ref="B58:C58"/>
    <mergeCell ref="B59:C59"/>
    <mergeCell ref="B60:C60"/>
    <mergeCell ref="B123:C123"/>
    <mergeCell ref="B124:C124"/>
    <mergeCell ref="B133:F133"/>
    <mergeCell ref="B72:C72"/>
    <mergeCell ref="B73:C73"/>
    <mergeCell ref="B74:C74"/>
    <mergeCell ref="B77:C77"/>
    <mergeCell ref="B61:C61"/>
    <mergeCell ref="B75:C75"/>
    <mergeCell ref="B76:C76"/>
    <mergeCell ref="B89:C89"/>
    <mergeCell ref="B68:F68"/>
    <mergeCell ref="B70:C70"/>
    <mergeCell ref="B71:C71"/>
    <mergeCell ref="B104:C104"/>
    <mergeCell ref="B126:C126"/>
    <mergeCell ref="B127:C127"/>
    <mergeCell ref="B128:C128"/>
    <mergeCell ref="B255:C255"/>
    <mergeCell ref="B256:C256"/>
    <mergeCell ref="B257:C257"/>
    <mergeCell ref="B259:C259"/>
    <mergeCell ref="B260:C260"/>
    <mergeCell ref="B261:C261"/>
    <mergeCell ref="B266:X266"/>
    <mergeCell ref="B273:F273"/>
    <mergeCell ref="B206:X206"/>
    <mergeCell ref="B207:X207"/>
    <mergeCell ref="B229:F229"/>
    <mergeCell ref="B231:C231"/>
    <mergeCell ref="B236:C236"/>
    <mergeCell ref="B237:C237"/>
    <mergeCell ref="B238:C238"/>
    <mergeCell ref="B215:F215"/>
    <mergeCell ref="B217:C217"/>
    <mergeCell ref="B218:C218"/>
    <mergeCell ref="B219:C219"/>
    <mergeCell ref="B220:C220"/>
    <mergeCell ref="B221:C221"/>
    <mergeCell ref="B222:C222"/>
    <mergeCell ref="B223:C223"/>
    <mergeCell ref="B224:C224"/>
    <mergeCell ref="B286:C286"/>
    <mergeCell ref="B288:C288"/>
    <mergeCell ref="B292:C292"/>
    <mergeCell ref="B308:C308"/>
    <mergeCell ref="B309:C309"/>
    <mergeCell ref="B310:C310"/>
    <mergeCell ref="B303:H303"/>
    <mergeCell ref="B296:C296"/>
    <mergeCell ref="B305:C305"/>
    <mergeCell ref="B306:C306"/>
    <mergeCell ref="B307:C307"/>
    <mergeCell ref="B284:C284"/>
    <mergeCell ref="B125:C125"/>
    <mergeCell ref="B95:F95"/>
    <mergeCell ref="B97:F97"/>
    <mergeCell ref="B109:F109"/>
    <mergeCell ref="B121:F121"/>
    <mergeCell ref="B115:C115"/>
    <mergeCell ref="B116:C116"/>
    <mergeCell ref="B99:C99"/>
    <mergeCell ref="B100:C100"/>
    <mergeCell ref="B111:C111"/>
    <mergeCell ref="B112:C112"/>
    <mergeCell ref="B114:C114"/>
    <mergeCell ref="B101:C101"/>
    <mergeCell ref="B102:C102"/>
    <mergeCell ref="B103:C103"/>
    <mergeCell ref="B113:C113"/>
    <mergeCell ref="B279:C279"/>
    <mergeCell ref="B280:C280"/>
    <mergeCell ref="B157:C157"/>
    <mergeCell ref="B158:C158"/>
    <mergeCell ref="B200:C200"/>
    <mergeCell ref="B201:C201"/>
    <mergeCell ref="B275:C275"/>
    <mergeCell ref="B282:C282"/>
    <mergeCell ref="B276:C276"/>
    <mergeCell ref="B277:C277"/>
    <mergeCell ref="B252:C252"/>
    <mergeCell ref="B137:C137"/>
    <mergeCell ref="B138:C138"/>
    <mergeCell ref="B139:C139"/>
    <mergeCell ref="B145:F145"/>
    <mergeCell ref="B152:C152"/>
    <mergeCell ref="B164:F164"/>
    <mergeCell ref="B170:C170"/>
    <mergeCell ref="B171:C171"/>
    <mergeCell ref="B232:C232"/>
    <mergeCell ref="B233:C233"/>
    <mergeCell ref="B234:C234"/>
    <mergeCell ref="B235:C235"/>
    <mergeCell ref="E252:F252"/>
    <mergeCell ref="B187:C187"/>
    <mergeCell ref="B188:C188"/>
    <mergeCell ref="B278:C278"/>
    <mergeCell ref="B265:X265"/>
    <mergeCell ref="B242:X242"/>
    <mergeCell ref="B243:X243"/>
    <mergeCell ref="B250:F250"/>
    <mergeCell ref="B173:C173"/>
    <mergeCell ref="B174:C174"/>
    <mergeCell ref="B184:C184"/>
    <mergeCell ref="B185:C185"/>
    <mergeCell ref="B186:C186"/>
    <mergeCell ref="B172:C172"/>
    <mergeCell ref="B155:C155"/>
    <mergeCell ref="B135:C135"/>
    <mergeCell ref="B136:C136"/>
    <mergeCell ref="B159:C159"/>
    <mergeCell ref="B153:C153"/>
    <mergeCell ref="B140:C140"/>
    <mergeCell ref="B154:C154"/>
  </mergeCells>
  <conditionalFormatting sqref="A112:A116 D112:XFD116">
    <cfRule type="cellIs" dxfId="275" priority="262" operator="equal">
      <formula>correctStr</formula>
    </cfRule>
    <cfRule type="cellIs" dxfId="274" priority="259" operator="equal">
      <formula>infoStr</formula>
    </cfRule>
    <cfRule type="cellIs" dxfId="273" priority="263" operator="equal">
      <formula>infoStr</formula>
    </cfRule>
    <cfRule type="cellIs" dxfId="272" priority="260" operator="equal">
      <formula>helpPlaceholderStr</formula>
    </cfRule>
    <cfRule type="cellIs" dxfId="271" priority="261" operator="equal">
      <formula>incorrectStr</formula>
    </cfRule>
  </conditionalFormatting>
  <conditionalFormatting sqref="A124:A128 D124:XFD128">
    <cfRule type="cellIs" dxfId="270" priority="264" operator="equal">
      <formula>infoStr</formula>
    </cfRule>
    <cfRule type="cellIs" dxfId="269" priority="265" operator="equal">
      <formula>helpPlaceholderStr</formula>
    </cfRule>
    <cfRule type="cellIs" dxfId="268" priority="266" operator="equal">
      <formula>incorrectStr</formula>
    </cfRule>
    <cfRule type="cellIs" dxfId="267" priority="267" operator="equal">
      <formula>correctStr</formula>
    </cfRule>
    <cfRule type="cellIs" dxfId="266" priority="268" operator="equal">
      <formula>infoStr</formula>
    </cfRule>
  </conditionalFormatting>
  <conditionalFormatting sqref="A153:A159 D153:XFD159">
    <cfRule type="cellIs" dxfId="265" priority="221" operator="equal">
      <formula>incorrectStr</formula>
    </cfRule>
    <cfRule type="cellIs" dxfId="264" priority="219" operator="equal">
      <formula>infoStr</formula>
    </cfRule>
    <cfRule type="cellIs" dxfId="263" priority="220" operator="equal">
      <formula>helpPlaceholderStr</formula>
    </cfRule>
    <cfRule type="cellIs" dxfId="262" priority="223" operator="equal">
      <formula>infoStr</formula>
    </cfRule>
    <cfRule type="cellIs" dxfId="261" priority="222" operator="equal">
      <formula>correctStr</formula>
    </cfRule>
  </conditionalFormatting>
  <conditionalFormatting sqref="A171:A176 D171:XFD176">
    <cfRule type="cellIs" dxfId="260" priority="87" operator="equal">
      <formula>infoStr</formula>
    </cfRule>
    <cfRule type="cellIs" dxfId="259" priority="88" operator="equal">
      <formula>helpPlaceholderStr</formula>
    </cfRule>
    <cfRule type="cellIs" dxfId="258" priority="89" operator="equal">
      <formula>incorrectStr</formula>
    </cfRule>
    <cfRule type="cellIs" dxfId="257" priority="90" operator="equal">
      <formula>correctStr</formula>
    </cfRule>
    <cfRule type="cellIs" dxfId="256" priority="91" operator="equal">
      <formula>infoStr</formula>
    </cfRule>
  </conditionalFormatting>
  <conditionalFormatting sqref="A109:B109 G109 I109:XFD109">
    <cfRule type="cellIs" dxfId="255" priority="253" operator="equal">
      <formula>infoStr</formula>
    </cfRule>
    <cfRule type="cellIs" dxfId="254" priority="252" operator="equal">
      <formula>correctStr</formula>
    </cfRule>
    <cfRule type="cellIs" dxfId="253" priority="250" operator="equal">
      <formula>helpPlaceholderStr</formula>
    </cfRule>
    <cfRule type="cellIs" dxfId="252" priority="249" operator="equal">
      <formula>infoStr</formula>
    </cfRule>
    <cfRule type="cellIs" dxfId="251" priority="251" operator="equal">
      <formula>incorrectStr</formula>
    </cfRule>
  </conditionalFormatting>
  <conditionalFormatting sqref="A121:B121 G121 I121:XFD121">
    <cfRule type="cellIs" dxfId="250" priority="233" operator="equal">
      <formula>infoStr</formula>
    </cfRule>
    <cfRule type="cellIs" dxfId="249" priority="231" operator="equal">
      <formula>incorrectStr</formula>
    </cfRule>
    <cfRule type="cellIs" dxfId="248" priority="229" operator="equal">
      <formula>infoStr</formula>
    </cfRule>
    <cfRule type="cellIs" dxfId="247" priority="232" operator="equal">
      <formula>correctStr</formula>
    </cfRule>
    <cfRule type="cellIs" dxfId="246" priority="230" operator="equal">
      <formula>helpPlaceholderStr</formula>
    </cfRule>
  </conditionalFormatting>
  <conditionalFormatting sqref="A133:B133 G133 I133:XFD133">
    <cfRule type="cellIs" dxfId="245" priority="228" operator="equal">
      <formula>infoStr</formula>
    </cfRule>
    <cfRule type="cellIs" dxfId="244" priority="225" operator="equal">
      <formula>helpPlaceholderStr</formula>
    </cfRule>
    <cfRule type="cellIs" dxfId="243" priority="224" operator="equal">
      <formula>infoStr</formula>
    </cfRule>
    <cfRule type="cellIs" dxfId="242" priority="226" operator="equal">
      <formula>incorrectStr</formula>
    </cfRule>
    <cfRule type="cellIs" dxfId="241" priority="227" operator="equal">
      <formula>correctStr</formula>
    </cfRule>
  </conditionalFormatting>
  <conditionalFormatting sqref="A145:B145 G145 I145:XFD145">
    <cfRule type="cellIs" dxfId="240" priority="210" operator="equal">
      <formula>helpPlaceholderStr</formula>
    </cfRule>
    <cfRule type="cellIs" dxfId="239" priority="209" operator="equal">
      <formula>infoStr</formula>
    </cfRule>
    <cfRule type="cellIs" dxfId="238" priority="213" operator="equal">
      <formula>infoStr</formula>
    </cfRule>
    <cfRule type="cellIs" dxfId="237" priority="212" operator="equal">
      <formula>correctStr</formula>
    </cfRule>
    <cfRule type="cellIs" dxfId="236" priority="211" operator="equal">
      <formula>incorrectStr</formula>
    </cfRule>
  </conditionalFormatting>
  <conditionalFormatting sqref="A164:B164 G164 I164:XFD164">
    <cfRule type="cellIs" dxfId="235" priority="82" operator="equal">
      <formula>infoStr</formula>
    </cfRule>
    <cfRule type="cellIs" dxfId="234" priority="83" operator="equal">
      <formula>helpPlaceholderStr</formula>
    </cfRule>
    <cfRule type="cellIs" dxfId="233" priority="84" operator="equal">
      <formula>incorrectStr</formula>
    </cfRule>
    <cfRule type="cellIs" dxfId="232" priority="86" operator="equal">
      <formula>infoStr</formula>
    </cfRule>
    <cfRule type="cellIs" dxfId="231" priority="85" operator="equal">
      <formula>correctStr</formula>
    </cfRule>
  </conditionalFormatting>
  <conditionalFormatting sqref="A181:B181 G181 I181:XFD181">
    <cfRule type="cellIs" dxfId="230" priority="70" operator="equal">
      <formula>infoStr</formula>
    </cfRule>
    <cfRule type="cellIs" dxfId="229" priority="71" operator="equal">
      <formula>helpPlaceholderStr</formula>
    </cfRule>
    <cfRule type="cellIs" dxfId="228" priority="72" operator="equal">
      <formula>incorrectStr</formula>
    </cfRule>
    <cfRule type="cellIs" dxfId="227" priority="73" operator="equal">
      <formula>correctStr</formula>
    </cfRule>
    <cfRule type="cellIs" dxfId="226" priority="74" operator="equal">
      <formula>infoStr</formula>
    </cfRule>
  </conditionalFormatting>
  <conditionalFormatting sqref="A193:B193 G193 I193:XFD193">
    <cfRule type="cellIs" dxfId="225" priority="47" operator="equal">
      <formula>correctStr</formula>
    </cfRule>
    <cfRule type="cellIs" dxfId="224" priority="48" operator="equal">
      <formula>infoStr</formula>
    </cfRule>
    <cfRule type="cellIs" dxfId="223" priority="45" operator="equal">
      <formula>helpPlaceholderStr</formula>
    </cfRule>
    <cfRule type="cellIs" dxfId="222" priority="44" operator="equal">
      <formula>infoStr</formula>
    </cfRule>
    <cfRule type="cellIs" dxfId="221" priority="46" operator="equal">
      <formula>incorrectStr</formula>
    </cfRule>
  </conditionalFormatting>
  <conditionalFormatting sqref="A215:B215 G215 I215:XFD215">
    <cfRule type="cellIs" dxfId="220" priority="3" operator="equal">
      <formula>infoStr</formula>
    </cfRule>
    <cfRule type="cellIs" dxfId="219" priority="4" operator="equal">
      <formula>helpPlaceholderStr</formula>
    </cfRule>
    <cfRule type="cellIs" dxfId="218" priority="5" operator="equal">
      <formula>incorrectStr</formula>
    </cfRule>
    <cfRule type="cellIs" dxfId="217" priority="6" operator="equal">
      <formula>correctStr</formula>
    </cfRule>
    <cfRule type="cellIs" dxfId="216" priority="7" operator="equal">
      <formula>infoStr</formula>
    </cfRule>
  </conditionalFormatting>
  <conditionalFormatting sqref="A229:B229 G229 I229:XFD229">
    <cfRule type="cellIs" dxfId="215" priority="17" operator="equal">
      <formula>incorrectStr</formula>
    </cfRule>
    <cfRule type="cellIs" dxfId="214" priority="16" operator="equal">
      <formula>helpPlaceholderStr</formula>
    </cfRule>
    <cfRule type="cellIs" dxfId="213" priority="15" operator="equal">
      <formula>infoStr</formula>
    </cfRule>
    <cfRule type="cellIs" dxfId="212" priority="19" operator="equal">
      <formula>infoStr</formula>
    </cfRule>
    <cfRule type="cellIs" dxfId="211" priority="18" operator="equal">
      <formula>correctStr</formula>
    </cfRule>
  </conditionalFormatting>
  <conditionalFormatting sqref="A250:B250 G250 I250:XFD250">
    <cfRule type="cellIs" dxfId="210" priority="190" operator="equal">
      <formula>helpPlaceholderStr</formula>
    </cfRule>
    <cfRule type="cellIs" dxfId="209" priority="193" operator="equal">
      <formula>infoStr</formula>
    </cfRule>
    <cfRule type="cellIs" dxfId="208" priority="191" operator="equal">
      <formula>incorrectStr</formula>
    </cfRule>
    <cfRule type="cellIs" dxfId="207" priority="189" operator="equal">
      <formula>infoStr</formula>
    </cfRule>
    <cfRule type="cellIs" dxfId="206" priority="192" operator="equal">
      <formula>correctStr</formula>
    </cfRule>
  </conditionalFormatting>
  <conditionalFormatting sqref="A273:B273 G273 I273:XFD273">
    <cfRule type="cellIs" dxfId="205" priority="197" operator="equal">
      <formula>correctStr</formula>
    </cfRule>
    <cfRule type="cellIs" dxfId="204" priority="196" operator="equal">
      <formula>incorrectStr</formula>
    </cfRule>
    <cfRule type="cellIs" dxfId="203" priority="195" operator="equal">
      <formula>helpPlaceholderStr</formula>
    </cfRule>
    <cfRule type="cellIs" dxfId="202" priority="194" operator="equal">
      <formula>infoStr</formula>
    </cfRule>
    <cfRule type="cellIs" dxfId="201" priority="198" operator="equal">
      <formula>infoStr</formula>
    </cfRule>
  </conditionalFormatting>
  <conditionalFormatting sqref="A303:B303 I303 K303:XFD303">
    <cfRule type="cellIs" dxfId="200" priority="130" operator="equal">
      <formula>helpPlaceholderStr</formula>
    </cfRule>
    <cfRule type="cellIs" dxfId="199" priority="131" operator="equal">
      <formula>incorrectStr</formula>
    </cfRule>
    <cfRule type="cellIs" dxfId="198" priority="132" operator="equal">
      <formula>correctStr</formula>
    </cfRule>
    <cfRule type="cellIs" dxfId="197" priority="133" operator="equal">
      <formula>infoStr</formula>
    </cfRule>
    <cfRule type="cellIs" dxfId="196" priority="129" operator="equal">
      <formula>infoStr</formula>
    </cfRule>
  </conditionalFormatting>
  <conditionalFormatting sqref="A7:XFD8">
    <cfRule type="cellIs" dxfId="195" priority="31" operator="equal">
      <formula>helpPlaceholderStr</formula>
    </cfRule>
    <cfRule type="cellIs" dxfId="194" priority="33" operator="equal">
      <formula>correctStr</formula>
    </cfRule>
    <cfRule type="cellIs" dxfId="193" priority="34" operator="equal">
      <formula>infoStr</formula>
    </cfRule>
    <cfRule type="cellIs" dxfId="192" priority="30" operator="equal">
      <formula>infoStr</formula>
    </cfRule>
    <cfRule type="cellIs" dxfId="191" priority="32" operator="equal">
      <formula>incorrectStr</formula>
    </cfRule>
  </conditionalFormatting>
  <conditionalFormatting sqref="A35:XFD36">
    <cfRule type="cellIs" dxfId="190" priority="180" operator="equal">
      <formula>helpPlaceholderStr</formula>
    </cfRule>
    <cfRule type="cellIs" dxfId="189" priority="179" operator="equal">
      <formula>infoStr</formula>
    </cfRule>
    <cfRule type="cellIs" dxfId="188" priority="183" operator="equal">
      <formula>infoStr</formula>
    </cfRule>
    <cfRule type="cellIs" dxfId="187" priority="182" operator="equal">
      <formula>correctStr</formula>
    </cfRule>
    <cfRule type="cellIs" dxfId="186" priority="181" operator="equal">
      <formula>incorrectStr</formula>
    </cfRule>
  </conditionalFormatting>
  <conditionalFormatting sqref="A41:XFD42 A45:XFD46 A47:B50 D47:XFD50">
    <cfRule type="cellIs" dxfId="185" priority="101" operator="equal">
      <formula>infoStr</formula>
    </cfRule>
    <cfRule type="cellIs" dxfId="184" priority="102" operator="equal">
      <formula>helpPlaceholderStr</formula>
    </cfRule>
    <cfRule type="cellIs" dxfId="183" priority="103" operator="equal">
      <formula>incorrectStr</formula>
    </cfRule>
    <cfRule type="cellIs" dxfId="182" priority="104" operator="equal">
      <formula>correctStr</formula>
    </cfRule>
    <cfRule type="cellIs" dxfId="181" priority="105" operator="equal">
      <formula>infoStr</formula>
    </cfRule>
  </conditionalFormatting>
  <conditionalFormatting sqref="A53:XFD54 A57:XFD58 A59:B63 D59:XFD63">
    <cfRule type="cellIs" dxfId="180" priority="64" operator="equal">
      <formula>helpPlaceholderStr</formula>
    </cfRule>
    <cfRule type="cellIs" dxfId="179" priority="63" operator="equal">
      <formula>infoStr</formula>
    </cfRule>
    <cfRule type="cellIs" dxfId="178" priority="65" operator="equal">
      <formula>incorrectStr</formula>
    </cfRule>
    <cfRule type="cellIs" dxfId="177" priority="66" operator="equal">
      <formula>correctStr</formula>
    </cfRule>
    <cfRule type="cellIs" dxfId="176" priority="67" operator="equal">
      <formula>infoStr</formula>
    </cfRule>
  </conditionalFormatting>
  <conditionalFormatting sqref="A66:XFD67 A70:XFD71 A72:B77 D72:XFD77">
    <cfRule type="cellIs" dxfId="175" priority="59" operator="equal">
      <formula>correctStr</formula>
    </cfRule>
    <cfRule type="cellIs" dxfId="174" priority="60" operator="equal">
      <formula>infoStr</formula>
    </cfRule>
    <cfRule type="cellIs" dxfId="173" priority="56" operator="equal">
      <formula>infoStr</formula>
    </cfRule>
    <cfRule type="cellIs" dxfId="172" priority="57" operator="equal">
      <formula>helpPlaceholderStr</formula>
    </cfRule>
    <cfRule type="cellIs" dxfId="171" priority="58" operator="equal">
      <formula>incorrectStr</formula>
    </cfRule>
  </conditionalFormatting>
  <conditionalFormatting sqref="A80:XFD81 A84:XFD85 A86:B90 D86:XFD90">
    <cfRule type="cellIs" dxfId="170" priority="37" operator="equal">
      <formula>infoStr</formula>
    </cfRule>
    <cfRule type="cellIs" dxfId="169" priority="38" operator="equal">
      <formula>helpPlaceholderStr</formula>
    </cfRule>
    <cfRule type="cellIs" dxfId="168" priority="39" operator="equal">
      <formula>incorrectStr</formula>
    </cfRule>
    <cfRule type="cellIs" dxfId="167" priority="40" operator="equal">
      <formula>correctStr</formula>
    </cfRule>
    <cfRule type="cellIs" dxfId="166" priority="41" operator="equal">
      <formula>infoStr</formula>
    </cfRule>
  </conditionalFormatting>
  <conditionalFormatting sqref="A93:XFD94 A96:XFD96 A99:XFD100 A101:B104 D101:XFD104 A107:XFD108 A110:XFD111 B111:C112 B113:B116 A119:XFD120 A122:XFD123 B123:C124 B125:B128 A131:XFD132 A134:XFD135 B135:C136 A136:A140 D136:XFD140 B137:B140 A143:XFD144 A151:XFD152 B152:C153 B154:B159 A248:XFD249 A251:XFD251 A255:XFD255 B256:E256 K256:XFD256 A256:A261 B257:B261 D257:XFD261">
    <cfRule type="cellIs" dxfId="165" priority="272" operator="equal">
      <formula>correctStr</formula>
    </cfRule>
    <cfRule type="cellIs" dxfId="164" priority="273" operator="equal">
      <formula>infoStr</formula>
    </cfRule>
    <cfRule type="cellIs" dxfId="163" priority="269" operator="equal">
      <formula>infoStr</formula>
    </cfRule>
    <cfRule type="cellIs" dxfId="162" priority="271" operator="equal">
      <formula>incorrectStr</formula>
    </cfRule>
    <cfRule type="cellIs" dxfId="161" priority="270" operator="equal">
      <formula>helpPlaceholderStr</formula>
    </cfRule>
  </conditionalFormatting>
  <conditionalFormatting sqref="A162:XFD163 A169:XFD170 B171:C171 B172:B176">
    <cfRule type="cellIs" dxfId="160" priority="92" operator="equal">
      <formula>infoStr</formula>
    </cfRule>
    <cfRule type="cellIs" dxfId="159" priority="93" operator="equal">
      <formula>helpPlaceholderStr</formula>
    </cfRule>
    <cfRule type="cellIs" dxfId="158" priority="94" operator="equal">
      <formula>incorrectStr</formula>
    </cfRule>
    <cfRule type="cellIs" dxfId="157" priority="95" operator="equal">
      <formula>correctStr</formula>
    </cfRule>
    <cfRule type="cellIs" dxfId="156" priority="96" operator="equal">
      <formula>infoStr</formula>
    </cfRule>
  </conditionalFormatting>
  <conditionalFormatting sqref="A179:XFD180 A182:XFD183 B184:C184 A184:A188 D184:XFD188 B185:B188">
    <cfRule type="cellIs" dxfId="155" priority="79" operator="equal">
      <formula>infoStr</formula>
    </cfRule>
    <cfRule type="cellIs" dxfId="154" priority="78" operator="equal">
      <formula>correctStr</formula>
    </cfRule>
    <cfRule type="cellIs" dxfId="153" priority="77" operator="equal">
      <formula>incorrectStr</formula>
    </cfRule>
    <cfRule type="cellIs" dxfId="152" priority="76" operator="equal">
      <formula>helpPlaceholderStr</formula>
    </cfRule>
    <cfRule type="cellIs" dxfId="151" priority="75" operator="equal">
      <formula>infoStr</formula>
    </cfRule>
  </conditionalFormatting>
  <conditionalFormatting sqref="A191:XFD192 A194:XFD195 B196:C196 A196:A202 D196:XFD202 B197:B202">
    <cfRule type="cellIs" dxfId="150" priority="52" operator="equal">
      <formula>correctStr</formula>
    </cfRule>
    <cfRule type="cellIs" dxfId="149" priority="51" operator="equal">
      <formula>incorrectStr</formula>
    </cfRule>
    <cfRule type="cellIs" dxfId="148" priority="50" operator="equal">
      <formula>helpPlaceholderStr</formula>
    </cfRule>
    <cfRule type="cellIs" dxfId="147" priority="49" operator="equal">
      <formula>infoStr</formula>
    </cfRule>
    <cfRule type="cellIs" dxfId="146" priority="53" operator="equal">
      <formula>infoStr</formula>
    </cfRule>
  </conditionalFormatting>
  <conditionalFormatting sqref="A206:XFD207">
    <cfRule type="cellIs" dxfId="145" priority="26" operator="equal">
      <formula>helpPlaceholderStr</formula>
    </cfRule>
    <cfRule type="cellIs" dxfId="144" priority="25" operator="equal">
      <formula>infoStr</formula>
    </cfRule>
    <cfRule type="cellIs" dxfId="143" priority="27" operator="equal">
      <formula>incorrectStr</formula>
    </cfRule>
    <cfRule type="cellIs" dxfId="142" priority="28" operator="equal">
      <formula>correctStr</formula>
    </cfRule>
    <cfRule type="cellIs" dxfId="141" priority="29" operator="equal">
      <formula>infoStr</formula>
    </cfRule>
  </conditionalFormatting>
  <conditionalFormatting sqref="A212:XFD214 A216:XFD217 B218:C218 A218:A224 D218:XFD224 B219:B224">
    <cfRule type="cellIs" dxfId="140" priority="8" operator="equal">
      <formula>infoStr</formula>
    </cfRule>
    <cfRule type="cellIs" dxfId="139" priority="9" operator="equal">
      <formula>helpPlaceholderStr</formula>
    </cfRule>
    <cfRule type="cellIs" dxfId="138" priority="10" operator="equal">
      <formula>incorrectStr</formula>
    </cfRule>
    <cfRule type="cellIs" dxfId="137" priority="11" operator="equal">
      <formula>correctStr</formula>
    </cfRule>
    <cfRule type="cellIs" dxfId="136" priority="12" operator="equal">
      <formula>infoStr</formula>
    </cfRule>
  </conditionalFormatting>
  <conditionalFormatting sqref="A227:XFD228 A230:XFD231 B232:C232 A232:A238 D232:XFD238 B233:B238">
    <cfRule type="cellIs" dxfId="135" priority="20" operator="equal">
      <formula>infoStr</formula>
    </cfRule>
    <cfRule type="cellIs" dxfId="134" priority="24" operator="equal">
      <formula>infoStr</formula>
    </cfRule>
    <cfRule type="cellIs" dxfId="133" priority="23" operator="equal">
      <formula>correctStr</formula>
    </cfRule>
    <cfRule type="cellIs" dxfId="132" priority="22" operator="equal">
      <formula>incorrectStr</formula>
    </cfRule>
    <cfRule type="cellIs" dxfId="131" priority="21" operator="equal">
      <formula>helpPlaceholderStr</formula>
    </cfRule>
  </conditionalFormatting>
  <conditionalFormatting sqref="A242:XFD243">
    <cfRule type="cellIs" dxfId="130" priority="188" operator="equal">
      <formula>infoStr</formula>
    </cfRule>
    <cfRule type="cellIs" dxfId="129" priority="187" operator="equal">
      <formula>correctStr</formula>
    </cfRule>
    <cfRule type="cellIs" dxfId="128" priority="185" operator="equal">
      <formula>helpPlaceholderStr</formula>
    </cfRule>
    <cfRule type="cellIs" dxfId="127" priority="186" operator="equal">
      <formula>incorrectStr</formula>
    </cfRule>
    <cfRule type="cellIs" dxfId="126" priority="184" operator="equal">
      <formula>infoStr</formula>
    </cfRule>
  </conditionalFormatting>
  <conditionalFormatting sqref="A265:XFD266">
    <cfRule type="cellIs" dxfId="125" priority="208" operator="equal">
      <formula>infoStr</formula>
    </cfRule>
    <cfRule type="cellIs" dxfId="124" priority="206" operator="equal">
      <formula>incorrectStr</formula>
    </cfRule>
    <cfRule type="cellIs" dxfId="123" priority="205" operator="equal">
      <formula>helpPlaceholderStr</formula>
    </cfRule>
    <cfRule type="cellIs" dxfId="122" priority="204" operator="equal">
      <formula>infoStr</formula>
    </cfRule>
    <cfRule type="cellIs" dxfId="121" priority="207" operator="equal">
      <formula>correctStr</formula>
    </cfRule>
  </conditionalFormatting>
  <conditionalFormatting sqref="A271:XFD272 A274:XFD274 A275:A280 D275:XFD280 B277:B280">
    <cfRule type="cellIs" dxfId="120" priority="199" operator="equal">
      <formula>infoStr</formula>
    </cfRule>
    <cfRule type="cellIs" dxfId="119" priority="201" operator="equal">
      <formula>incorrectStr</formula>
    </cfRule>
    <cfRule type="cellIs" dxfId="118" priority="200" operator="equal">
      <formula>helpPlaceholderStr</formula>
    </cfRule>
    <cfRule type="cellIs" dxfId="117" priority="203" operator="equal">
      <formula>infoStr</formula>
    </cfRule>
    <cfRule type="cellIs" dxfId="116" priority="202" operator="equal">
      <formula>correctStr</formula>
    </cfRule>
  </conditionalFormatting>
  <conditionalFormatting sqref="A301:XFD302 A304:XFD305 B306:C306 A306:A310 D306:XFD310 B307:B310">
    <cfRule type="cellIs" dxfId="115" priority="135" operator="equal">
      <formula>helpPlaceholderStr</formula>
    </cfRule>
    <cfRule type="cellIs" dxfId="114" priority="134" operator="equal">
      <formula>infoStr</formula>
    </cfRule>
    <cfRule type="cellIs" dxfId="113" priority="136" operator="equal">
      <formula>incorrectStr</formula>
    </cfRule>
    <cfRule type="cellIs" dxfId="112" priority="137" operator="equal">
      <formula>correctStr</formula>
    </cfRule>
    <cfRule type="cellIs" dxfId="111" priority="138" operator="equal">
      <formula>infoStr</formula>
    </cfRule>
  </conditionalFormatting>
  <conditionalFormatting sqref="B282 D282">
    <cfRule type="cellIs" dxfId="110" priority="168" operator="equal">
      <formula>infoStr</formula>
    </cfRule>
    <cfRule type="cellIs" dxfId="109" priority="167" operator="equal">
      <formula>correctStr</formula>
    </cfRule>
    <cfRule type="cellIs" dxfId="108" priority="166" operator="equal">
      <formula>incorrectStr</formula>
    </cfRule>
    <cfRule type="cellIs" dxfId="107" priority="165" operator="equal">
      <formula>helpPlaceholderStr</formula>
    </cfRule>
    <cfRule type="cellIs" dxfId="106" priority="164" operator="equal">
      <formula>infoStr</formula>
    </cfRule>
  </conditionalFormatting>
  <conditionalFormatting sqref="B284 D284">
    <cfRule type="cellIs" dxfId="105" priority="162" operator="equal">
      <formula>correctStr</formula>
    </cfRule>
    <cfRule type="cellIs" dxfId="104" priority="161" operator="equal">
      <formula>incorrectStr</formula>
    </cfRule>
    <cfRule type="cellIs" dxfId="103" priority="160" operator="equal">
      <formula>helpPlaceholderStr</formula>
    </cfRule>
    <cfRule type="cellIs" dxfId="102" priority="159" operator="equal">
      <formula>infoStr</formula>
    </cfRule>
    <cfRule type="cellIs" dxfId="101" priority="163" operator="equal">
      <formula>infoStr</formula>
    </cfRule>
  </conditionalFormatting>
  <conditionalFormatting sqref="B286 D286">
    <cfRule type="cellIs" dxfId="100" priority="158" operator="equal">
      <formula>infoStr</formula>
    </cfRule>
    <cfRule type="cellIs" dxfId="99" priority="157" operator="equal">
      <formula>correctStr</formula>
    </cfRule>
    <cfRule type="cellIs" dxfId="98" priority="156" operator="equal">
      <formula>incorrectStr</formula>
    </cfRule>
    <cfRule type="cellIs" dxfId="97" priority="155" operator="equal">
      <formula>helpPlaceholderStr</formula>
    </cfRule>
    <cfRule type="cellIs" dxfId="96" priority="154" operator="equal">
      <formula>infoStr</formula>
    </cfRule>
  </conditionalFormatting>
  <conditionalFormatting sqref="B288 D288">
    <cfRule type="cellIs" dxfId="95" priority="153" operator="equal">
      <formula>infoStr</formula>
    </cfRule>
    <cfRule type="cellIs" dxfId="94" priority="152" operator="equal">
      <formula>correctStr</formula>
    </cfRule>
    <cfRule type="cellIs" dxfId="93" priority="151" operator="equal">
      <formula>incorrectStr</formula>
    </cfRule>
    <cfRule type="cellIs" dxfId="92" priority="150" operator="equal">
      <formula>helpPlaceholderStr</formula>
    </cfRule>
    <cfRule type="cellIs" dxfId="91" priority="149" operator="equal">
      <formula>infoStr</formula>
    </cfRule>
  </conditionalFormatting>
  <conditionalFormatting sqref="B292 D292">
    <cfRule type="cellIs" dxfId="90" priority="144" operator="equal">
      <formula>infoStr</formula>
    </cfRule>
    <cfRule type="cellIs" dxfId="89" priority="145" operator="equal">
      <formula>helpPlaceholderStr</formula>
    </cfRule>
    <cfRule type="cellIs" dxfId="88" priority="148" operator="equal">
      <formula>infoStr</formula>
    </cfRule>
    <cfRule type="cellIs" dxfId="87" priority="147" operator="equal">
      <formula>correctStr</formula>
    </cfRule>
    <cfRule type="cellIs" dxfId="86" priority="146" operator="equal">
      <formula>incorrectStr</formula>
    </cfRule>
  </conditionalFormatting>
  <conditionalFormatting sqref="B296 D296">
    <cfRule type="cellIs" dxfId="85" priority="143" operator="equal">
      <formula>infoStr</formula>
    </cfRule>
    <cfRule type="cellIs" dxfId="84" priority="142" operator="equal">
      <formula>correctStr</formula>
    </cfRule>
    <cfRule type="cellIs" dxfId="83" priority="141" operator="equal">
      <formula>incorrectStr</formula>
    </cfRule>
    <cfRule type="cellIs" dxfId="82" priority="140" operator="equal">
      <formula>helpPlaceholderStr</formula>
    </cfRule>
    <cfRule type="cellIs" dxfId="81" priority="139" operator="equal">
      <formula>infoStr</formula>
    </cfRule>
  </conditionalFormatting>
  <conditionalFormatting sqref="B275:C276">
    <cfRule type="cellIs" dxfId="80" priority="169" operator="equal">
      <formula>infoStr</formula>
    </cfRule>
    <cfRule type="cellIs" dxfId="79" priority="170" operator="equal">
      <formula>helpPlaceholderStr</formula>
    </cfRule>
    <cfRule type="cellIs" dxfId="78" priority="171" operator="equal">
      <formula>incorrectStr</formula>
    </cfRule>
    <cfRule type="cellIs" dxfId="77" priority="173" operator="equal">
      <formula>infoStr</formula>
    </cfRule>
    <cfRule type="cellIs" dxfId="76" priority="172" operator="equal">
      <formula>correctStr</formula>
    </cfRule>
  </conditionalFormatting>
  <conditionalFormatting sqref="B252:F253">
    <cfRule type="cellIs" dxfId="75" priority="176" operator="equal">
      <formula>incorrectStr</formula>
    </cfRule>
    <cfRule type="cellIs" dxfId="74" priority="177" operator="equal">
      <formula>correctStr</formula>
    </cfRule>
    <cfRule type="cellIs" dxfId="73" priority="178" operator="equal">
      <formula>infoStr</formula>
    </cfRule>
    <cfRule type="cellIs" dxfId="72" priority="175" operator="equal">
      <formula>helpPlaceholderStr</formula>
    </cfRule>
    <cfRule type="cellIs" dxfId="71" priority="174" operator="equal">
      <formula>infoStr</formula>
    </cfRule>
  </conditionalFormatting>
  <conditionalFormatting sqref="H43">
    <cfRule type="cellIs" dxfId="70" priority="100" operator="equal">
      <formula>fnWorksStr</formula>
    </cfRule>
    <cfRule type="cellIs" dxfId="69" priority="99" operator="equal">
      <formula>fnDoesNotWorkStr</formula>
    </cfRule>
  </conditionalFormatting>
  <conditionalFormatting sqref="H55">
    <cfRule type="cellIs" dxfId="68" priority="61" operator="equal">
      <formula>fnDoesNotWorkStr</formula>
    </cfRule>
    <cfRule type="cellIs" dxfId="67" priority="62" operator="equal">
      <formula>fnWorksStr</formula>
    </cfRule>
  </conditionalFormatting>
  <conditionalFormatting sqref="H68">
    <cfRule type="cellIs" dxfId="66" priority="54" operator="equal">
      <formula>fnDoesNotWorkStr</formula>
    </cfRule>
    <cfRule type="cellIs" dxfId="65" priority="55" operator="equal">
      <formula>fnWorksStr</formula>
    </cfRule>
  </conditionalFormatting>
  <conditionalFormatting sqref="H82">
    <cfRule type="cellIs" dxfId="64" priority="36" operator="equal">
      <formula>fnWorksStr</formula>
    </cfRule>
    <cfRule type="cellIs" dxfId="63" priority="35" operator="equal">
      <formula>fnDoesNotWorkStr</formula>
    </cfRule>
  </conditionalFormatting>
  <conditionalFormatting sqref="H95">
    <cfRule type="cellIs" dxfId="62" priority="256" operator="equal">
      <formula>fnDoesNotWorkStr</formula>
    </cfRule>
    <cfRule type="cellIs" dxfId="61" priority="257" operator="equal">
      <formula>fnWorksStr</formula>
    </cfRule>
  </conditionalFormatting>
  <conditionalFormatting sqref="H97">
    <cfRule type="cellIs" dxfId="60" priority="122" operator="equal">
      <formula>fnDoesNotWorkStr</formula>
    </cfRule>
    <cfRule type="cellIs" dxfId="59" priority="123" operator="equal">
      <formula>fnWorksStr</formula>
    </cfRule>
  </conditionalFormatting>
  <conditionalFormatting sqref="H109">
    <cfRule type="cellIs" dxfId="58" priority="120" operator="equal">
      <formula>fnDoesNotWorkStr</formula>
    </cfRule>
    <cfRule type="cellIs" dxfId="57" priority="121" operator="equal">
      <formula>fnWorksStr</formula>
    </cfRule>
  </conditionalFormatting>
  <conditionalFormatting sqref="H121">
    <cfRule type="cellIs" dxfId="56" priority="119" operator="equal">
      <formula>fnWorksStr</formula>
    </cfRule>
    <cfRule type="cellIs" dxfId="55" priority="118" operator="equal">
      <formula>fnDoesNotWorkStr</formula>
    </cfRule>
  </conditionalFormatting>
  <conditionalFormatting sqref="H133">
    <cfRule type="cellIs" dxfId="54" priority="117" operator="equal">
      <formula>fnWorksStr</formula>
    </cfRule>
    <cfRule type="cellIs" dxfId="53" priority="116" operator="equal">
      <formula>fnDoesNotWorkStr</formula>
    </cfRule>
  </conditionalFormatting>
  <conditionalFormatting sqref="H145">
    <cfRule type="cellIs" dxfId="52" priority="115" operator="equal">
      <formula>fnWorksStr</formula>
    </cfRule>
    <cfRule type="cellIs" dxfId="51" priority="114" operator="equal">
      <formula>fnDoesNotWorkStr</formula>
    </cfRule>
  </conditionalFormatting>
  <conditionalFormatting sqref="H164">
    <cfRule type="cellIs" dxfId="50" priority="80" operator="equal">
      <formula>fnDoesNotWorkStr</formula>
    </cfRule>
    <cfRule type="cellIs" dxfId="49" priority="81" operator="equal">
      <formula>fnWorksStr</formula>
    </cfRule>
  </conditionalFormatting>
  <conditionalFormatting sqref="H181">
    <cfRule type="cellIs" dxfId="48" priority="69" operator="equal">
      <formula>fnWorksStr</formula>
    </cfRule>
    <cfRule type="cellIs" dxfId="47" priority="68" operator="equal">
      <formula>fnDoesNotWorkStr</formula>
    </cfRule>
  </conditionalFormatting>
  <conditionalFormatting sqref="H193">
    <cfRule type="cellIs" dxfId="46" priority="42" operator="equal">
      <formula>fnDoesNotWorkStr</formula>
    </cfRule>
    <cfRule type="cellIs" dxfId="45" priority="43" operator="equal">
      <formula>fnWorksStr</formula>
    </cfRule>
  </conditionalFormatting>
  <conditionalFormatting sqref="H215">
    <cfRule type="cellIs" dxfId="44" priority="2" operator="equal">
      <formula>fnWorksStr</formula>
    </cfRule>
    <cfRule type="cellIs" dxfId="43" priority="1" operator="equal">
      <formula>fnDoesNotWorkStr</formula>
    </cfRule>
  </conditionalFormatting>
  <conditionalFormatting sqref="H229">
    <cfRule type="cellIs" dxfId="42" priority="14" operator="equal">
      <formula>fnWorksStr</formula>
    </cfRule>
    <cfRule type="cellIs" dxfId="41" priority="13" operator="equal">
      <formula>fnDoesNotWorkStr</formula>
    </cfRule>
  </conditionalFormatting>
  <conditionalFormatting sqref="H250">
    <cfRule type="cellIs" dxfId="40" priority="113" operator="equal">
      <formula>fnWorksStr</formula>
    </cfRule>
    <cfRule type="cellIs" dxfId="39" priority="112" operator="equal">
      <formula>fnDoesNotWorkStr</formula>
    </cfRule>
  </conditionalFormatting>
  <conditionalFormatting sqref="H273">
    <cfRule type="cellIs" dxfId="38" priority="111" operator="equal">
      <formula>fnWorksStr</formula>
    </cfRule>
    <cfRule type="cellIs" dxfId="37" priority="110" operator="equal">
      <formula>fnDoesNotWorkStr</formula>
    </cfRule>
  </conditionalFormatting>
  <conditionalFormatting sqref="J303">
    <cfRule type="cellIs" dxfId="36" priority="109" operator="equal">
      <formula>fnWorksStr</formula>
    </cfRule>
    <cfRule type="cellIs" dxfId="35" priority="108" operator="equal">
      <formula>fnDoesNotWorkStr</formula>
    </cfRule>
  </conditionalFormatting>
  <pageMargins left="0.7" right="0.7" top="0.75" bottom="0.75" header="0.3" footer="0.3"/>
  <pageSetup paperSize="9" orientation="portrait" r:id="rId1"/>
  <ignoredErrors>
    <ignoredError sqref="D47"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D8B3-71D0-4E2F-9796-FBC59534BA2C}">
  <sheetPr codeName="shtLookups"/>
  <dimension ref="A1:C10"/>
  <sheetViews>
    <sheetView zoomScaleNormal="100" workbookViewId="0"/>
  </sheetViews>
  <sheetFormatPr defaultRowHeight="15" x14ac:dyDescent="0.25"/>
  <cols>
    <col min="1" max="1" width="9.85546875" customWidth="1"/>
    <col min="2" max="2" width="11.140625" customWidth="1"/>
    <col min="3" max="3" width="149.42578125" bestFit="1" customWidth="1"/>
  </cols>
  <sheetData>
    <row r="1" spans="1:3" x14ac:dyDescent="0.25">
      <c r="A1" t="s">
        <v>3</v>
      </c>
      <c r="B1" t="s">
        <v>1</v>
      </c>
      <c r="C1" t="s">
        <v>2</v>
      </c>
    </row>
    <row r="2" spans="1:3" x14ac:dyDescent="0.25">
      <c r="A2" t="e">
        <v>#NULL!</v>
      </c>
      <c r="B2">
        <f>ERROR.TYPE(tblErrHelp[[#This Row],[Error]])</f>
        <v>1</v>
      </c>
      <c r="C2" t="s">
        <v>7</v>
      </c>
    </row>
    <row r="3" spans="1:3" x14ac:dyDescent="0.25">
      <c r="A3" t="e">
        <v>#DIV/0!</v>
      </c>
      <c r="B3">
        <f>ERROR.TYPE(tblErrHelp[[#This Row],[Error]])</f>
        <v>2</v>
      </c>
      <c r="C3" t="s">
        <v>5</v>
      </c>
    </row>
    <row r="4" spans="1:3" x14ac:dyDescent="0.25">
      <c r="A4" t="e">
        <v>#VALUE!</v>
      </c>
      <c r="B4">
        <f>ERROR.TYPE(tblErrHelp[[#This Row],[Error]])</f>
        <v>3</v>
      </c>
      <c r="C4" t="s">
        <v>10</v>
      </c>
    </row>
    <row r="5" spans="1:3" x14ac:dyDescent="0.25">
      <c r="A5" t="e">
        <v>#REF!</v>
      </c>
      <c r="B5">
        <f>ERROR.TYPE(tblErrHelp[[#This Row],[Error]])</f>
        <v>4</v>
      </c>
      <c r="C5" t="s">
        <v>8</v>
      </c>
    </row>
    <row r="6" spans="1:3" x14ac:dyDescent="0.25">
      <c r="A6" t="e">
        <v>#NAME?</v>
      </c>
      <c r="B6">
        <f>ERROR.TYPE(tblErrHelp[[#This Row],[Error]])</f>
        <v>5</v>
      </c>
      <c r="C6" t="s">
        <v>6</v>
      </c>
    </row>
    <row r="7" spans="1:3" x14ac:dyDescent="0.25">
      <c r="A7" t="e">
        <v>#NUM!</v>
      </c>
      <c r="B7">
        <f>ERROR.TYPE(tblErrHelp[[#This Row],[Error]])</f>
        <v>6</v>
      </c>
      <c r="C7" t="s">
        <v>9</v>
      </c>
    </row>
    <row r="8" spans="1:3" x14ac:dyDescent="0.25">
      <c r="A8" t="e">
        <v>#N/A</v>
      </c>
      <c r="B8">
        <f>ERROR.TYPE(tblErrHelp[[#This Row],[Error]])</f>
        <v>7</v>
      </c>
      <c r="C8" t="s">
        <v>12</v>
      </c>
    </row>
    <row r="9" spans="1:3" x14ac:dyDescent="0.25">
      <c r="A9" t="e" vm="1">
        <v>#VALUE!</v>
      </c>
      <c r="B9">
        <f>ERROR.TYPE(tblErrHelp[[#This Row],[Error]])</f>
        <v>9</v>
      </c>
      <c r="C9" t="s">
        <v>4</v>
      </c>
    </row>
    <row r="10" spans="1:3" x14ac:dyDescent="0.25">
      <c r="A10" t="e" vm="2">
        <v>#VALUE!</v>
      </c>
      <c r="B10">
        <f>ERROR.TYPE(tblErrHelp[[#This Row],[Error]])</f>
        <v>14</v>
      </c>
      <c r="C10" t="s">
        <v>11</v>
      </c>
    </row>
  </sheetData>
  <dataConsolidate/>
  <pageMargins left="0.7" right="0.7" top="0.75" bottom="0.75" header="0.3" footer="0.3"/>
  <pageSetup paperSize="9" orientation="portrait" r:id="rId1"/>
  <ignoredErrors>
    <ignoredError sqref="C2 C3:C5 C9 C7" calculatedColumn="1"/>
  </ignoredErrors>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959B-4C65-4D02-98F0-DD2791E5490F}">
  <sheetPr codeName="shtImages">
    <tabColor rgb="FFFFFF00"/>
    <pageSetUpPr autoPageBreaks="0"/>
  </sheetPr>
  <dimension ref="A1:E23"/>
  <sheetViews>
    <sheetView showGridLines="0" zoomScaleNormal="100" workbookViewId="0"/>
  </sheetViews>
  <sheetFormatPr defaultRowHeight="15" x14ac:dyDescent="0.25"/>
  <cols>
    <col min="1" max="1" width="51.140625" customWidth="1"/>
    <col min="2" max="5" width="94.42578125" customWidth="1"/>
    <col min="7" max="7" width="9.140625" customWidth="1"/>
  </cols>
  <sheetData>
    <row r="1" spans="1:5" ht="290.25" customHeight="1" x14ac:dyDescent="0.25"/>
    <row r="4" spans="1:5" ht="60" customHeight="1" x14ac:dyDescent="0.25"/>
    <row r="9" spans="1:5" ht="21" x14ac:dyDescent="0.35">
      <c r="A9" s="6" t="s">
        <v>36</v>
      </c>
      <c r="C9" s="2"/>
      <c r="D9" s="2"/>
      <c r="E9" s="2"/>
    </row>
    <row r="10" spans="1:5" ht="84.75" customHeight="1" x14ac:dyDescent="0.25">
      <c r="A10" s="3"/>
    </row>
    <row r="11" spans="1:5" ht="27.75" customHeight="1" x14ac:dyDescent="0.25">
      <c r="A11" s="13" t="e">
        <f ca="1">"for achieving " &amp; TEXT(fracCorrect, "0.00%") &amp; " accuracy in"</f>
        <v>#REF!</v>
      </c>
    </row>
    <row r="12" spans="1:5" ht="52.5" x14ac:dyDescent="0.25">
      <c r="A12" s="20" t="str">
        <f>activityName</f>
        <v>Data Cleaning Challenge Part 1</v>
      </c>
    </row>
    <row r="13" spans="1:5" ht="21" customHeight="1" x14ac:dyDescent="0.25"/>
    <row r="14" spans="1:5" ht="15.75" x14ac:dyDescent="0.25">
      <c r="A14" s="4" t="e" cm="1">
        <f t="array" aca="1" ref="A14" ca="1">IF(nameAwardEarned = "GOLD",
    "Amazing score! You have mastered this challenge. ",
    IF(nextRewardProgress &gt;= nextRewardProgThresh,
        "Don't give up! You have almost unlocked the " &amp; INDEX(tblAwards[Award], idxAwardEarned + 1) &amp; " Award (" &amp; TEXT(INDEX(tblAwards[Fraction correct required], idxAwardEarned + 1), "0.0%") &amp; "). ",
        IF(nameAwardEarned = "BRONZE",
            "Not bad! The Silver Award is unlocked at accuracy " &amp; TEXT(INDEX(tblAwards[Fraction correct required], MATCH("SILVER", tblAwards[Award], 0)), "0.0%") &amp; ". ",
            IF(nameAwardEarned = "SILVER",
                "Great score! The Gold Award is unlocked at accuracy " &amp; TEXT(INDEX(tblAwards[Fraction correct required], MATCH("GOLD", tblAwards[Award], 0)), "0.0%") &amp; ". ",
                ""
            )
        )
    )
)</f>
        <v>#REF!</v>
      </c>
    </row>
    <row r="19" spans="1:1" ht="84.75" customHeight="1" x14ac:dyDescent="0.25">
      <c r="A19" s="3" t="e">
        <f>nameClean &amp; " "</f>
        <v>#REF!</v>
      </c>
    </row>
    <row r="21" spans="1:1" ht="84.75" customHeight="1" x14ac:dyDescent="0.25">
      <c r="A21" s="8" t="e">
        <f>nameMultiline</f>
        <v>#REF!</v>
      </c>
    </row>
    <row r="23" spans="1:1" ht="84.75" customHeight="1" x14ac:dyDescent="0.25">
      <c r="A23" s="9" t="e">
        <f>nameMultiline</f>
        <v>#REF!</v>
      </c>
    </row>
  </sheetData>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FB4B8-F447-4416-BD63-FB28FDC6A78E}">
  <sheetPr codeName="shtAwardText">
    <tabColor rgb="FFFFC000"/>
  </sheetPr>
  <dimension ref="B1:E15"/>
  <sheetViews>
    <sheetView showGridLines="0" zoomScaleNormal="100" workbookViewId="0"/>
  </sheetViews>
  <sheetFormatPr defaultRowHeight="15" x14ac:dyDescent="0.25"/>
  <cols>
    <col min="1" max="1" width="3.5703125" customWidth="1"/>
    <col min="2" max="2" width="5.5703125" customWidth="1"/>
    <col min="3" max="3" width="38.5703125" customWidth="1"/>
    <col min="4" max="4" width="27.85546875" customWidth="1"/>
    <col min="5" max="5" width="17.5703125" customWidth="1"/>
    <col min="6" max="6" width="4.42578125" customWidth="1"/>
  </cols>
  <sheetData>
    <row r="1" spans="2:5" ht="16.5" customHeight="1" x14ac:dyDescent="0.25"/>
    <row r="3" spans="2:5" ht="30" customHeight="1" x14ac:dyDescent="0.25"/>
    <row r="4" spans="2:5" ht="10.5" customHeight="1" x14ac:dyDescent="0.25"/>
    <row r="5" spans="2:5" ht="15.75" x14ac:dyDescent="0.25">
      <c r="B5" s="23" t="s">
        <v>31</v>
      </c>
      <c r="C5" s="23"/>
      <c r="D5" s="23"/>
      <c r="E5" s="23"/>
    </row>
    <row r="6" spans="2:5" ht="15.75" thickBot="1" x14ac:dyDescent="0.3"/>
    <row r="7" spans="2:5" ht="30" thickTop="1" thickBot="1" x14ac:dyDescent="0.3">
      <c r="B7" s="24">
        <f>INDEX(tblAwards[Fraction correct required], MATCH($D7, tblAwards[Award], 0))</f>
        <v>0.8</v>
      </c>
      <c r="C7" s="25"/>
      <c r="D7" s="10" t="s">
        <v>28</v>
      </c>
    </row>
    <row r="8" spans="2:5" ht="16.5" thickTop="1" thickBot="1" x14ac:dyDescent="0.3"/>
    <row r="9" spans="2:5" ht="30" thickTop="1" thickBot="1" x14ac:dyDescent="0.3">
      <c r="B9" s="24">
        <f>INDEX(tblAwards[Fraction correct required], MATCH($D9, tblAwards[Award], 0))</f>
        <v>0.98</v>
      </c>
      <c r="C9" s="26"/>
      <c r="D9" s="11" t="s">
        <v>29</v>
      </c>
    </row>
    <row r="10" spans="2:5" ht="16.5" thickTop="1" thickBot="1" x14ac:dyDescent="0.3"/>
    <row r="11" spans="2:5" ht="30" thickTop="1" thickBot="1" x14ac:dyDescent="0.3">
      <c r="B11" s="24">
        <f>INDEX(tblAwards[Fraction correct required], MATCH($D11, tblAwards[Award], 0))</f>
        <v>0.995</v>
      </c>
      <c r="C11" s="27"/>
      <c r="D11" s="12" t="s">
        <v>30</v>
      </c>
    </row>
    <row r="12" spans="2:5" ht="15.75" thickTop="1" x14ac:dyDescent="0.25"/>
    <row r="13" spans="2:5" ht="23.25" customHeight="1" x14ac:dyDescent="0.25">
      <c r="B13" s="5" t="str">
        <f ca="1">IF(anyFormulaErrors, warningSym, "")</f>
        <v>⚠️</v>
      </c>
      <c r="C13" s="22" t="str">
        <f ca="1">IFERROR(IF(
    anyFormulaErrors,
    "There may be an error or illegal reference in one of your formulas.",
    IF(nextRewardProgress &gt;= nextRewardProgThresh,
        "Keep going! You have almost unlocked the Bronze Award (" &amp; TEXT(INDEX(tblAwards[Fraction correct required], MATCH("BRONZE", tblAwards[Award], 0)), "0%") &amp; "). ",
        ""
    )
), "")</f>
        <v>There may be an error or illegal reference in one of your formulas.</v>
      </c>
      <c r="D13" s="22"/>
      <c r="E13" s="22"/>
    </row>
    <row r="14" spans="2:5" ht="6.75" customHeight="1" x14ac:dyDescent="0.25"/>
    <row r="15" spans="2:5" ht="15.75" x14ac:dyDescent="0.25">
      <c r="C15" s="22" t="str">
        <f ca="1">IF(anyFormulaErrors,
    "Awards will be disabled until the issue is fixed.",
    ""
)</f>
        <v>Awards will be disabled until the issue is fixed.</v>
      </c>
      <c r="D15" s="22"/>
    </row>
  </sheetData>
  <mergeCells count="6">
    <mergeCell ref="C15:D15"/>
    <mergeCell ref="B5:E5"/>
    <mergeCell ref="B7:C7"/>
    <mergeCell ref="B9:C9"/>
    <mergeCell ref="B11:C11"/>
    <mergeCell ref="C13:E13"/>
  </mergeCells>
  <conditionalFormatting sqref="C13 C15:D15">
    <cfRule type="expression" dxfId="34" priority="1">
      <formula>anyFormulaErrors</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25FA8-3AE7-4509-A994-B4ED1C9907E2}">
  <sheetPr codeName="shtDev">
    <tabColor rgb="FFFF0000"/>
    <pageSetUpPr autoPageBreaks="0"/>
  </sheetPr>
  <dimension ref="A1:AD1479"/>
  <sheetViews>
    <sheetView zoomScaleNormal="100" workbookViewId="0"/>
  </sheetViews>
  <sheetFormatPr defaultRowHeight="15" x14ac:dyDescent="0.25"/>
  <cols>
    <col min="1" max="1" width="33.42578125" customWidth="1"/>
    <col min="2" max="2" width="52.42578125" customWidth="1"/>
    <col min="3" max="3" width="66.42578125" customWidth="1"/>
    <col min="4" max="4" width="7.85546875" customWidth="1"/>
    <col min="5" max="5" width="30.5703125" customWidth="1"/>
    <col min="6" max="6" width="24" customWidth="1"/>
    <col min="7" max="7" width="14" customWidth="1"/>
    <col min="15" max="16" width="9.140625" customWidth="1"/>
  </cols>
  <sheetData>
    <row r="1" spans="1:3" x14ac:dyDescent="0.25">
      <c r="A1" s="1" t="s">
        <v>48</v>
      </c>
    </row>
    <row r="2" spans="1:3" x14ac:dyDescent="0.25">
      <c r="A2" s="14" t="s">
        <v>3391</v>
      </c>
    </row>
    <row r="3" spans="1:3" x14ac:dyDescent="0.25">
      <c r="A3" s="19" t="s">
        <v>1458</v>
      </c>
    </row>
    <row r="5" spans="1:3" x14ac:dyDescent="0.25">
      <c r="A5" s="1" t="s">
        <v>49</v>
      </c>
    </row>
    <row r="9" spans="1:3" x14ac:dyDescent="0.25">
      <c r="A9" s="1" t="s">
        <v>50</v>
      </c>
    </row>
    <row r="10" spans="1:3" x14ac:dyDescent="0.25">
      <c r="A10" t="s">
        <v>51</v>
      </c>
      <c r="B10" s="19" t="s">
        <v>52</v>
      </c>
    </row>
    <row r="11" spans="1:3" x14ac:dyDescent="0.25">
      <c r="A11" t="s">
        <v>53</v>
      </c>
      <c r="B11" s="19" t="s">
        <v>3418</v>
      </c>
    </row>
    <row r="13" spans="1:3" x14ac:dyDescent="0.25">
      <c r="A13" s="1" t="s">
        <v>39</v>
      </c>
      <c r="C13" s="1" t="s">
        <v>54</v>
      </c>
    </row>
    <row r="14" spans="1:3" x14ac:dyDescent="0.25">
      <c r="A14" t="s">
        <v>40</v>
      </c>
      <c r="B14" t="str">
        <f ca="1">MID(_xlfn.FORMULATEXT(C14),
    FIND("(", _xlfn.FORMULATEXT(C14)) + 1,
    FIND(")", _xlfn.FORMULATEXT(C14)) - FIND("(", _xlfn.FORMULATEXT(C14)) - 1
)</f>
        <v>tblPassengerNames</v>
      </c>
      <c r="C14">
        <f>ROW(tblPassengerNames[])</f>
        <v>3</v>
      </c>
    </row>
    <row r="15" spans="1:3" x14ac:dyDescent="0.25">
      <c r="A15" t="s">
        <v>3335</v>
      </c>
      <c r="B15" t="str">
        <f ca="1">MID(_xlfn.FORMULATEXT(C15),
    FIND("(", _xlfn.FORMULATEXT(C15)) + 1,
    FIND(")", _xlfn.FORMULATEXT(C15)) - FIND("(", _xlfn.FORMULATEXT(C15)) - 1
)</f>
        <v>tblAnswers</v>
      </c>
      <c r="C15">
        <f>ROW(tblAnswers[])</f>
        <v>171</v>
      </c>
    </row>
    <row r="16" spans="1:3" x14ac:dyDescent="0.25">
      <c r="A16" t="s">
        <v>117</v>
      </c>
      <c r="B16" t="str">
        <f ca="1">MID(_xlfn.FORMULATEXT(C16),
    FIND("(", _xlfn.FORMULATEXT(C16)) + 1,
    FIND(")", _xlfn.FORMULATEXT(C16)) - FIND("(", _xlfn.FORMULATEXT(C16)) - 1
)</f>
        <v>tblLockedColnames_tblData</v>
      </c>
      <c r="C16">
        <f>ROW(tblLockedColnames_tblData[])</f>
        <v>144</v>
      </c>
    </row>
    <row r="18" spans="1:3" x14ac:dyDescent="0.25">
      <c r="A18" s="1" t="s">
        <v>128</v>
      </c>
    </row>
    <row r="19" spans="1:3" x14ac:dyDescent="0.25">
      <c r="A19" t="s">
        <v>129</v>
      </c>
      <c r="B19" t="s">
        <v>130</v>
      </c>
      <c r="C19" t="s">
        <v>131</v>
      </c>
    </row>
    <row r="20" spans="1:3" x14ac:dyDescent="0.25">
      <c r="A20" t="str">
        <f ca="1">MID(_xlfn.FORMULATEXT(B20), 2, FIND("!", _xlfn.FORMULATEXT(B20)) - 2)</f>
        <v>#REF</v>
      </c>
      <c r="B20" t="e">
        <f>#REF!</f>
        <v>#REF!</v>
      </c>
      <c r="C20" t="b">
        <f ca="1">ISERROR(_xlfn.FORMULATEXT(#REF!))</f>
        <v>1</v>
      </c>
    </row>
    <row r="21" spans="1:3" x14ac:dyDescent="0.25">
      <c r="A21" s="19" t="str">
        <f ca="1">MID(_xlfn.FORMULATEXT(B21), 2, FIND("!", _xlfn.FORMULATEXT(B21)) - 2)</f>
        <v>'Passenger Names'</v>
      </c>
      <c r="B21" s="19" t="e">
        <f>'Passenger Names'!#REF!</f>
        <v>#REF!</v>
      </c>
      <c r="C21" s="19" t="b">
        <f ca="1">ISERROR(_xlfn.FORMULATEXT('Passenger Names'!#REF!))</f>
        <v>1</v>
      </c>
    </row>
    <row r="22" spans="1:3" x14ac:dyDescent="0.25">
      <c r="A22" t="str">
        <f ca="1">MID(_xlfn.FORMULATEXT(B22), 2, FIND("!", _xlfn.FORMULATEXT(B22)) - 2)</f>
        <v>'Formula help'</v>
      </c>
      <c r="B22" t="str">
        <f>'Formula help'!$A$2</f>
        <v xml:space="preserve"> </v>
      </c>
      <c r="C22" t="b">
        <f ca="1">ISERROR(_xlfn.FORMULATEXT('Formula help'!$A$2))</f>
        <v>0</v>
      </c>
    </row>
    <row r="23" spans="1:3" x14ac:dyDescent="0.25">
      <c r="A23" s="19" t="str">
        <f ca="1">MID(_xlfn.FORMULATEXT(B23), 2, FIND("!", _xlfn.FORMULATEXT(B23)) - 2)</f>
        <v>#REF</v>
      </c>
      <c r="B23" s="19" t="e">
        <f>#REF!</f>
        <v>#REF!</v>
      </c>
      <c r="C23" s="19" t="b">
        <f ca="1">ISERROR(_xlfn.FORMULATEXT(#REF!))</f>
        <v>1</v>
      </c>
    </row>
    <row r="25" spans="1:3" x14ac:dyDescent="0.25">
      <c r="A25" t="s">
        <v>3417</v>
      </c>
      <c r="B25" s="19" t="b">
        <f ca="1">shtDataProtected</f>
        <v>1</v>
      </c>
    </row>
    <row r="28" spans="1:3" x14ac:dyDescent="0.25">
      <c r="A28" s="1" t="s">
        <v>0</v>
      </c>
    </row>
    <row r="29" spans="1:3" x14ac:dyDescent="0.25">
      <c r="A29" t="s">
        <v>35</v>
      </c>
      <c r="B29" t="e">
        <f>IF(LEN(TRIM(name)) &gt; 0,
    PROPER(SUBSTITUTE(SUBSTITUTE(TRIM(name), "  ", " "), "  ", " ")),
    "Anonymous"
)</f>
        <v>#REF!</v>
      </c>
    </row>
    <row r="30" spans="1:3" x14ac:dyDescent="0.25">
      <c r="A30" t="s">
        <v>96</v>
      </c>
      <c r="B30" t="e">
        <f>LEN(nameClean)</f>
        <v>#REF!</v>
      </c>
    </row>
    <row r="31" spans="1:3" x14ac:dyDescent="0.25">
      <c r="A31" t="s">
        <v>93</v>
      </c>
      <c r="B31" t="e">
        <f>FIND(" ", nameClean, LEN(nameClean) * 0.5)</f>
        <v>#REF!</v>
      </c>
    </row>
    <row r="32" spans="1:3" x14ac:dyDescent="0.25">
      <c r="A32" t="s">
        <v>94</v>
      </c>
      <c r="B32" t="e">
        <f>FIND(" ", nameClean, LEN(nameClean) * 0.33)</f>
        <v>#REF!</v>
      </c>
    </row>
    <row r="33" spans="1:30" x14ac:dyDescent="0.25">
      <c r="A33" t="s">
        <v>92</v>
      </c>
      <c r="B33" t="e">
        <f>IF(ABS(nameSpacePos1 - LEN(nameClean) / 2) &lt;= ABS(nameSpacePos2 - LEN(nameClean) / 2), nameSpacePos1, nameSpacePos2)</f>
        <v>#REF!</v>
      </c>
    </row>
    <row r="34" spans="1:30" ht="30" customHeight="1" x14ac:dyDescent="0.25">
      <c r="A34" t="s">
        <v>95</v>
      </c>
      <c r="B34" s="28" t="e">
        <f>IFERROR(
    LEFT(nameClean, nameSlicePos - 1) &amp; CHAR(10) &amp; RIGHT(nameClean, LEN(nameClean) - nameSlicePos),
    nameClean
)</f>
        <v>#REF!</v>
      </c>
      <c r="C34" s="28"/>
      <c r="D34" s="28"/>
      <c r="E34" s="28"/>
      <c r="F34" s="28"/>
      <c r="G34" s="28"/>
      <c r="H34" s="28"/>
      <c r="I34" s="28"/>
      <c r="J34" s="28"/>
      <c r="K34" s="28"/>
      <c r="L34" s="28"/>
      <c r="M34" s="28"/>
      <c r="N34" s="28"/>
      <c r="O34" s="28"/>
      <c r="P34" s="28"/>
      <c r="Q34" s="28"/>
      <c r="R34" s="28"/>
      <c r="S34" s="28"/>
      <c r="T34" s="28"/>
      <c r="U34" s="28"/>
      <c r="V34" s="28"/>
    </row>
    <row r="35" spans="1:30" ht="15" customHeight="1" x14ac:dyDescent="0.25">
      <c r="A35" t="s">
        <v>97</v>
      </c>
      <c r="B35" s="7">
        <v>22</v>
      </c>
    </row>
    <row r="36" spans="1:30" ht="15" customHeight="1" x14ac:dyDescent="0.25">
      <c r="A36" t="s">
        <v>98</v>
      </c>
      <c r="B36" s="7">
        <v>30</v>
      </c>
    </row>
    <row r="37" spans="1:30" ht="15" customHeight="1" x14ac:dyDescent="0.25">
      <c r="A37" t="s">
        <v>99</v>
      </c>
      <c r="B37" s="7">
        <v>45</v>
      </c>
    </row>
    <row r="38" spans="1:30" ht="15" customHeight="1" x14ac:dyDescent="0.25">
      <c r="B38" s="7"/>
    </row>
    <row r="39" spans="1:30" ht="15" customHeight="1" x14ac:dyDescent="0.25">
      <c r="B39" s="7"/>
    </row>
    <row r="40" spans="1:30" ht="15" customHeight="1" x14ac:dyDescent="0.25">
      <c r="A40" s="1" t="s">
        <v>3424</v>
      </c>
      <c r="B40" s="7"/>
    </row>
    <row r="42" spans="1:30" x14ac:dyDescent="0.25">
      <c r="A42" s="1" t="s">
        <v>38</v>
      </c>
      <c r="B42" t="str">
        <f t="array" ref="B42:AD42">tblPassengerNames[#Headers]</f>
        <v>ID</v>
      </c>
      <c r="C42" t="str">
        <v>Name</v>
      </c>
      <c r="D42" t="str">
        <v>Sex</v>
      </c>
      <c r="E42" t="str">
        <v>CommaPos</v>
      </c>
      <c r="F42" t="str">
        <v>DotPos</v>
      </c>
      <c r="G42" t="str">
        <v>OpenParPos</v>
      </c>
      <c r="H42" t="str">
        <v>CloseParPos</v>
      </c>
      <c r="I42" t="str">
        <v>EndOfConvFNPos</v>
      </c>
      <c r="J42" t="str">
        <v>ConvForenames</v>
      </c>
      <c r="K42" t="str">
        <v>InParentheses</v>
      </c>
      <c r="L42" t="str">
        <v>InParenthesesCleaned</v>
      </c>
      <c r="M42" t="str">
        <v>P_NSpaces</v>
      </c>
      <c r="N42" t="str">
        <v>P_FinalSpacePos</v>
      </c>
      <c r="O42" t="str">
        <v>P_Forenames</v>
      </c>
      <c r="P42" t="str">
        <v>Forenames</v>
      </c>
      <c r="Q42" t="str">
        <v>Title</v>
      </c>
      <c r="R42" t="str">
        <v>Surname</v>
      </c>
      <c r="S42" t="e">
        <v>#N/A</v>
      </c>
      <c r="T42" t="e">
        <v>#N/A</v>
      </c>
      <c r="U42" t="e">
        <v>#N/A</v>
      </c>
      <c r="V42" t="e">
        <v>#N/A</v>
      </c>
      <c r="W42" t="e">
        <v>#N/A</v>
      </c>
      <c r="X42" t="e">
        <v>#N/A</v>
      </c>
      <c r="Y42" t="e">
        <v>#N/A</v>
      </c>
      <c r="Z42" t="e">
        <v>#N/A</v>
      </c>
      <c r="AA42" t="e">
        <v>#N/A</v>
      </c>
      <c r="AB42" t="e">
        <v>#N/A</v>
      </c>
      <c r="AC42" t="e">
        <v>#N/A</v>
      </c>
      <c r="AD42" t="e">
        <v>#N/A</v>
      </c>
    </row>
    <row r="43" spans="1:30" x14ac:dyDescent="0.25">
      <c r="A43" t="s">
        <v>37</v>
      </c>
      <c r="B43" cm="1">
        <f t="array" aca="1" ref="B43" ca="1">IF(COLUMN(B43) - COLUMN($B$43) + 1 &lt;= COUNTA(tblPassengerNames[#Headers]),
    COUNTA(_xlfn.UNIQUE(IFERROR(_xlfn.FORMULATEXT(OFFSET(tblPassengerNames[], , COLUMN(B43) - COLUMN($B$43), , 1)), "&lt;BLANK&gt;"))),
    #N/A
)</f>
        <v>1</v>
      </c>
      <c r="C43" cm="1">
        <f t="array" aca="1" ref="C43" ca="1">IF(COLUMN(C43) - COLUMN($B$43) + 1 &lt;= COUNTA(tblPassengerNames[#Headers]),
    COUNTA(_xlfn.UNIQUE(IFERROR(_xlfn.FORMULATEXT(OFFSET(tblPassengerNames[], , COLUMN(C43) - COLUMN($B$43), , 1)), "&lt;BLANK&gt;"))),
    #N/A
)</f>
        <v>1</v>
      </c>
      <c r="D43" cm="1">
        <f t="array" aca="1" ref="D43" ca="1">IF(COLUMN(D43) - COLUMN($B$43) + 1 &lt;= COUNTA(tblPassengerNames[#Headers]),
    COUNTA(_xlfn.UNIQUE(IFERROR(_xlfn.FORMULATEXT(OFFSET(tblPassengerNames[], , COLUMN(D43) - COLUMN($B$43), , 1)), "&lt;BLANK&gt;"))),
    #N/A
)</f>
        <v>1</v>
      </c>
      <c r="E43" cm="1">
        <f t="array" aca="1" ref="E43" ca="1">IF(COLUMN(E43) - COLUMN($B$43) + 1 &lt;= COUNTA(tblPassengerNames[#Headers]),
    COUNTA(_xlfn.UNIQUE(IFERROR(_xlfn.FORMULATEXT(OFFSET(tblPassengerNames[], , COLUMN(E43) - COLUMN($B$43), , 1)), "&lt;BLANK&gt;"))),
    #N/A
)</f>
        <v>1</v>
      </c>
      <c r="F43" cm="1">
        <f t="array" aca="1" ref="F43" ca="1">IF(COLUMN(F43) - COLUMN($B$43) + 1 &lt;= COUNTA(tblPassengerNames[#Headers]),
    COUNTA(_xlfn.UNIQUE(IFERROR(_xlfn.FORMULATEXT(OFFSET(tblPassengerNames[], , COLUMN(F43) - COLUMN($B$43), , 1)), "&lt;BLANK&gt;"))),
    #N/A
)</f>
        <v>1</v>
      </c>
      <c r="G43" cm="1">
        <f t="array" aca="1" ref="G43" ca="1">IF(COLUMN(G43) - COLUMN($B$43) + 1 &lt;= COUNTA(tblPassengerNames[#Headers]),
    COUNTA(_xlfn.UNIQUE(IFERROR(_xlfn.FORMULATEXT(OFFSET(tblPassengerNames[], , COLUMN(G43) - COLUMN($B$43), , 1)), "&lt;BLANK&gt;"))),
    #N/A
)</f>
        <v>1</v>
      </c>
      <c r="H43" cm="1">
        <f t="array" aca="1" ref="H43" ca="1">IF(COLUMN(H43) - COLUMN($B$43) + 1 &lt;= COUNTA(tblPassengerNames[#Headers]),
    COUNTA(_xlfn.UNIQUE(IFERROR(_xlfn.FORMULATEXT(OFFSET(tblPassengerNames[], , COLUMN(H43) - COLUMN($B$43), , 1)), "&lt;BLANK&gt;"))),
    #N/A
)</f>
        <v>1</v>
      </c>
      <c r="I43" cm="1">
        <f t="array" aca="1" ref="I43" ca="1">IF(COLUMN(I43) - COLUMN($B$43) + 1 &lt;= COUNTA(tblPassengerNames[#Headers]),
    COUNTA(_xlfn.UNIQUE(IFERROR(_xlfn.FORMULATEXT(OFFSET(tblPassengerNames[], , COLUMN(I43) - COLUMN($B$43), , 1)), "&lt;BLANK&gt;"))),
    #N/A
)</f>
        <v>1</v>
      </c>
      <c r="J43" cm="1">
        <f t="array" aca="1" ref="J43" ca="1">IF(COLUMN(J43) - COLUMN($B$43) + 1 &lt;= COUNTA(tblPassengerNames[#Headers]),
    COUNTA(_xlfn.UNIQUE(IFERROR(_xlfn.FORMULATEXT(OFFSET(tblPassengerNames[], , COLUMN(J43) - COLUMN($B$43), , 1)), "&lt;BLANK&gt;"))),
    #N/A
)</f>
        <v>1</v>
      </c>
      <c r="K43" cm="1">
        <f t="array" aca="1" ref="K43" ca="1">IF(COLUMN(K43) - COLUMN($B$43) + 1 &lt;= COUNTA(tblPassengerNames[#Headers]),
    COUNTA(_xlfn.UNIQUE(IFERROR(_xlfn.FORMULATEXT(OFFSET(tblPassengerNames[], , COLUMN(K43) - COLUMN($B$43), , 1)), "&lt;BLANK&gt;"))),
    #N/A
)</f>
        <v>1</v>
      </c>
      <c r="L43" cm="1">
        <f t="array" aca="1" ref="L43" ca="1">IF(COLUMN(L43) - COLUMN($B$43) + 1 &lt;= COUNTA(tblPassengerNames[#Headers]),
    COUNTA(_xlfn.UNIQUE(IFERROR(_xlfn.FORMULATEXT(OFFSET(tblPassengerNames[], , COLUMN(L43) - COLUMN($B$43), , 1)), "&lt;BLANK&gt;"))),
    #N/A
)</f>
        <v>1</v>
      </c>
      <c r="M43" cm="1">
        <f t="array" aca="1" ref="M43" ca="1">IF(COLUMN(M43) - COLUMN($B$43) + 1 &lt;= COUNTA(tblPassengerNames[#Headers]),
    COUNTA(_xlfn.UNIQUE(IFERROR(_xlfn.FORMULATEXT(OFFSET(tblPassengerNames[], , COLUMN(M43) - COLUMN($B$43), , 1)), "&lt;BLANK&gt;"))),
    #N/A
)</f>
        <v>1</v>
      </c>
      <c r="N43" cm="1">
        <f t="array" aca="1" ref="N43" ca="1">IF(COLUMN(N43) - COLUMN($B$43) + 1 &lt;= COUNTA(tblPassengerNames[#Headers]),
    COUNTA(_xlfn.UNIQUE(IFERROR(_xlfn.FORMULATEXT(OFFSET(tblPassengerNames[], , COLUMN(N43) - COLUMN($B$43), , 1)), "&lt;BLANK&gt;"))),
    #N/A
)</f>
        <v>1</v>
      </c>
      <c r="O43" cm="1">
        <f t="array" aca="1" ref="O43" ca="1">IF(COLUMN(O43) - COLUMN($B$43) + 1 &lt;= COUNTA(tblPassengerNames[#Headers]),
    COUNTA(_xlfn.UNIQUE(IFERROR(_xlfn.FORMULATEXT(OFFSET(tblPassengerNames[], , COLUMN(O43) - COLUMN($B$43), , 1)), "&lt;BLANK&gt;"))),
    #N/A
)</f>
        <v>1</v>
      </c>
      <c r="P43" cm="1">
        <f t="array" aca="1" ref="P43" ca="1">IF(COLUMN(P43) - COLUMN($B$43) + 1 &lt;= COUNTA(tblPassengerNames[#Headers]),
    COUNTA(_xlfn.UNIQUE(IFERROR(_xlfn.FORMULATEXT(OFFSET(tblPassengerNames[], , COLUMN(P43) - COLUMN($B$43), , 1)), "&lt;BLANK&gt;"))),
    #N/A
)</f>
        <v>1</v>
      </c>
      <c r="Q43" cm="1">
        <f t="array" aca="1" ref="Q43" ca="1">IF(COLUMN(Q43) - COLUMN($B$43) + 1 &lt;= COUNTA(tblPassengerNames[#Headers]),
    COUNTA(_xlfn.UNIQUE(IFERROR(_xlfn.FORMULATEXT(OFFSET(tblPassengerNames[], , COLUMN(Q43) - COLUMN($B$43), , 1)), "&lt;BLANK&gt;"))),
    #N/A
)</f>
        <v>1</v>
      </c>
      <c r="R43" cm="1">
        <f t="array" aca="1" ref="R43" ca="1">IF(COLUMN(R43) - COLUMN($B$43) + 1 &lt;= COUNTA(tblPassengerNames[#Headers]),
    COUNTA(_xlfn.UNIQUE(IFERROR(_xlfn.FORMULATEXT(OFFSET(tblPassengerNames[], , COLUMN(R43) - COLUMN($B$43), , 1)), "&lt;BLANK&gt;"))),
    #N/A
)</f>
        <v>1</v>
      </c>
      <c r="S43" t="e" cm="1">
        <f t="array" aca="1" ref="S43" ca="1">IF(COLUMN(S43) - COLUMN($B$43) + 1 &lt;= COUNTA(tblPassengerNames[#Headers]),
    COUNTA(_xlfn.UNIQUE(IFERROR(_xlfn.FORMULATEXT(OFFSET(tblPassengerNames[], , COLUMN(S43) - COLUMN($B$43), , 1)), "&lt;BLANK&gt;"))),
    #N/A
)</f>
        <v>#N/A</v>
      </c>
      <c r="T43" t="e" cm="1">
        <f t="array" aca="1" ref="T43" ca="1">IF(COLUMN(T43) - COLUMN($B$43) + 1 &lt;= COUNTA(tblPassengerNames[#Headers]),
    COUNTA(_xlfn.UNIQUE(IFERROR(_xlfn.FORMULATEXT(OFFSET(tblPassengerNames[], , COLUMN(T43) - COLUMN($B$43), , 1)), "&lt;BLANK&gt;"))),
    #N/A
)</f>
        <v>#N/A</v>
      </c>
      <c r="U43" t="e" cm="1">
        <f t="array" aca="1" ref="U43" ca="1">IF(COLUMN(U43) - COLUMN($B$43) + 1 &lt;= COUNTA(tblPassengerNames[#Headers]),
    COUNTA(_xlfn.UNIQUE(IFERROR(_xlfn.FORMULATEXT(OFFSET(tblPassengerNames[], , COLUMN(U43) - COLUMN($B$43), , 1)), "&lt;BLANK&gt;"))),
    #N/A
)</f>
        <v>#N/A</v>
      </c>
      <c r="V43" t="e" cm="1">
        <f t="array" aca="1" ref="V43" ca="1">IF(COLUMN(V43) - COLUMN($B$43) + 1 &lt;= COUNTA(tblPassengerNames[#Headers]),
    COUNTA(_xlfn.UNIQUE(IFERROR(_xlfn.FORMULATEXT(OFFSET(tblPassengerNames[], , COLUMN(V43) - COLUMN($B$43), , 1)), "&lt;BLANK&gt;"))),
    #N/A
)</f>
        <v>#N/A</v>
      </c>
      <c r="W43" t="e" cm="1">
        <f t="array" aca="1" ref="W43" ca="1">IF(COLUMN(W43) - COLUMN($B$43) + 1 &lt;= COUNTA(tblPassengerNames[#Headers]),
    COUNTA(_xlfn.UNIQUE(IFERROR(_xlfn.FORMULATEXT(OFFSET(tblPassengerNames[], , COLUMN(W43) - COLUMN($B$43), , 1)), "&lt;BLANK&gt;"))),
    #N/A
)</f>
        <v>#N/A</v>
      </c>
      <c r="X43" t="e" cm="1">
        <f t="array" aca="1" ref="X43" ca="1">IF(COLUMN(X43) - COLUMN($B$43) + 1 &lt;= COUNTA(tblPassengerNames[#Headers]),
    COUNTA(_xlfn.UNIQUE(IFERROR(_xlfn.FORMULATEXT(OFFSET(tblPassengerNames[], , COLUMN(X43) - COLUMN($B$43), , 1)), "&lt;BLANK&gt;"))),
    #N/A
)</f>
        <v>#N/A</v>
      </c>
      <c r="Y43" t="e" cm="1">
        <f t="array" aca="1" ref="Y43" ca="1">IF(COLUMN(Y43) - COLUMN($B$43) + 1 &lt;= COUNTA(tblPassengerNames[#Headers]),
    COUNTA(_xlfn.UNIQUE(IFERROR(_xlfn.FORMULATEXT(OFFSET(tblPassengerNames[], , COLUMN(Y43) - COLUMN($B$43), , 1)), "&lt;BLANK&gt;"))),
    #N/A
)</f>
        <v>#N/A</v>
      </c>
      <c r="Z43" t="e" cm="1">
        <f t="array" aca="1" ref="Z43" ca="1">IF(COLUMN(Z43) - COLUMN($B$43) + 1 &lt;= COUNTA(tblPassengerNames[#Headers]),
    COUNTA(_xlfn.UNIQUE(IFERROR(_xlfn.FORMULATEXT(OFFSET(tblPassengerNames[], , COLUMN(Z43) - COLUMN($B$43), , 1)), "&lt;BLANK&gt;"))),
    #N/A
)</f>
        <v>#N/A</v>
      </c>
      <c r="AA43" t="e" cm="1">
        <f t="array" aca="1" ref="AA43" ca="1">IF(COLUMN(AA43) - COLUMN($B$43) + 1 &lt;= COUNTA(tblPassengerNames[#Headers]),
    COUNTA(_xlfn.UNIQUE(IFERROR(_xlfn.FORMULATEXT(OFFSET(tblPassengerNames[], , COLUMN(AA43) - COLUMN($B$43), , 1)), "&lt;BLANK&gt;"))),
    #N/A
)</f>
        <v>#N/A</v>
      </c>
      <c r="AB43" t="e" cm="1">
        <f t="array" aca="1" ref="AB43" ca="1">IF(COLUMN(AB43) - COLUMN($B$43) + 1 &lt;= COUNTA(tblPassengerNames[#Headers]),
    COUNTA(_xlfn.UNIQUE(IFERROR(_xlfn.FORMULATEXT(OFFSET(tblPassengerNames[], , COLUMN(AB43) - COLUMN($B$43), , 1)), "&lt;BLANK&gt;"))),
    #N/A
)</f>
        <v>#N/A</v>
      </c>
      <c r="AC43" t="e" cm="1">
        <f t="array" aca="1" ref="AC43" ca="1">IF(COLUMN(AC43) - COLUMN($B$43) + 1 &lt;= COUNTA(tblPassengerNames[#Headers]),
    COUNTA(_xlfn.UNIQUE(IFERROR(_xlfn.FORMULATEXT(OFFSET(tblPassengerNames[], , COLUMN(AC43) - COLUMN($B$43), , 1)), "&lt;BLANK&gt;"))),
    #N/A
)</f>
        <v>#N/A</v>
      </c>
      <c r="AD43" t="e" cm="1">
        <f t="array" aca="1" ref="AD43" ca="1">IF(COLUMN(AD43) - COLUMN($B$43) + 1 &lt;= COUNTA(tblPassengerNames[#Headers]),
    COUNTA(_xlfn.UNIQUE(IFERROR(_xlfn.FORMULATEXT(OFFSET(tblPassengerNames[], , COLUMN(AD43) - COLUMN($B$43), , 1)), "&lt;BLANK&gt;"))),
    #N/A
)</f>
        <v>#N/A</v>
      </c>
    </row>
    <row r="44" spans="1:30" x14ac:dyDescent="0.25">
      <c r="A44" t="s">
        <v>41</v>
      </c>
      <c r="B44" t="e">
        <f ca="1">_xlfn.FORMULATEXT(OFFSET(tblPassengerNames[], , COLUMN(B44) - COLUMN($B$44), 1, 1))</f>
        <v>#N/A</v>
      </c>
      <c r="C44" t="e">
        <f ca="1">_xlfn.FORMULATEXT(OFFSET(tblPassengerNames[], , COLUMN(C44) - COLUMN($B$44), 1, 1))</f>
        <v>#N/A</v>
      </c>
      <c r="D44" t="e">
        <f ca="1">_xlfn.FORMULATEXT(OFFSET(tblPassengerNames[], , COLUMN(D44) - COLUMN($B$44), 1, 1))</f>
        <v>#N/A</v>
      </c>
      <c r="E44" t="str">
        <f ca="1">_xlfn.FORMULATEXT(OFFSET(tblPassengerNames[], , COLUMN(E44) - COLUMN($B$44), 1, 1))</f>
        <v>=FIND(",", [@Name])</v>
      </c>
      <c r="F44" t="str">
        <f ca="1">_xlfn.FORMULATEXT(OFFSET(tblPassengerNames[], , COLUMN(F44) - COLUMN($B$44), 1, 1))</f>
        <v>=FIND(".", [@Name])</v>
      </c>
      <c r="G44" t="str">
        <f ca="1">_xlfn.FORMULATEXT(OFFSET(tblPassengerNames[], , COLUMN(G44) - COLUMN($B$44), 1, 1))</f>
        <v>=FIND("(", [@Name])</v>
      </c>
      <c r="H44" t="str">
        <f ca="1">_xlfn.FORMULATEXT(OFFSET(tblPassengerNames[], , COLUMN(H44) - COLUMN($B$44), 1, 1))</f>
        <v>=FIND(")", [@Name])</v>
      </c>
      <c r="I44" t="str">
        <f ca="1">_xlfn.FORMULATEXT(OFFSET(tblPassengerNames[], , COLUMN(I44) - COLUMN($B$44), 1, 1))</f>
        <v>=IFERROR([@OpenParPos] - 2, LEN([@Name]))</v>
      </c>
      <c r="J44" t="str">
        <f ca="1">_xlfn.FORMULATEXT(OFFSET(tblPassengerNames[], , COLUMN(J44) - COLUMN($B$44), 1, 1))</f>
        <v>=MID([@Name], [@DotPos] + 2, [@EndOfConvFNPos] - [@DotPos] - 1)</v>
      </c>
      <c r="K44" t="str">
        <f ca="1">_xlfn.FORMULATEXT(OFFSET(tblPassengerNames[], , COLUMN(K44) - COLUMN($B$44), 1, 1))</f>
        <v>=MID([@Name], [@OpenParPos] + 1, [@CloseParPos] - [@OpenParPos] - 1)</v>
      </c>
      <c r="L44" t="str">
        <f ca="1">_xlfn.FORMULATEXT(OFFSET(tblPassengerNames[], , COLUMN(L44) - COLUMN($B$44), 1, 1))</f>
        <v>=IF(AND(LEFT([@InParentheses], 1) = "'", RIGHT([@InParentheses], 1) = "'"),
    #VALUE!,
    [@InParentheses]
)</v>
      </c>
      <c r="M44" t="str">
        <f ca="1">_xlfn.FORMULATEXT(OFFSET(tblPassengerNames[], , COLUMN(M44) - COLUMN($B$44), 1, 1))</f>
        <v>=LEN([@InParenthesesCleaned]) - LEN(SUBSTITUTE([@InParenthesesCleaned], " ", ""))</v>
      </c>
      <c r="N44" t="str">
        <f ca="1">_xlfn.FORMULATEXT(OFFSET(tblPassengerNames[], , COLUMN(N44) - COLUMN($B$44), 1, 1))</f>
        <v>=FIND("@", SUBSTITUTE([@InParenthesesCleaned], " ", "@", [@[P_NSpaces]]))</v>
      </c>
      <c r="O44" t="str">
        <f ca="1">_xlfn.FORMULATEXT(OFFSET(tblPassengerNames[], , COLUMN(O44) - COLUMN($B$44), 1, 1))</f>
        <v>=IF([@[P_NSpaces]] = 0,
    [@InParenthesesCleaned],
    LEFT([@InParenthesesCleaned], [@[P_FinalSpacePos]] - 1)
)</v>
      </c>
      <c r="P44" t="str">
        <f ca="1">_xlfn.FORMULATEXT(OFFSET(tblPassengerNames[], , COLUMN(P44) - COLUMN($B$44), 1, 1))</f>
        <v>=IFERROR([@[P_Forenames]], [@ConvForenames])</v>
      </c>
      <c r="Q44" t="str">
        <f ca="1">_xlfn.FORMULATEXT(OFFSET(tblPassengerNames[], , COLUMN(Q44) - COLUMN($B$44), 1, 1))</f>
        <v>=MID([@Name], [@CommaPos] + 2, [@DotPos] - [@CommaPos] - 1)</v>
      </c>
      <c r="R44" t="str">
        <f ca="1">_xlfn.FORMULATEXT(OFFSET(tblPassengerNames[], , COLUMN(R44) - COLUMN($B$44), 1, 1))</f>
        <v>=LEFT([@Name], [@CommaPos] - 1)</v>
      </c>
      <c r="S44" t="e">
        <f ca="1">_xlfn.FORMULATEXT(OFFSET(tblPassengerNames[], , COLUMN(S44) - COLUMN($B$44), 1, 1))</f>
        <v>#N/A</v>
      </c>
      <c r="T44" t="e">
        <f ca="1">_xlfn.FORMULATEXT(OFFSET(tblPassengerNames[], , COLUMN(T44) - COLUMN($B$44), 1, 1))</f>
        <v>#N/A</v>
      </c>
      <c r="U44" t="e">
        <f ca="1">_xlfn.FORMULATEXT(OFFSET(tblPassengerNames[], , COLUMN(U44) - COLUMN($B$44), 1, 1))</f>
        <v>#N/A</v>
      </c>
      <c r="V44" t="e">
        <f ca="1">_xlfn.FORMULATEXT(OFFSET(tblPassengerNames[], , COLUMN(V44) - COLUMN($B$44), 1, 1))</f>
        <v>#N/A</v>
      </c>
      <c r="W44" t="e">
        <f ca="1">_xlfn.FORMULATEXT(OFFSET(tblPassengerNames[], , COLUMN(W44) - COLUMN($B$44), 1, 1))</f>
        <v>#N/A</v>
      </c>
      <c r="X44" t="e">
        <f ca="1">_xlfn.FORMULATEXT(OFFSET(tblPassengerNames[], , COLUMN(X44) - COLUMN($B$44), 1, 1))</f>
        <v>#N/A</v>
      </c>
      <c r="Y44" t="e">
        <f ca="1">_xlfn.FORMULATEXT(OFFSET(tblPassengerNames[], , COLUMN(Y44) - COLUMN($B$44), 1, 1))</f>
        <v>#N/A</v>
      </c>
      <c r="Z44" t="e">
        <f ca="1">_xlfn.FORMULATEXT(OFFSET(tblPassengerNames[], , COLUMN(Z44) - COLUMN($B$44), 1, 1))</f>
        <v>#N/A</v>
      </c>
      <c r="AA44" t="e">
        <f ca="1">_xlfn.FORMULATEXT(OFFSET(tblPassengerNames[], , COLUMN(AA44) - COLUMN($B$44), 1, 1))</f>
        <v>#N/A</v>
      </c>
      <c r="AB44" t="e">
        <f ca="1">_xlfn.FORMULATEXT(OFFSET(tblPassengerNames[], , COLUMN(AB44) - COLUMN($B$44), 1, 1))</f>
        <v>#N/A</v>
      </c>
      <c r="AC44" t="e">
        <f ca="1">_xlfn.FORMULATEXT(OFFSET(tblPassengerNames[], , COLUMN(AC44) - COLUMN($B$44), 1, 1))</f>
        <v>#N/A</v>
      </c>
      <c r="AD44" t="e">
        <f ca="1">_xlfn.FORMULATEXT(OFFSET(tblPassengerNames[], , COLUMN(AD44) - COLUMN($B$44), 1, 1))</f>
        <v>#N/A</v>
      </c>
    </row>
    <row r="45" spans="1:30" x14ac:dyDescent="0.25">
      <c r="A45" s="19" t="s">
        <v>66</v>
      </c>
      <c r="B45" s="19" t="s">
        <v>3425</v>
      </c>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row>
    <row r="46" spans="1:30" x14ac:dyDescent="0.25">
      <c r="A46" t="s">
        <v>42</v>
      </c>
      <c r="B46" t="str">
        <f ca="1">ADDRESS(
    ROW(OFFSET(tblPassengerNames[Name], 0, 0, 1, 1)),
    COLUMN(OFFSET(tblPassengerNames[Name], 0, 0, 1, 1)),
    1
)</f>
        <v>$C$3</v>
      </c>
      <c r="C46" t="str">
        <f ca="1">ADDRESS(
    ROW(OFFSET(tblPassengerNames[Name], 0, 0, 1, 1)),
    COLUMN(OFFSET(tblPassengerNames[Name], 0, 0, 1, 1)),
    2
)</f>
        <v>C$3</v>
      </c>
      <c r="D46" t="str">
        <f ca="1">ADDRESS(
    ROW(OFFSET(tblPassengerNames[Name], 0, 0, 1, 1)),
    COLUMN(OFFSET(tblPassengerNames[Name], 0, 0, 1, 1)),
    3
)</f>
        <v>$C3</v>
      </c>
      <c r="E46" t="str">
        <f ca="1">ADDRESS(
    ROW(OFFSET(tblPassengerNames[Name], 0, 0, 1, 1)),
    COLUMN(OFFSET(tblPassengerNames[Name], 0, 0, 1, 1)),
    4
)</f>
        <v>C3</v>
      </c>
    </row>
    <row r="47" spans="1:30" x14ac:dyDescent="0.25">
      <c r="A47" s="19" t="s">
        <v>67</v>
      </c>
      <c r="B47" s="19" t="s">
        <v>3425</v>
      </c>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row>
    <row r="48" spans="1:30" x14ac:dyDescent="0.25">
      <c r="A48" s="19" t="s">
        <v>127</v>
      </c>
      <c r="B48" s="19" t="s">
        <v>3425</v>
      </c>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row>
    <row r="49" spans="1:30" x14ac:dyDescent="0.25">
      <c r="A49" t="str">
        <f ca="1">"Reference to table " &amp; answersTblName</f>
        <v>Reference to table tblAnswers</v>
      </c>
      <c r="B49" t="b">
        <f ca="1">AND(
    NOT(ISNUMBER(MATCH(B$42, tblCanRefAnsColnames[Column name], 0))),
    ISNUMBER(FIND(answersTblName, B$44))
)</f>
        <v>0</v>
      </c>
      <c r="C49" t="b">
        <f ca="1">AND(
    NOT(ISNUMBER(MATCH(C$42, tblCanRefAnsColnames[Column name], 0))),
    ISNUMBER(FIND(answersTblName, C$44))
)</f>
        <v>0</v>
      </c>
      <c r="D49" t="b">
        <f ca="1">AND(
    NOT(ISNUMBER(MATCH(D$42, tblCanRefAnsColnames[Column name], 0))),
    ISNUMBER(FIND(answersTblName, D$44))
)</f>
        <v>0</v>
      </c>
      <c r="E49" t="b">
        <f ca="1">AND(
    NOT(ISNUMBER(MATCH(E$42, tblCanRefAnsColnames[Column name], 0))),
    ISNUMBER(FIND(answersTblName, E$44))
)</f>
        <v>0</v>
      </c>
      <c r="F49" t="b">
        <f ca="1">AND(
    NOT(ISNUMBER(MATCH(F$42, tblCanRefAnsColnames[Column name], 0))),
    ISNUMBER(FIND(answersTblName, F$44))
)</f>
        <v>0</v>
      </c>
      <c r="G49" t="b">
        <f ca="1">AND(
    NOT(ISNUMBER(MATCH(G$42, tblCanRefAnsColnames[Column name], 0))),
    ISNUMBER(FIND(answersTblName, G$44))
)</f>
        <v>0</v>
      </c>
      <c r="H49" t="b">
        <f ca="1">AND(
    NOT(ISNUMBER(MATCH(H$42, tblCanRefAnsColnames[Column name], 0))),
    ISNUMBER(FIND(answersTblName, H$44))
)</f>
        <v>0</v>
      </c>
      <c r="I49" t="b">
        <f ca="1">AND(
    NOT(ISNUMBER(MATCH(I$42, tblCanRefAnsColnames[Column name], 0))),
    ISNUMBER(FIND(answersTblName, I$44))
)</f>
        <v>0</v>
      </c>
      <c r="J49" t="b">
        <f ca="1">AND(
    NOT(ISNUMBER(MATCH(J$42, tblCanRefAnsColnames[Column name], 0))),
    ISNUMBER(FIND(answersTblName, J$44))
)</f>
        <v>0</v>
      </c>
      <c r="K49" t="b">
        <f ca="1">AND(
    NOT(ISNUMBER(MATCH(K$42, tblCanRefAnsColnames[Column name], 0))),
    ISNUMBER(FIND(answersTblName, K$44))
)</f>
        <v>0</v>
      </c>
      <c r="L49" t="b">
        <f ca="1">AND(
    NOT(ISNUMBER(MATCH(L$42, tblCanRefAnsColnames[Column name], 0))),
    ISNUMBER(FIND(answersTblName, L$44))
)</f>
        <v>0</v>
      </c>
      <c r="M49" t="b">
        <f ca="1">AND(
    NOT(ISNUMBER(MATCH(M$42, tblCanRefAnsColnames[Column name], 0))),
    ISNUMBER(FIND(answersTblName, M$44))
)</f>
        <v>0</v>
      </c>
      <c r="N49" t="b">
        <f ca="1">AND(
    NOT(ISNUMBER(MATCH(N$42, tblCanRefAnsColnames[Column name], 0))),
    ISNUMBER(FIND(answersTblName, N$44))
)</f>
        <v>0</v>
      </c>
      <c r="O49" t="b">
        <f ca="1">AND(
    NOT(ISNUMBER(MATCH(O$42, tblCanRefAnsColnames[Column name], 0))),
    ISNUMBER(FIND(answersTblName, O$44))
)</f>
        <v>0</v>
      </c>
      <c r="P49" t="b">
        <f ca="1">AND(
    NOT(ISNUMBER(MATCH(P$42, tblCanRefAnsColnames[Column name], 0))),
    ISNUMBER(FIND(answersTblName, P$44))
)</f>
        <v>0</v>
      </c>
      <c r="Q49" t="b">
        <f ca="1">AND(
    NOT(ISNUMBER(MATCH(Q$42, tblCanRefAnsColnames[Column name], 0))),
    ISNUMBER(FIND(answersTblName, Q$44))
)</f>
        <v>0</v>
      </c>
      <c r="R49" t="b">
        <f ca="1">AND(
    NOT(ISNUMBER(MATCH(R$42, tblCanRefAnsColnames[Column name], 0))),
    ISNUMBER(FIND(answersTblName, R$44))
)</f>
        <v>0</v>
      </c>
      <c r="S49" t="b">
        <f ca="1">AND(
    NOT(ISNUMBER(MATCH(S$42, tblCanRefAnsColnames[Column name], 0))),
    ISNUMBER(FIND(answersTblName, S$44))
)</f>
        <v>0</v>
      </c>
      <c r="T49" t="b">
        <f ca="1">AND(
    NOT(ISNUMBER(MATCH(T$42, tblCanRefAnsColnames[Column name], 0))),
    ISNUMBER(FIND(answersTblName, T$44))
)</f>
        <v>0</v>
      </c>
      <c r="U49" t="b">
        <f ca="1">AND(
    NOT(ISNUMBER(MATCH(U$42, tblCanRefAnsColnames[Column name], 0))),
    ISNUMBER(FIND(answersTblName, U$44))
)</f>
        <v>0</v>
      </c>
      <c r="V49" t="b">
        <f ca="1">AND(
    NOT(ISNUMBER(MATCH(V$42, tblCanRefAnsColnames[Column name], 0))),
    ISNUMBER(FIND(answersTblName, V$44))
)</f>
        <v>0</v>
      </c>
      <c r="W49" t="b">
        <f ca="1">AND(
    NOT(ISNUMBER(MATCH(W$42, tblCanRefAnsColnames[Column name], 0))),
    ISNUMBER(FIND(answersTblName, W$44))
)</f>
        <v>0</v>
      </c>
      <c r="X49" t="b">
        <f ca="1">AND(
    NOT(ISNUMBER(MATCH(X$42, tblCanRefAnsColnames[Column name], 0))),
    ISNUMBER(FIND(answersTblName, X$44))
)</f>
        <v>0</v>
      </c>
      <c r="Y49" t="b">
        <f ca="1">AND(
    NOT(ISNUMBER(MATCH(Y$42, tblCanRefAnsColnames[Column name], 0))),
    ISNUMBER(FIND(answersTblName, Y$44))
)</f>
        <v>0</v>
      </c>
      <c r="Z49" t="b">
        <f ca="1">AND(
    NOT(ISNUMBER(MATCH(Z$42, tblCanRefAnsColnames[Column name], 0))),
    ISNUMBER(FIND(answersTblName, Z$44))
)</f>
        <v>0</v>
      </c>
      <c r="AA49" t="b">
        <f ca="1">AND(
    NOT(ISNUMBER(MATCH(AA$42, tblCanRefAnsColnames[Column name], 0))),
    ISNUMBER(FIND(answersTblName, AA$44))
)</f>
        <v>0</v>
      </c>
      <c r="AB49" t="b">
        <f ca="1">AND(
    NOT(ISNUMBER(MATCH(AB$42, tblCanRefAnsColnames[Column name], 0))),
    ISNUMBER(FIND(answersTblName, AB$44))
)</f>
        <v>0</v>
      </c>
      <c r="AC49" t="b">
        <f ca="1">AND(
    NOT(ISNUMBER(MATCH(AC$42, tblCanRefAnsColnames[Column name], 0))),
    ISNUMBER(FIND(answersTblName, AC$44))
)</f>
        <v>0</v>
      </c>
      <c r="AD49" t="b">
        <f ca="1">AND(
    NOT(ISNUMBER(MATCH(AD$42, tblCanRefAnsColnames[Column name], 0))),
    ISNUMBER(FIND(answersTblName, AD$44))
)</f>
        <v>0</v>
      </c>
    </row>
    <row r="50" spans="1:30" x14ac:dyDescent="0.25">
      <c r="A50" t="s">
        <v>46</v>
      </c>
      <c r="B50" cm="1">
        <f t="array" aca="1" ref="B50" ca="1">IF(COLUMN(B43) - COLUMN($B$43) + 1 &lt;= COUNTA(tblPassengerNames[#Headers]),
    IF(
        OR(
            AND(dataTblShtProtected, ISNUMBER(MATCH(B$42, tblLockedColnames_tblData[Column name], 0))),
            AND(NOT(dataTblShtProtected), ISNUMBER(MATCH(B$42, tblCanBeHardcodedColnames_tblData[Column name], 0)))
        ),
        0,
        SUMPRODUCT(SIGN(
            (IFERROR((ISBLANK(INDIRECT(dataTblName &amp; "[" &amp; B$42 &amp; "]")) + (LEN(INDIRECT(dataTblName &amp; "[" &amp; B$42 &amp; "]")) = 0)), 0) = 0)
            * ISERROR(_xlfn.FORMULATEXT(INDIRECT(dataTblName &amp; "[" &amp; B$42 &amp; "]")))
        ))
    ),
    #N/A
)</f>
        <v>0</v>
      </c>
      <c r="C50" cm="1">
        <f t="array" aca="1" ref="C50" ca="1">IF(COLUMN(C43) - COLUMN($B$43) + 1 &lt;= COUNTA(tblPassengerNames[#Headers]),
    IF(
        OR(
            AND(dataTblShtProtected, ISNUMBER(MATCH(C$42, tblLockedColnames_tblData[Column name], 0))),
            AND(NOT(dataTblShtProtected), ISNUMBER(MATCH(C$42, tblCanBeHardcodedColnames_tblData[Column name], 0)))
        ),
        0,
        SUMPRODUCT(SIGN(
            (IFERROR((ISBLANK(INDIRECT(dataTblName &amp; "[" &amp; C$42 &amp; "]")) + (LEN(INDIRECT(dataTblName &amp; "[" &amp; C$42 &amp; "]")) = 0)), 0) = 0)
            * ISERROR(_xlfn.FORMULATEXT(INDIRECT(dataTblName &amp; "[" &amp; C$42 &amp; "]")))
        ))
    ),
    #N/A
)</f>
        <v>0</v>
      </c>
      <c r="D50" cm="1">
        <f t="array" aca="1" ref="D50" ca="1">IF(COLUMN(D43) - COLUMN($B$43) + 1 &lt;= COUNTA(tblPassengerNames[#Headers]),
    IF(
        OR(
            AND(dataTblShtProtected, ISNUMBER(MATCH(D$42, tblLockedColnames_tblData[Column name], 0))),
            AND(NOT(dataTblShtProtected), ISNUMBER(MATCH(D$42, tblCanBeHardcodedColnames_tblData[Column name], 0)))
        ),
        0,
        SUMPRODUCT(SIGN(
            (IFERROR((ISBLANK(INDIRECT(dataTblName &amp; "[" &amp; D$42 &amp; "]")) + (LEN(INDIRECT(dataTblName &amp; "[" &amp; D$42 &amp; "]")) = 0)), 0) = 0)
            * ISERROR(_xlfn.FORMULATEXT(INDIRECT(dataTblName &amp; "[" &amp; D$42 &amp; "]")))
        ))
    ),
    #N/A
)</f>
        <v>0</v>
      </c>
      <c r="E50" cm="1">
        <f t="array" aca="1" ref="E50" ca="1">IF(COLUMN(E43) - COLUMN($B$43) + 1 &lt;= COUNTA(tblPassengerNames[#Headers]),
    IF(
        OR(
            AND(dataTblShtProtected, ISNUMBER(MATCH(E$42, tblLockedColnames_tblData[Column name], 0))),
            AND(NOT(dataTblShtProtected), ISNUMBER(MATCH(E$42, tblCanBeHardcodedColnames_tblData[Column name], 0)))
        ),
        0,
        SUMPRODUCT(SIGN(
            (IFERROR((ISBLANK(INDIRECT(dataTblName &amp; "[" &amp; E$42 &amp; "]")) + (LEN(INDIRECT(dataTblName &amp; "[" &amp; E$42 &amp; "]")) = 0)), 0) = 0)
            * ISERROR(_xlfn.FORMULATEXT(INDIRECT(dataTblName &amp; "[" &amp; E$42 &amp; "]")))
        ))
    ),
    #N/A
)</f>
        <v>0</v>
      </c>
      <c r="F50" cm="1">
        <f t="array" aca="1" ref="F50" ca="1">IF(COLUMN(F43) - COLUMN($B$43) + 1 &lt;= COUNTA(tblPassengerNames[#Headers]),
    IF(
        OR(
            AND(dataTblShtProtected, ISNUMBER(MATCH(F$42, tblLockedColnames_tblData[Column name], 0))),
            AND(NOT(dataTblShtProtected), ISNUMBER(MATCH(F$42, tblCanBeHardcodedColnames_tblData[Column name], 0)))
        ),
        0,
        SUMPRODUCT(SIGN(
            (IFERROR((ISBLANK(INDIRECT(dataTblName &amp; "[" &amp; F$42 &amp; "]")) + (LEN(INDIRECT(dataTblName &amp; "[" &amp; F$42 &amp; "]")) = 0)), 0) = 0)
            * ISERROR(_xlfn.FORMULATEXT(INDIRECT(dataTblName &amp; "[" &amp; F$42 &amp; "]")))
        ))
    ),
    #N/A
)</f>
        <v>0</v>
      </c>
      <c r="G50" cm="1">
        <f t="array" aca="1" ref="G50" ca="1">IF(COLUMN(G43) - COLUMN($B$43) + 1 &lt;= COUNTA(tblPassengerNames[#Headers]),
    IF(
        OR(
            AND(dataTblShtProtected, ISNUMBER(MATCH(G$42, tblLockedColnames_tblData[Column name], 0))),
            AND(NOT(dataTblShtProtected), ISNUMBER(MATCH(G$42, tblCanBeHardcodedColnames_tblData[Column name], 0)))
        ),
        0,
        SUMPRODUCT(SIGN(
            (IFERROR((ISBLANK(INDIRECT(dataTblName &amp; "[" &amp; G$42 &amp; "]")) + (LEN(INDIRECT(dataTblName &amp; "[" &amp; G$42 &amp; "]")) = 0)), 0) = 0)
            * ISERROR(_xlfn.FORMULATEXT(INDIRECT(dataTblName &amp; "[" &amp; G$42 &amp; "]")))
        ))
    ),
    #N/A
)</f>
        <v>0</v>
      </c>
      <c r="H50" cm="1">
        <f t="array" aca="1" ref="H50" ca="1">IF(COLUMN(H43) - COLUMN($B$43) + 1 &lt;= COUNTA(tblPassengerNames[#Headers]),
    IF(
        OR(
            AND(dataTblShtProtected, ISNUMBER(MATCH(H$42, tblLockedColnames_tblData[Column name], 0))),
            AND(NOT(dataTblShtProtected), ISNUMBER(MATCH(H$42, tblCanBeHardcodedColnames_tblData[Column name], 0)))
        ),
        0,
        SUMPRODUCT(SIGN(
            (IFERROR((ISBLANK(INDIRECT(dataTblName &amp; "[" &amp; H$42 &amp; "]")) + (LEN(INDIRECT(dataTblName &amp; "[" &amp; H$42 &amp; "]")) = 0)), 0) = 0)
            * ISERROR(_xlfn.FORMULATEXT(INDIRECT(dataTblName &amp; "[" &amp; H$42 &amp; "]")))
        ))
    ),
    #N/A
)</f>
        <v>0</v>
      </c>
      <c r="I50" cm="1">
        <f t="array" aca="1" ref="I50" ca="1">IF(COLUMN(I43) - COLUMN($B$43) + 1 &lt;= COUNTA(tblPassengerNames[#Headers]),
    IF(
        OR(
            AND(dataTblShtProtected, ISNUMBER(MATCH(I$42, tblLockedColnames_tblData[Column name], 0))),
            AND(NOT(dataTblShtProtected), ISNUMBER(MATCH(I$42, tblCanBeHardcodedColnames_tblData[Column name], 0)))
        ),
        0,
        SUMPRODUCT(SIGN(
            (IFERROR((ISBLANK(INDIRECT(dataTblName &amp; "[" &amp; I$42 &amp; "]")) + (LEN(INDIRECT(dataTblName &amp; "[" &amp; I$42 &amp; "]")) = 0)), 0) = 0)
            * ISERROR(_xlfn.FORMULATEXT(INDIRECT(dataTblName &amp; "[" &amp; I$42 &amp; "]")))
        ))
    ),
    #N/A
)</f>
        <v>0</v>
      </c>
      <c r="J50" cm="1">
        <f t="array" aca="1" ref="J50" ca="1">IF(COLUMN(J43) - COLUMN($B$43) + 1 &lt;= COUNTA(tblPassengerNames[#Headers]),
    IF(
        OR(
            AND(dataTblShtProtected, ISNUMBER(MATCH(J$42, tblLockedColnames_tblData[Column name], 0))),
            AND(NOT(dataTblShtProtected), ISNUMBER(MATCH(J$42, tblCanBeHardcodedColnames_tblData[Column name], 0)))
        ),
        0,
        SUMPRODUCT(SIGN(
            (IFERROR((ISBLANK(INDIRECT(dataTblName &amp; "[" &amp; J$42 &amp; "]")) + (LEN(INDIRECT(dataTblName &amp; "[" &amp; J$42 &amp; "]")) = 0)), 0) = 0)
            * ISERROR(_xlfn.FORMULATEXT(INDIRECT(dataTblName &amp; "[" &amp; J$42 &amp; "]")))
        ))
    ),
    #N/A
)</f>
        <v>0</v>
      </c>
      <c r="K50" cm="1">
        <f t="array" aca="1" ref="K50" ca="1">IF(COLUMN(K43) - COLUMN($B$43) + 1 &lt;= COUNTA(tblPassengerNames[#Headers]),
    IF(
        OR(
            AND(dataTblShtProtected, ISNUMBER(MATCH(K$42, tblLockedColnames_tblData[Column name], 0))),
            AND(NOT(dataTblShtProtected), ISNUMBER(MATCH(K$42, tblCanBeHardcodedColnames_tblData[Column name], 0)))
        ),
        0,
        SUMPRODUCT(SIGN(
            (IFERROR((ISBLANK(INDIRECT(dataTblName &amp; "[" &amp; K$42 &amp; "]")) + (LEN(INDIRECT(dataTblName &amp; "[" &amp; K$42 &amp; "]")) = 0)), 0) = 0)
            * ISERROR(_xlfn.FORMULATEXT(INDIRECT(dataTblName &amp; "[" &amp; K$42 &amp; "]")))
        ))
    ),
    #N/A
)</f>
        <v>0</v>
      </c>
      <c r="L50" cm="1">
        <f t="array" aca="1" ref="L50" ca="1">IF(COLUMN(L43) - COLUMN($B$43) + 1 &lt;= COUNTA(tblPassengerNames[#Headers]),
    IF(
        OR(
            AND(dataTblShtProtected, ISNUMBER(MATCH(L$42, tblLockedColnames_tblData[Column name], 0))),
            AND(NOT(dataTblShtProtected), ISNUMBER(MATCH(L$42, tblCanBeHardcodedColnames_tblData[Column name], 0)))
        ),
        0,
        SUMPRODUCT(SIGN(
            (IFERROR((ISBLANK(INDIRECT(dataTblName &amp; "[" &amp; L$42 &amp; "]")) + (LEN(INDIRECT(dataTblName &amp; "[" &amp; L$42 &amp; "]")) = 0)), 0) = 0)
            * ISERROR(_xlfn.FORMULATEXT(INDIRECT(dataTblName &amp; "[" &amp; L$42 &amp; "]")))
        ))
    ),
    #N/A
)</f>
        <v>0</v>
      </c>
      <c r="M50" cm="1">
        <f t="array" aca="1" ref="M50" ca="1">IF(COLUMN(M43) - COLUMN($B$43) + 1 &lt;= COUNTA(tblPassengerNames[#Headers]),
    IF(
        OR(
            AND(dataTblShtProtected, ISNUMBER(MATCH(M$42, tblLockedColnames_tblData[Column name], 0))),
            AND(NOT(dataTblShtProtected), ISNUMBER(MATCH(M$42, tblCanBeHardcodedColnames_tblData[Column name], 0)))
        ),
        0,
        SUMPRODUCT(SIGN(
            (IFERROR((ISBLANK(INDIRECT(dataTblName &amp; "[" &amp; M$42 &amp; "]")) + (LEN(INDIRECT(dataTblName &amp; "[" &amp; M$42 &amp; "]")) = 0)), 0) = 0)
            * ISERROR(_xlfn.FORMULATEXT(INDIRECT(dataTblName &amp; "[" &amp; M$42 &amp; "]")))
        ))
    ),
    #N/A
)</f>
        <v>0</v>
      </c>
      <c r="N50" cm="1">
        <f t="array" aca="1" ref="N50" ca="1">IF(COLUMN(N43) - COLUMN($B$43) + 1 &lt;= COUNTA(tblPassengerNames[#Headers]),
    IF(
        OR(
            AND(dataTblShtProtected, ISNUMBER(MATCH(N$42, tblLockedColnames_tblData[Column name], 0))),
            AND(NOT(dataTblShtProtected), ISNUMBER(MATCH(N$42, tblCanBeHardcodedColnames_tblData[Column name], 0)))
        ),
        0,
        SUMPRODUCT(SIGN(
            (IFERROR((ISBLANK(INDIRECT(dataTblName &amp; "[" &amp; N$42 &amp; "]")) + (LEN(INDIRECT(dataTblName &amp; "[" &amp; N$42 &amp; "]")) = 0)), 0) = 0)
            * ISERROR(_xlfn.FORMULATEXT(INDIRECT(dataTblName &amp; "[" &amp; N$42 &amp; "]")))
        ))
    ),
    #N/A
)</f>
        <v>0</v>
      </c>
      <c r="O50" cm="1">
        <f t="array" aca="1" ref="O50" ca="1">IF(COLUMN(O43) - COLUMN($B$43) + 1 &lt;= COUNTA(tblPassengerNames[#Headers]),
    IF(
        OR(
            AND(dataTblShtProtected, ISNUMBER(MATCH(O$42, tblLockedColnames_tblData[Column name], 0))),
            AND(NOT(dataTblShtProtected), ISNUMBER(MATCH(O$42, tblCanBeHardcodedColnames_tblData[Column name], 0)))
        ),
        0,
        SUMPRODUCT(SIGN(
            (IFERROR((ISBLANK(INDIRECT(dataTblName &amp; "[" &amp; O$42 &amp; "]")) + (LEN(INDIRECT(dataTblName &amp; "[" &amp; O$42 &amp; "]")) = 0)), 0) = 0)
            * ISERROR(_xlfn.FORMULATEXT(INDIRECT(dataTblName &amp; "[" &amp; O$42 &amp; "]")))
        ))
    ),
    #N/A
)</f>
        <v>0</v>
      </c>
      <c r="P50" cm="1">
        <f t="array" aca="1" ref="P50" ca="1">IF(COLUMN(P43) - COLUMN($B$43) + 1 &lt;= COUNTA(tblPassengerNames[#Headers]),
    IF(
        OR(
            AND(dataTblShtProtected, ISNUMBER(MATCH(P$42, tblLockedColnames_tblData[Column name], 0))),
            AND(NOT(dataTblShtProtected), ISNUMBER(MATCH(P$42, tblCanBeHardcodedColnames_tblData[Column name], 0)))
        ),
        0,
        SUMPRODUCT(SIGN(
            (IFERROR((ISBLANK(INDIRECT(dataTblName &amp; "[" &amp; P$42 &amp; "]")) + (LEN(INDIRECT(dataTblName &amp; "[" &amp; P$42 &amp; "]")) = 0)), 0) = 0)
            * ISERROR(_xlfn.FORMULATEXT(INDIRECT(dataTblName &amp; "[" &amp; P$42 &amp; "]")))
        ))
    ),
    #N/A
)</f>
        <v>0</v>
      </c>
      <c r="Q50" cm="1">
        <f t="array" aca="1" ref="Q50" ca="1">IF(COLUMN(Q43) - COLUMN($B$43) + 1 &lt;= COUNTA(tblPassengerNames[#Headers]),
    IF(
        OR(
            AND(dataTblShtProtected, ISNUMBER(MATCH(Q$42, tblLockedColnames_tblData[Column name], 0))),
            AND(NOT(dataTblShtProtected), ISNUMBER(MATCH(Q$42, tblCanBeHardcodedColnames_tblData[Column name], 0)))
        ),
        0,
        SUMPRODUCT(SIGN(
            (IFERROR((ISBLANK(INDIRECT(dataTblName &amp; "[" &amp; Q$42 &amp; "]")) + (LEN(INDIRECT(dataTblName &amp; "[" &amp; Q$42 &amp; "]")) = 0)), 0) = 0)
            * ISERROR(_xlfn.FORMULATEXT(INDIRECT(dataTblName &amp; "[" &amp; Q$42 &amp; "]")))
        ))
    ),
    #N/A
)</f>
        <v>0</v>
      </c>
      <c r="R50" cm="1">
        <f t="array" aca="1" ref="R50" ca="1">IF(COLUMN(R43) - COLUMN($B$43) + 1 &lt;= COUNTA(tblPassengerNames[#Headers]),
    IF(
        OR(
            AND(dataTblShtProtected, ISNUMBER(MATCH(R$42, tblLockedColnames_tblData[Column name], 0))),
            AND(NOT(dataTblShtProtected), ISNUMBER(MATCH(R$42, tblCanBeHardcodedColnames_tblData[Column name], 0)))
        ),
        0,
        SUMPRODUCT(SIGN(
            (IFERROR((ISBLANK(INDIRECT(dataTblName &amp; "[" &amp; R$42 &amp; "]")) + (LEN(INDIRECT(dataTblName &amp; "[" &amp; R$42 &amp; "]")) = 0)), 0) = 0)
            * ISERROR(_xlfn.FORMULATEXT(INDIRECT(dataTblName &amp; "[" &amp; R$42 &amp; "]")))
        ))
    ),
    #N/A
)</f>
        <v>0</v>
      </c>
      <c r="S50" t="e" cm="1">
        <f t="array" aca="1" ref="S50" ca="1">IF(COLUMN(S43) - COLUMN($B$43) + 1 &lt;= COUNTA(tblPassengerNames[#Headers]),
    IF(
        OR(
            AND(dataTblShtProtected, ISNUMBER(MATCH(S$42, tblLockedColnames_tblData[Column name], 0))),
            AND(NOT(dataTblShtProtected), ISNUMBER(MATCH(S$42, tblCanBeHardcodedColnames_tblData[Column name], 0)))
        ),
        0,
        SUMPRODUCT(SIGN(
            (IFERROR((ISBLANK(INDIRECT(dataTblName &amp; "[" &amp; S$42 &amp; "]")) + (LEN(INDIRECT(dataTblName &amp; "[" &amp; S$42 &amp; "]")) = 0)), 0) = 0)
            * ISERROR(_xlfn.FORMULATEXT(INDIRECT(dataTblName &amp; "[" &amp; S$42 &amp; "]")))
        ))
    ),
    #N/A
)</f>
        <v>#N/A</v>
      </c>
      <c r="T50" t="e" cm="1">
        <f t="array" aca="1" ref="T50" ca="1">IF(COLUMN(T43) - COLUMN($B$43) + 1 &lt;= COUNTA(tblPassengerNames[#Headers]),
    IF(
        OR(
            AND(dataTblShtProtected, ISNUMBER(MATCH(T$42, tblLockedColnames_tblData[Column name], 0))),
            AND(NOT(dataTblShtProtected), ISNUMBER(MATCH(T$42, tblCanBeHardcodedColnames_tblData[Column name], 0)))
        ),
        0,
        SUMPRODUCT(SIGN(
            (IFERROR((ISBLANK(INDIRECT(dataTblName &amp; "[" &amp; T$42 &amp; "]")) + (LEN(INDIRECT(dataTblName &amp; "[" &amp; T$42 &amp; "]")) = 0)), 0) = 0)
            * ISERROR(_xlfn.FORMULATEXT(INDIRECT(dataTblName &amp; "[" &amp; T$42 &amp; "]")))
        ))
    ),
    #N/A
)</f>
        <v>#N/A</v>
      </c>
      <c r="U50" t="e" cm="1">
        <f t="array" aca="1" ref="U50" ca="1">IF(COLUMN(U43) - COLUMN($B$43) + 1 &lt;= COUNTA(tblPassengerNames[#Headers]),
    IF(
        OR(
            AND(dataTblShtProtected, ISNUMBER(MATCH(U$42, tblLockedColnames_tblData[Column name], 0))),
            AND(NOT(dataTblShtProtected), ISNUMBER(MATCH(U$42, tblCanBeHardcodedColnames_tblData[Column name], 0)))
        ),
        0,
        SUMPRODUCT(SIGN(
            (IFERROR((ISBLANK(INDIRECT(dataTblName &amp; "[" &amp; U$42 &amp; "]")) + (LEN(INDIRECT(dataTblName &amp; "[" &amp; U$42 &amp; "]")) = 0)), 0) = 0)
            * ISERROR(_xlfn.FORMULATEXT(INDIRECT(dataTblName &amp; "[" &amp; U$42 &amp; "]")))
        ))
    ),
    #N/A
)</f>
        <v>#N/A</v>
      </c>
      <c r="V50" t="e" cm="1">
        <f t="array" aca="1" ref="V50" ca="1">IF(COLUMN(V43) - COLUMN($B$43) + 1 &lt;= COUNTA(tblPassengerNames[#Headers]),
    IF(
        OR(
            AND(dataTblShtProtected, ISNUMBER(MATCH(V$42, tblLockedColnames_tblData[Column name], 0))),
            AND(NOT(dataTblShtProtected), ISNUMBER(MATCH(V$42, tblCanBeHardcodedColnames_tblData[Column name], 0)))
        ),
        0,
        SUMPRODUCT(SIGN(
            (IFERROR((ISBLANK(INDIRECT(dataTblName &amp; "[" &amp; V$42 &amp; "]")) + (LEN(INDIRECT(dataTblName &amp; "[" &amp; V$42 &amp; "]")) = 0)), 0) = 0)
            * ISERROR(_xlfn.FORMULATEXT(INDIRECT(dataTblName &amp; "[" &amp; V$42 &amp; "]")))
        ))
    ),
    #N/A
)</f>
        <v>#N/A</v>
      </c>
      <c r="W50" t="e" cm="1">
        <f t="array" aca="1" ref="W50" ca="1">IF(COLUMN(W43) - COLUMN($B$43) + 1 &lt;= COUNTA(tblPassengerNames[#Headers]),
    IF(
        OR(
            AND(dataTblShtProtected, ISNUMBER(MATCH(W$42, tblLockedColnames_tblData[Column name], 0))),
            AND(NOT(dataTblShtProtected), ISNUMBER(MATCH(W$42, tblCanBeHardcodedColnames_tblData[Column name], 0)))
        ),
        0,
        SUMPRODUCT(SIGN(
            (IFERROR((ISBLANK(INDIRECT(dataTblName &amp; "[" &amp; W$42 &amp; "]")) + (LEN(INDIRECT(dataTblName &amp; "[" &amp; W$42 &amp; "]")) = 0)), 0) = 0)
            * ISERROR(_xlfn.FORMULATEXT(INDIRECT(dataTblName &amp; "[" &amp; W$42 &amp; "]")))
        ))
    ),
    #N/A
)</f>
        <v>#N/A</v>
      </c>
      <c r="X50" t="e" cm="1">
        <f t="array" aca="1" ref="X50" ca="1">IF(COLUMN(X43) - COLUMN($B$43) + 1 &lt;= COUNTA(tblPassengerNames[#Headers]),
    IF(
        OR(
            AND(dataTblShtProtected, ISNUMBER(MATCH(X$42, tblLockedColnames_tblData[Column name], 0))),
            AND(NOT(dataTblShtProtected), ISNUMBER(MATCH(X$42, tblCanBeHardcodedColnames_tblData[Column name], 0)))
        ),
        0,
        SUMPRODUCT(SIGN(
            (IFERROR((ISBLANK(INDIRECT(dataTblName &amp; "[" &amp; X$42 &amp; "]")) + (LEN(INDIRECT(dataTblName &amp; "[" &amp; X$42 &amp; "]")) = 0)), 0) = 0)
            * ISERROR(_xlfn.FORMULATEXT(INDIRECT(dataTblName &amp; "[" &amp; X$42 &amp; "]")))
        ))
    ),
    #N/A
)</f>
        <v>#N/A</v>
      </c>
      <c r="Y50" t="e" cm="1">
        <f t="array" aca="1" ref="Y50" ca="1">IF(COLUMN(Y43) - COLUMN($B$43) + 1 &lt;= COUNTA(tblPassengerNames[#Headers]),
    IF(
        OR(
            AND(dataTblShtProtected, ISNUMBER(MATCH(Y$42, tblLockedColnames_tblData[Column name], 0))),
            AND(NOT(dataTblShtProtected), ISNUMBER(MATCH(Y$42, tblCanBeHardcodedColnames_tblData[Column name], 0)))
        ),
        0,
        SUMPRODUCT(SIGN(
            (IFERROR((ISBLANK(INDIRECT(dataTblName &amp; "[" &amp; Y$42 &amp; "]")) + (LEN(INDIRECT(dataTblName &amp; "[" &amp; Y$42 &amp; "]")) = 0)), 0) = 0)
            * ISERROR(_xlfn.FORMULATEXT(INDIRECT(dataTblName &amp; "[" &amp; Y$42 &amp; "]")))
        ))
    ),
    #N/A
)</f>
        <v>#N/A</v>
      </c>
      <c r="Z50" t="e" cm="1">
        <f t="array" aca="1" ref="Z50" ca="1">IF(COLUMN(Z43) - COLUMN($B$43) + 1 &lt;= COUNTA(tblPassengerNames[#Headers]),
    IF(
        OR(
            AND(dataTblShtProtected, ISNUMBER(MATCH(Z$42, tblLockedColnames_tblData[Column name], 0))),
            AND(NOT(dataTblShtProtected), ISNUMBER(MATCH(Z$42, tblCanBeHardcodedColnames_tblData[Column name], 0)))
        ),
        0,
        SUMPRODUCT(SIGN(
            (IFERROR((ISBLANK(INDIRECT(dataTblName &amp; "[" &amp; Z$42 &amp; "]")) + (LEN(INDIRECT(dataTblName &amp; "[" &amp; Z$42 &amp; "]")) = 0)), 0) = 0)
            * ISERROR(_xlfn.FORMULATEXT(INDIRECT(dataTblName &amp; "[" &amp; Z$42 &amp; "]")))
        ))
    ),
    #N/A
)</f>
        <v>#N/A</v>
      </c>
      <c r="AA50" t="e" cm="1">
        <f t="array" aca="1" ref="AA50" ca="1">IF(COLUMN(AA43) - COLUMN($B$43) + 1 &lt;= COUNTA(tblPassengerNames[#Headers]),
    IF(
        OR(
            AND(dataTblShtProtected, ISNUMBER(MATCH(AA$42, tblLockedColnames_tblData[Column name], 0))),
            AND(NOT(dataTblShtProtected), ISNUMBER(MATCH(AA$42, tblCanBeHardcodedColnames_tblData[Column name], 0)))
        ),
        0,
        SUMPRODUCT(SIGN(
            (IFERROR((ISBLANK(INDIRECT(dataTblName &amp; "[" &amp; AA$42 &amp; "]")) + (LEN(INDIRECT(dataTblName &amp; "[" &amp; AA$42 &amp; "]")) = 0)), 0) = 0)
            * ISERROR(_xlfn.FORMULATEXT(INDIRECT(dataTblName &amp; "[" &amp; AA$42 &amp; "]")))
        ))
    ),
    #N/A
)</f>
        <v>#N/A</v>
      </c>
      <c r="AB50" t="e" cm="1">
        <f t="array" aca="1" ref="AB50" ca="1">IF(COLUMN(AB43) - COLUMN($B$43) + 1 &lt;= COUNTA(tblPassengerNames[#Headers]),
    IF(
        OR(
            AND(dataTblShtProtected, ISNUMBER(MATCH(AB$42, tblLockedColnames_tblData[Column name], 0))),
            AND(NOT(dataTblShtProtected), ISNUMBER(MATCH(AB$42, tblCanBeHardcodedColnames_tblData[Column name], 0)))
        ),
        0,
        SUMPRODUCT(SIGN(
            (IFERROR((ISBLANK(INDIRECT(dataTblName &amp; "[" &amp; AB$42 &amp; "]")) + (LEN(INDIRECT(dataTblName &amp; "[" &amp; AB$42 &amp; "]")) = 0)), 0) = 0)
            * ISERROR(_xlfn.FORMULATEXT(INDIRECT(dataTblName &amp; "[" &amp; AB$42 &amp; "]")))
        ))
    ),
    #N/A
)</f>
        <v>#N/A</v>
      </c>
      <c r="AC50" t="e" cm="1">
        <f t="array" aca="1" ref="AC50" ca="1">IF(COLUMN(AC43) - COLUMN($B$43) + 1 &lt;= COUNTA(tblPassengerNames[#Headers]),
    IF(
        OR(
            AND(dataTblShtProtected, ISNUMBER(MATCH(AC$42, tblLockedColnames_tblData[Column name], 0))),
            AND(NOT(dataTblShtProtected), ISNUMBER(MATCH(AC$42, tblCanBeHardcodedColnames_tblData[Column name], 0)))
        ),
        0,
        SUMPRODUCT(SIGN(
            (IFERROR((ISBLANK(INDIRECT(dataTblName &amp; "[" &amp; AC$42 &amp; "]")) + (LEN(INDIRECT(dataTblName &amp; "[" &amp; AC$42 &amp; "]")) = 0)), 0) = 0)
            * ISERROR(_xlfn.FORMULATEXT(INDIRECT(dataTblName &amp; "[" &amp; AC$42 &amp; "]")))
        ))
    ),
    #N/A
)</f>
        <v>#N/A</v>
      </c>
      <c r="AD50" t="e" cm="1">
        <f t="array" aca="1" ref="AD50" ca="1">IF(COLUMN(AD43) - COLUMN($B$43) + 1 &lt;= COUNTA(tblPassengerNames[#Headers]),
    IF(
        OR(
            AND(dataTblShtProtected, ISNUMBER(MATCH(AD$42, tblLockedColnames_tblData[Column name], 0))),
            AND(NOT(dataTblShtProtected), ISNUMBER(MATCH(AD$42, tblCanBeHardcodedColnames_tblData[Column name], 0)))
        ),
        0,
        SUMPRODUCT(SIGN(
            (IFERROR((ISBLANK(INDIRECT(dataTblName &amp; "[" &amp; AD$42 &amp; "]")) + (LEN(INDIRECT(dataTblName &amp; "[" &amp; AD$42 &amp; "]")) = 0)), 0) = 0)
            * ISERROR(_xlfn.FORMULATEXT(INDIRECT(dataTblName &amp; "[" &amp; AD$42 &amp; "]")))
        ))
    ),
    #N/A
)</f>
        <v>#N/A</v>
      </c>
    </row>
    <row r="51" spans="1:30" x14ac:dyDescent="0.25">
      <c r="A51" t="s">
        <v>3421</v>
      </c>
      <c r="B51" t="b">
        <f ca="1">B50 &gt; 0</f>
        <v>0</v>
      </c>
      <c r="C51" t="b">
        <f t="shared" ref="C51:AD51" ca="1" si="0">C50 &gt; 0</f>
        <v>0</v>
      </c>
      <c r="D51" t="b">
        <f t="shared" ca="1" si="0"/>
        <v>0</v>
      </c>
      <c r="E51" t="b">
        <f t="shared" ca="1" si="0"/>
        <v>0</v>
      </c>
      <c r="F51" t="b">
        <f t="shared" ca="1" si="0"/>
        <v>0</v>
      </c>
      <c r="G51" t="b">
        <f t="shared" ca="1" si="0"/>
        <v>0</v>
      </c>
      <c r="H51" t="b">
        <f t="shared" ca="1" si="0"/>
        <v>0</v>
      </c>
      <c r="I51" t="b">
        <f t="shared" ca="1" si="0"/>
        <v>0</v>
      </c>
      <c r="J51" t="b">
        <f t="shared" ca="1" si="0"/>
        <v>0</v>
      </c>
      <c r="K51" t="b">
        <f t="shared" ca="1" si="0"/>
        <v>0</v>
      </c>
      <c r="L51" t="b">
        <f t="shared" ca="1" si="0"/>
        <v>0</v>
      </c>
      <c r="M51" t="b">
        <f t="shared" ca="1" si="0"/>
        <v>0</v>
      </c>
      <c r="N51" t="b">
        <f t="shared" ca="1" si="0"/>
        <v>0</v>
      </c>
      <c r="O51" t="b">
        <f t="shared" ca="1" si="0"/>
        <v>0</v>
      </c>
      <c r="P51" t="b">
        <f t="shared" ca="1" si="0"/>
        <v>0</v>
      </c>
      <c r="Q51" t="b">
        <f t="shared" ca="1" si="0"/>
        <v>0</v>
      </c>
      <c r="R51" t="b">
        <f t="shared" ca="1" si="0"/>
        <v>0</v>
      </c>
      <c r="S51" t="e">
        <f t="shared" ca="1" si="0"/>
        <v>#N/A</v>
      </c>
      <c r="T51" t="e">
        <f t="shared" ca="1" si="0"/>
        <v>#N/A</v>
      </c>
      <c r="U51" t="e">
        <f t="shared" ca="1" si="0"/>
        <v>#N/A</v>
      </c>
      <c r="V51" t="e">
        <f t="shared" ca="1" si="0"/>
        <v>#N/A</v>
      </c>
      <c r="W51" t="e">
        <f t="shared" ca="1" si="0"/>
        <v>#N/A</v>
      </c>
      <c r="X51" t="e">
        <f t="shared" ca="1" si="0"/>
        <v>#N/A</v>
      </c>
      <c r="Y51" t="e">
        <f t="shared" ca="1" si="0"/>
        <v>#N/A</v>
      </c>
      <c r="Z51" t="e">
        <f t="shared" ca="1" si="0"/>
        <v>#N/A</v>
      </c>
      <c r="AA51" t="e">
        <f t="shared" ca="1" si="0"/>
        <v>#N/A</v>
      </c>
      <c r="AB51" t="e">
        <f t="shared" ca="1" si="0"/>
        <v>#N/A</v>
      </c>
      <c r="AC51" t="e">
        <f t="shared" ca="1" si="0"/>
        <v>#N/A</v>
      </c>
      <c r="AD51" t="e">
        <f t="shared" ca="1" si="0"/>
        <v>#N/A</v>
      </c>
    </row>
    <row r="52" spans="1:30" x14ac:dyDescent="0.25">
      <c r="A52" t="s">
        <v>112</v>
      </c>
      <c r="B52" t="b">
        <f t="shared" ref="B52" ca="1" si="1">ISERROR(B50)</f>
        <v>0</v>
      </c>
      <c r="C52" t="b">
        <f t="shared" ref="C52:AD52" ca="1" si="2">ISERROR(C50)</f>
        <v>0</v>
      </c>
      <c r="D52" t="b">
        <f t="shared" ca="1" si="2"/>
        <v>0</v>
      </c>
      <c r="E52" t="b">
        <f t="shared" ca="1" si="2"/>
        <v>0</v>
      </c>
      <c r="F52" t="b">
        <f t="shared" ca="1" si="2"/>
        <v>0</v>
      </c>
      <c r="G52" t="b">
        <f t="shared" ca="1" si="2"/>
        <v>0</v>
      </c>
      <c r="H52" t="b">
        <f t="shared" ca="1" si="2"/>
        <v>0</v>
      </c>
      <c r="I52" t="b">
        <f t="shared" ca="1" si="2"/>
        <v>0</v>
      </c>
      <c r="J52" t="b">
        <f t="shared" ca="1" si="2"/>
        <v>0</v>
      </c>
      <c r="K52" t="b">
        <f t="shared" ca="1" si="2"/>
        <v>0</v>
      </c>
      <c r="L52" t="b">
        <f t="shared" ca="1" si="2"/>
        <v>0</v>
      </c>
      <c r="M52" t="b">
        <f t="shared" ca="1" si="2"/>
        <v>0</v>
      </c>
      <c r="N52" t="b">
        <f t="shared" ca="1" si="2"/>
        <v>0</v>
      </c>
      <c r="O52" t="b">
        <f t="shared" ca="1" si="2"/>
        <v>0</v>
      </c>
      <c r="P52" t="b">
        <f t="shared" ca="1" si="2"/>
        <v>0</v>
      </c>
      <c r="Q52" t="b">
        <f t="shared" ca="1" si="2"/>
        <v>0</v>
      </c>
      <c r="R52" t="b">
        <f t="shared" ca="1" si="2"/>
        <v>0</v>
      </c>
      <c r="S52" t="b">
        <f t="shared" ca="1" si="2"/>
        <v>1</v>
      </c>
      <c r="T52" t="b">
        <f t="shared" ca="1" si="2"/>
        <v>1</v>
      </c>
      <c r="U52" t="b">
        <f t="shared" ca="1" si="2"/>
        <v>1</v>
      </c>
      <c r="V52" t="b">
        <f t="shared" ca="1" si="2"/>
        <v>1</v>
      </c>
      <c r="W52" t="b">
        <f t="shared" ca="1" si="2"/>
        <v>1</v>
      </c>
      <c r="X52" t="b">
        <f t="shared" ca="1" si="2"/>
        <v>1</v>
      </c>
      <c r="Y52" t="b">
        <f t="shared" ca="1" si="2"/>
        <v>1</v>
      </c>
      <c r="Z52" t="b">
        <f t="shared" ca="1" si="2"/>
        <v>1</v>
      </c>
      <c r="AA52" t="b">
        <f t="shared" ca="1" si="2"/>
        <v>1</v>
      </c>
      <c r="AB52" t="b">
        <f t="shared" ca="1" si="2"/>
        <v>1</v>
      </c>
      <c r="AC52" t="b">
        <f t="shared" ca="1" si="2"/>
        <v>1</v>
      </c>
      <c r="AD52" t="b">
        <f t="shared" ca="1" si="2"/>
        <v>1</v>
      </c>
    </row>
    <row r="53" spans="1:30" x14ac:dyDescent="0.25">
      <c r="A53" t="s">
        <v>100</v>
      </c>
      <c r="B53" t="b">
        <f ca="1">ISNUMBER(FIND("INDIRECT(", B$44))</f>
        <v>0</v>
      </c>
      <c r="C53" t="b">
        <f t="shared" ref="C53:AD53" ca="1" si="3">ISNUMBER(FIND("INDIRECT(", C$44))</f>
        <v>0</v>
      </c>
      <c r="D53" t="b">
        <f t="shared" ca="1" si="3"/>
        <v>0</v>
      </c>
      <c r="E53" t="b">
        <f t="shared" ca="1" si="3"/>
        <v>0</v>
      </c>
      <c r="F53" t="b">
        <f t="shared" ca="1" si="3"/>
        <v>0</v>
      </c>
      <c r="G53" t="b">
        <f t="shared" ca="1" si="3"/>
        <v>0</v>
      </c>
      <c r="H53" t="b">
        <f t="shared" ca="1" si="3"/>
        <v>0</v>
      </c>
      <c r="I53" t="b">
        <f t="shared" ca="1" si="3"/>
        <v>0</v>
      </c>
      <c r="J53" t="b">
        <f t="shared" ca="1" si="3"/>
        <v>0</v>
      </c>
      <c r="K53" t="b">
        <f t="shared" ca="1" si="3"/>
        <v>0</v>
      </c>
      <c r="L53" t="b">
        <f t="shared" ca="1" si="3"/>
        <v>0</v>
      </c>
      <c r="M53" t="b">
        <f t="shared" ca="1" si="3"/>
        <v>0</v>
      </c>
      <c r="N53" t="b">
        <f t="shared" ca="1" si="3"/>
        <v>0</v>
      </c>
      <c r="O53" t="b">
        <f t="shared" ca="1" si="3"/>
        <v>0</v>
      </c>
      <c r="P53" t="b">
        <f t="shared" ca="1" si="3"/>
        <v>0</v>
      </c>
      <c r="Q53" t="b">
        <f t="shared" ca="1" si="3"/>
        <v>0</v>
      </c>
      <c r="R53" t="b">
        <f t="shared" ca="1" si="3"/>
        <v>0</v>
      </c>
      <c r="S53" t="b">
        <f t="shared" ca="1" si="3"/>
        <v>0</v>
      </c>
      <c r="T53" t="b">
        <f t="shared" ca="1" si="3"/>
        <v>0</v>
      </c>
      <c r="U53" t="b">
        <f t="shared" ca="1" si="3"/>
        <v>0</v>
      </c>
      <c r="V53" t="b">
        <f t="shared" ca="1" si="3"/>
        <v>0</v>
      </c>
      <c r="W53" t="b">
        <f t="shared" ca="1" si="3"/>
        <v>0</v>
      </c>
      <c r="X53" t="b">
        <f t="shared" ca="1" si="3"/>
        <v>0</v>
      </c>
      <c r="Y53" t="b">
        <f t="shared" ca="1" si="3"/>
        <v>0</v>
      </c>
      <c r="Z53" t="b">
        <f t="shared" ca="1" si="3"/>
        <v>0</v>
      </c>
      <c r="AA53" t="b">
        <f t="shared" ca="1" si="3"/>
        <v>0</v>
      </c>
      <c r="AB53" t="b">
        <f t="shared" ca="1" si="3"/>
        <v>0</v>
      </c>
      <c r="AC53" t="b">
        <f t="shared" ca="1" si="3"/>
        <v>0</v>
      </c>
      <c r="AD53" t="b">
        <f t="shared" ca="1" si="3"/>
        <v>0</v>
      </c>
    </row>
    <row r="54" spans="1:30" x14ac:dyDescent="0.25">
      <c r="A54" t="s">
        <v>103</v>
      </c>
      <c r="B54" t="b">
        <f ca="1">ISNUMBER(FIND("OFFSET(", B$44))</f>
        <v>0</v>
      </c>
      <c r="C54" t="b">
        <f t="shared" ref="C54:AD54" ca="1" si="4">ISNUMBER(FIND("OFFSET(", C$44))</f>
        <v>0</v>
      </c>
      <c r="D54" t="b">
        <f t="shared" ca="1" si="4"/>
        <v>0</v>
      </c>
      <c r="E54" t="b">
        <f t="shared" ca="1" si="4"/>
        <v>0</v>
      </c>
      <c r="F54" t="b">
        <f t="shared" ca="1" si="4"/>
        <v>0</v>
      </c>
      <c r="G54" t="b">
        <f t="shared" ca="1" si="4"/>
        <v>0</v>
      </c>
      <c r="H54" t="b">
        <f t="shared" ca="1" si="4"/>
        <v>0</v>
      </c>
      <c r="I54" t="b">
        <f t="shared" ca="1" si="4"/>
        <v>0</v>
      </c>
      <c r="J54" t="b">
        <f t="shared" ca="1" si="4"/>
        <v>0</v>
      </c>
      <c r="K54" t="b">
        <f t="shared" ca="1" si="4"/>
        <v>0</v>
      </c>
      <c r="L54" t="b">
        <f t="shared" ca="1" si="4"/>
        <v>0</v>
      </c>
      <c r="M54" t="b">
        <f t="shared" ca="1" si="4"/>
        <v>0</v>
      </c>
      <c r="N54" t="b">
        <f t="shared" ca="1" si="4"/>
        <v>0</v>
      </c>
      <c r="O54" t="b">
        <f t="shared" ca="1" si="4"/>
        <v>0</v>
      </c>
      <c r="P54" t="b">
        <f t="shared" ca="1" si="4"/>
        <v>0</v>
      </c>
      <c r="Q54" t="b">
        <f t="shared" ca="1" si="4"/>
        <v>0</v>
      </c>
      <c r="R54" t="b">
        <f t="shared" ca="1" si="4"/>
        <v>0</v>
      </c>
      <c r="S54" t="b">
        <f t="shared" ca="1" si="4"/>
        <v>0</v>
      </c>
      <c r="T54" t="b">
        <f t="shared" ca="1" si="4"/>
        <v>0</v>
      </c>
      <c r="U54" t="b">
        <f t="shared" ca="1" si="4"/>
        <v>0</v>
      </c>
      <c r="V54" t="b">
        <f t="shared" ca="1" si="4"/>
        <v>0</v>
      </c>
      <c r="W54" t="b">
        <f t="shared" ca="1" si="4"/>
        <v>0</v>
      </c>
      <c r="X54" t="b">
        <f t="shared" ca="1" si="4"/>
        <v>0</v>
      </c>
      <c r="Y54" t="b">
        <f t="shared" ca="1" si="4"/>
        <v>0</v>
      </c>
      <c r="Z54" t="b">
        <f t="shared" ca="1" si="4"/>
        <v>0</v>
      </c>
      <c r="AA54" t="b">
        <f t="shared" ca="1" si="4"/>
        <v>0</v>
      </c>
      <c r="AB54" t="b">
        <f t="shared" ca="1" si="4"/>
        <v>0</v>
      </c>
      <c r="AC54" t="b">
        <f t="shared" ca="1" si="4"/>
        <v>0</v>
      </c>
      <c r="AD54" t="b">
        <f t="shared" ca="1" si="4"/>
        <v>0</v>
      </c>
    </row>
    <row r="57" spans="1:30" x14ac:dyDescent="0.25">
      <c r="C57" s="1" t="s">
        <v>125</v>
      </c>
    </row>
    <row r="58" spans="1:30" x14ac:dyDescent="0.25">
      <c r="A58" t="s">
        <v>24</v>
      </c>
      <c r="B58" cm="1">
        <f t="array" aca="1" ref="B58" ca="1">SUMPRODUCT(--(IFERROR(distinctFTCounts, 0) &gt; 1))</f>
        <v>0</v>
      </c>
      <c r="C58" t="b">
        <v>0</v>
      </c>
    </row>
    <row r="59" spans="1:30" x14ac:dyDescent="0.25">
      <c r="A59" t="s">
        <v>43</v>
      </c>
      <c r="B59" cm="1">
        <f t="array" aca="1" ref="B59" ca="1">SUMPRODUCT(--(IFERROR(firstRowReferencesOrigTblRef, FALSE) = TRUE))</f>
        <v>0</v>
      </c>
      <c r="C59" t="b">
        <v>1</v>
      </c>
    </row>
    <row r="60" spans="1:30" x14ac:dyDescent="0.25">
      <c r="A60" t="s">
        <v>44</v>
      </c>
      <c r="B60" cm="1">
        <f t="array" aca="1" ref="B60" ca="1">SUMPRODUCT(--(IFERROR(firstRowReferencesOrigCellRef, FALSE) = TRUE))</f>
        <v>0</v>
      </c>
      <c r="C60" t="b">
        <v>1</v>
      </c>
    </row>
    <row r="61" spans="1:30" x14ac:dyDescent="0.25">
      <c r="A61" t="s">
        <v>64</v>
      </c>
      <c r="B61" cm="1">
        <f t="array" aca="1" ref="B61" ca="1">SUMPRODUCT(--(IFERROR(firstRowReferencesOriginalCol, FALSE) = TRUE))</f>
        <v>0</v>
      </c>
      <c r="C61" t="b">
        <v>1</v>
      </c>
    </row>
    <row r="62" spans="1:30" x14ac:dyDescent="0.25">
      <c r="A62" t="s">
        <v>65</v>
      </c>
      <c r="B62" cm="1">
        <f t="array" aca="1" ref="B62" ca="1">SUMPRODUCT(--(IFERROR(firstRowReferencesOriginalTable, FALSE) = TRUE))</f>
        <v>0</v>
      </c>
      <c r="C62" t="b">
        <v>1</v>
      </c>
    </row>
    <row r="63" spans="1:30" x14ac:dyDescent="0.25">
      <c r="A63" t="s">
        <v>45</v>
      </c>
      <c r="B63" cm="1">
        <f t="array" aca="1" ref="B63" ca="1">SUMPRODUCT(--(IFERROR(nonBlankNonFormula, 0) &gt; 0))</f>
        <v>0</v>
      </c>
      <c r="C63" t="b">
        <v>1</v>
      </c>
    </row>
    <row r="64" spans="1:30" x14ac:dyDescent="0.25">
      <c r="A64" t="s">
        <v>101</v>
      </c>
      <c r="B64" cm="1">
        <f t="array" aca="1" ref="B64" ca="1">SUMPRODUCT(--(IFERROR(firstRowUsesIndirect, FALSE) = TRUE))</f>
        <v>0</v>
      </c>
      <c r="C64" t="b">
        <v>1</v>
      </c>
    </row>
    <row r="65" spans="1:4" x14ac:dyDescent="0.25">
      <c r="A65" t="s">
        <v>102</v>
      </c>
      <c r="B65" cm="1">
        <f t="array" aca="1" ref="B65" ca="1">SUMPRODUCT(--(IFERROR(firstRowUsesOffset, FALSE) = TRUE))</f>
        <v>0</v>
      </c>
      <c r="C65" t="b">
        <v>1</v>
      </c>
    </row>
    <row r="67" spans="1:4" x14ac:dyDescent="0.25">
      <c r="C67" s="1" t="s">
        <v>3393</v>
      </c>
    </row>
    <row r="68" spans="1:4" x14ac:dyDescent="0.25">
      <c r="A68" t="s">
        <v>68</v>
      </c>
      <c r="B68" s="19" t="b">
        <f ca="1">IF($C$68,
    TRUE,
    IF(shtActivityProtected,
        TRUE,
        IFERROR(SUBSTITUTE(_xlfn.FORMULATEXT(INDEX(#REF!, 1, 1)), " ", "") = "=[@Cleaned]=[@ORIGINAL]", FALSE)
    )
)</f>
        <v>1</v>
      </c>
      <c r="C68" s="19" t="b">
        <v>1</v>
      </c>
    </row>
    <row r="70" spans="1:4" x14ac:dyDescent="0.25">
      <c r="C70" s="1" t="s">
        <v>3393</v>
      </c>
    </row>
    <row r="71" spans="1:4" x14ac:dyDescent="0.25">
      <c r="A71" t="s">
        <v>55</v>
      </c>
      <c r="B71" t="b">
        <f ca="1">IF($C$71,
    TRUE,
    IF(shtActivityProtected,
        TRUE,
        IFERROR(ISNUMBER(FIND(answersTblName &amp; "[" &amp; tblAnswers[[#Headers],[Name]] &amp; "]", _xlfn.FORMULATEXT(OFFSET(tblPassengerNames[[#Headers],[Name]], 1, 0, 1, 1)))), FALSE)
    )
)</f>
        <v>1</v>
      </c>
      <c r="C71" s="19" t="b">
        <v>1</v>
      </c>
    </row>
    <row r="73" spans="1:4" x14ac:dyDescent="0.25">
      <c r="A73" t="s">
        <v>3426</v>
      </c>
      <c r="B73" t="b">
        <v>0</v>
      </c>
    </row>
    <row r="74" spans="1:4" x14ac:dyDescent="0.25">
      <c r="A74" t="s">
        <v>47</v>
      </c>
      <c r="B74" t="b" cm="1">
        <f t="array" aca="1" ref="B74" ca="1">IFERROR(OR(
    SUM($B$58:$B$65) &gt; 0,
    NOT(origColReferencesOrigTbl),
    NOT(matchColOK),
    AND(fracCorrect = 1, NOT(_100PcntAccPossible))
), TRUE)</f>
        <v>1</v>
      </c>
    </row>
    <row r="76" spans="1:4" x14ac:dyDescent="0.25">
      <c r="A76" t="s">
        <v>126</v>
      </c>
      <c r="B76" s="19" t="str">
        <f ca="1">IFERROR(IF(
    nColsRefersToOriginalCol &gt; 0,
    "The formula in the """ &amp; INDEX(tblPassengerNames[#Headers], MATCH(TRUE, firstRowReferencesOriginalCol, 0)) &amp; """ column illegally references the """ &amp; tblPassengerNames[[#Headers],[Name]] &amp; """ column.",
    IF(nColsRefersToOriginalTbl  &gt; 0,
        "The formula in the """ &amp; INDEX(tblPassengerNames[#Headers], MATCH(TRUE, firstRowReferencesOriginalTable, 0)) &amp; """ column illegally references the """ &amp; " the table """ &amp; answersTblName &amp; """.",
        IF(NOT(origColReferencesOrigTbl),
            "The """ &amp; tblPassengerNames[[#Headers],[Name]] &amp; """ column must contain a formula that references the """ &amp; answersTblName &amp; """ table.",
            IF(nColsNonFormula &gt; 0,
                IF(AND(nColsNonFormula = COUNTA(tblGradedColnames[Column name]), fracCorrect=1),
                    "It looks like you have hard-coded the " &amp; IF(COUNTA(tblGradedColnames[Column name]) &gt; 1, """" &amp; _xlfn.TEXTJOIN(""", """, TRUE, OFFSET(tblGradedColnames[Column name], 0, 0, COUNTA(tblGradedColnames[Column name]) - 1)) &amp; """ and """ &amp; OFFSET(tblGradedColnames[Column name], COUNTA(tblGradedColnames[Column name]) - 1, 0, 1, 1) &amp; """ columns", """" &amp; OFFSET(tblGradedColnames[Column name], 0, 0, 1, 1) &amp; """ column") &amp; " to TRUE to achieve 100% accuracy. Nice try.",
                    "The formula in the """ &amp; INDEX(tblPassengerNames[#Headers], MATCH(TRUE, nonBlankNonFormulaGT0, 0)) &amp; """ column contains hard-coded values (i.e. not a formula)."
                ),
                IF(NOT(matchColOK),
                    IF(fracCorrect=1,
                        "It looks like you have hacked the " &amp; IF(COUNTA(tblGradedColnames[Column name]) &gt; 1, """" &amp; _xlfn.TEXTJOIN(""", """, TRUE, OFFSET(tblGradedColnames[Column name], 0, 0, COUNTA(tblGradedColnames[Column name]) - 1)) &amp; """ and """ &amp; OFFSET(tblGradedColnames[Column name], COUNTA(tblGradedColnames[Column name]) - 1, 0, 1, 1) &amp; """ columns", """" &amp; OFFSET(tblGradedColnames[Column name], 0, 0, 1, 1) &amp; """ column") &amp; " to TRUE to achieve 100% accuracy. Nice try.",
                        "The graded columns (""" &amp; _xlfn.TEXTJOIN(""", """, TRUE, tblGradedColnames[Column name]) &amp; """) appear to have been modified. Please restore this column's formula to its original state."
                    ),
                    IF(nColsUseIndirect &gt; 0,
                        "The formula in the """ &amp; INDEX(tblPassengerNames[#Headers], MATCH(TRUE, firstRowUsesIndirect, 0)) &amp; """ column uses the forbidden function ""INDIRECT"".",
                        IF(nColsUseOffset &gt; 0,
                            "The formula in the """ &amp; INDEX(tblPassengerNames[#Headers], MATCH(TRUE, firstRowUsesIndirect, 0)) &amp; """ column uses the forbidden function ""OFFSET"".",
                            IF(anyFormulaErrors,
                                unhandledFormulaErrStr,
                                IF(fracCorrect = 1,
                                    "It looks like you have hacked the graded columns (""" &amp; _xlfn.TEXTJOIN(""", """, TRUE, tblGradedColnames[Column name]) &amp; """) to TRUE to achieve 100% accuracy.",
                                    errorsWillAppearHereStr
                                )
                            )
                        )
                    )
                )
            )
        )
    )
), unhandledFormulaErrStr)</f>
        <v>Unhandled formula error. Please ask your tutor for assistance.</v>
      </c>
    </row>
    <row r="79" spans="1:4" x14ac:dyDescent="0.25">
      <c r="A79" s="18" t="s">
        <v>1459</v>
      </c>
      <c r="C79" s="1"/>
    </row>
    <row r="80" spans="1:4" x14ac:dyDescent="0.25">
      <c r="A80" t="s">
        <v>116</v>
      </c>
      <c r="B80" t="s">
        <v>20</v>
      </c>
      <c r="C80" t="s">
        <v>1460</v>
      </c>
      <c r="D80" t="s">
        <v>1463</v>
      </c>
    </row>
    <row r="81" spans="1:4" x14ac:dyDescent="0.25">
      <c r="A81" t="e">
        <f>#REF!</f>
        <v>#REF!</v>
      </c>
      <c r="B81" t="e">
        <f>MATCH(tblGradedColnames[[#This Row],[Column name]], tblPassengerNames[#Headers], 0)</f>
        <v>#REF!</v>
      </c>
      <c r="C81" t="e">
        <f ca="1">COUNTIF(OFFSET(tblPassengerNames[], 0, tblGradedColnames[[#This Row],[Index]] - 1, , 1), TRUE)</f>
        <v>#REF!</v>
      </c>
      <c r="D81" t="e">
        <f ca="1">tblGradedColnames[[#This Row],[N correct]] / nRows</f>
        <v>#REF!</v>
      </c>
    </row>
    <row r="82" spans="1:4" x14ac:dyDescent="0.25">
      <c r="A82" t="e">
        <f>#REF!</f>
        <v>#REF!</v>
      </c>
      <c r="B82" t="e">
        <f>MATCH(tblGradedColnames[[#This Row],[Column name]], tblPassengerNames[#Headers], 0)</f>
        <v>#REF!</v>
      </c>
      <c r="C82" t="e">
        <f ca="1">COUNTIF(OFFSET(tblPassengerNames[], 0, tblGradedColnames[[#This Row],[Index]] - 1, , 1), TRUE)</f>
        <v>#REF!</v>
      </c>
      <c r="D82" t="e">
        <f ca="1">tblGradedColnames[[#This Row],[N correct]] / nRows</f>
        <v>#REF!</v>
      </c>
    </row>
    <row r="83" spans="1:4" x14ac:dyDescent="0.25">
      <c r="A83" t="e">
        <f>#REF!</f>
        <v>#REF!</v>
      </c>
      <c r="B83" t="e">
        <f>MATCH(tblGradedColnames[[#This Row],[Column name]], tblPassengerNames[#Headers], 0)</f>
        <v>#REF!</v>
      </c>
      <c r="C83" t="e">
        <f ca="1">COUNTIF(OFFSET(tblPassengerNames[], 0, tblGradedColnames[[#This Row],[Index]] - 1, , 1), TRUE)</f>
        <v>#REF!</v>
      </c>
      <c r="D83" t="e">
        <f ca="1">tblGradedColnames[[#This Row],[N correct]] / nRows</f>
        <v>#REF!</v>
      </c>
    </row>
    <row r="85" spans="1:4" x14ac:dyDescent="0.25">
      <c r="A85" s="1" t="s">
        <v>26</v>
      </c>
      <c r="D85" s="1" t="s">
        <v>114</v>
      </c>
    </row>
    <row r="86" spans="1:4" x14ac:dyDescent="0.25">
      <c r="A86" t="s">
        <v>27</v>
      </c>
      <c r="B86" t="e">
        <f ca="1">IF(LEN(debug_numCorrect) &gt; 0, debug_numCorrect, SUM(tblGradedColnames[N correct]))</f>
        <v>#REF!</v>
      </c>
      <c r="D86" s="14"/>
    </row>
    <row r="87" spans="1:4" x14ac:dyDescent="0.25">
      <c r="A87" t="s">
        <v>1461</v>
      </c>
      <c r="B87">
        <f>COUNTA(tblPassengerNames[Name])</f>
        <v>1309</v>
      </c>
    </row>
    <row r="88" spans="1:4" x14ac:dyDescent="0.25">
      <c r="A88" t="s">
        <v>1462</v>
      </c>
      <c r="B88">
        <f>nRows * COUNTA(tblGradedColnames[Column name])</f>
        <v>3927</v>
      </c>
    </row>
    <row r="89" spans="1:4" x14ac:dyDescent="0.25">
      <c r="A89" t="s">
        <v>57</v>
      </c>
      <c r="B89" t="e">
        <f ca="1">nCorrect / nItemsGraded</f>
        <v>#REF!</v>
      </c>
    </row>
    <row r="90" spans="1:4" x14ac:dyDescent="0.25">
      <c r="A90" t="s">
        <v>56</v>
      </c>
      <c r="B90" t="e">
        <f ca="1">TEXT(fracCorrect, "0.00%")</f>
        <v>#REF!</v>
      </c>
    </row>
    <row r="92" spans="1:4" x14ac:dyDescent="0.25">
      <c r="A92" s="1" t="s">
        <v>58</v>
      </c>
    </row>
    <row r="93" spans="1:4" x14ac:dyDescent="0.25">
      <c r="A93" t="s">
        <v>59</v>
      </c>
      <c r="B93" t="e">
        <f ca="1">fracCorrect</f>
        <v>#REF!</v>
      </c>
    </row>
    <row r="94" spans="1:4" x14ac:dyDescent="0.25">
      <c r="A94" t="s">
        <v>61</v>
      </c>
      <c r="B94" t="s">
        <v>60</v>
      </c>
    </row>
    <row r="95" spans="1:4" x14ac:dyDescent="0.25">
      <c r="A95" t="s">
        <v>62</v>
      </c>
      <c r="B95">
        <v>1.7999999999999999E-2</v>
      </c>
    </row>
    <row r="97" spans="1:13" x14ac:dyDescent="0.25">
      <c r="A97" s="1" t="s">
        <v>15</v>
      </c>
    </row>
    <row r="98" spans="1:13" x14ac:dyDescent="0.25">
      <c r="A98" t="s">
        <v>19</v>
      </c>
      <c r="B98" t="s">
        <v>23</v>
      </c>
      <c r="C98" t="s">
        <v>63</v>
      </c>
      <c r="D98" t="s">
        <v>61</v>
      </c>
      <c r="E98" t="s">
        <v>21</v>
      </c>
      <c r="M98">
        <f t="shared" ref="M98:M149" si="5">SUM(B334,B85,B104,B110,B126,B138:B139,B178,B187,B204,B212,B223,B261,B279,B289,B297)</f>
        <v>0.8</v>
      </c>
    </row>
    <row r="99" spans="1:13" x14ac:dyDescent="0.25">
      <c r="A99" t="s">
        <v>25</v>
      </c>
      <c r="B99" s="19">
        <v>0</v>
      </c>
      <c r="C99" cm="1">
        <f t="array" ref="C99">IFERROR(INDEX(tblAwards[Fraction correct required], MATCH(tblAwards[[#This Row],[Award]], tblAwards[Award], 0) + 1), 1) - tblAwards[[#This Row],[Fraction correct required]]</f>
        <v>0.8</v>
      </c>
      <c r="D99" t="str">
        <f>IF(tblAwards[[#This Row],[Bar width]] &gt;= (abbvThresh * LEN(tblAwards[[#This Row],[Award]])), tblAwards[[#This Row],[Award]], LEFT(tblAwards[[#This Row],[Award]], 1))</f>
        <v>None</v>
      </c>
      <c r="E99" t="e">
        <f ca="1">OR(tblAwards[[#This Row],[Award]] = "None", AND(anyFormulaErrors = FALSE, fracCorrect &gt;= tblAwards[[#This Row],[Fraction correct required]]))</f>
        <v>#REF!</v>
      </c>
      <c r="M99" t="e">
        <f t="shared" ca="1" si="5"/>
        <v>#REF!</v>
      </c>
    </row>
    <row r="100" spans="1:13" x14ac:dyDescent="0.25">
      <c r="A100" t="s">
        <v>17</v>
      </c>
      <c r="B100" s="19">
        <v>0.8</v>
      </c>
      <c r="C100" cm="1">
        <f t="array" ref="C100">IFERROR(INDEX(tblAwards[Fraction correct required], MATCH(tblAwards[[#This Row],[Award]], tblAwards[Award], 0) + 1), 1) - tblAwards[[#This Row],[Fraction correct required]]</f>
        <v>0.17999999999999994</v>
      </c>
      <c r="D100" t="str">
        <f>IF(tblAwards[[#This Row],[Bar width]] &gt;= (abbvThresh * LEN(tblAwards[[#This Row],[Award]])), tblAwards[[#This Row],[Award]], LEFT(tblAwards[[#This Row],[Award]], 1))</f>
        <v>Bronze</v>
      </c>
      <c r="E100" t="e">
        <f ca="1">OR(tblAwards[[#This Row],[Award]] = "None", AND(anyFormulaErrors = FALSE, fracCorrect &gt;= tblAwards[[#This Row],[Fraction correct required]]))</f>
        <v>#REF!</v>
      </c>
      <c r="M100">
        <f t="shared" ca="1" si="5"/>
        <v>1309</v>
      </c>
    </row>
    <row r="101" spans="1:13" x14ac:dyDescent="0.25">
      <c r="A101" t="s">
        <v>18</v>
      </c>
      <c r="B101" s="19">
        <v>0.98</v>
      </c>
      <c r="C101" cm="1">
        <f t="array" ref="C101">IFERROR(INDEX(tblAwards[Fraction correct required], MATCH(tblAwards[[#This Row],[Award]], tblAwards[Award], 0) + 1), 1) - tblAwards[[#This Row],[Fraction correct required]]</f>
        <v>1.5000000000000013E-2</v>
      </c>
      <c r="D101" t="str">
        <f>IF(tblAwards[[#This Row],[Bar width]] &gt;= (abbvThresh * LEN(tblAwards[[#This Row],[Award]])), tblAwards[[#This Row],[Award]], LEFT(tblAwards[[#This Row],[Award]], 1))</f>
        <v>S</v>
      </c>
      <c r="E101" t="e">
        <f ca="1">OR(tblAwards[[#This Row],[Award]] = "None", AND(anyFormulaErrors = FALSE, fracCorrect &gt;= tblAwards[[#This Row],[Fraction correct required]]))</f>
        <v>#REF!</v>
      </c>
      <c r="M101">
        <f t="shared" si="5"/>
        <v>3927</v>
      </c>
    </row>
    <row r="102" spans="1:13" x14ac:dyDescent="0.25">
      <c r="A102" t="s">
        <v>16</v>
      </c>
      <c r="B102" s="19">
        <v>0.995</v>
      </c>
      <c r="C102" cm="1">
        <f t="array" ref="C102">IFERROR(INDEX(tblAwards[Fraction correct required], MATCH(tblAwards[[#This Row],[Award]], tblAwards[Award], 0) + 1), 1) - tblAwards[[#This Row],[Fraction correct required]]</f>
        <v>5.0000000000000044E-3</v>
      </c>
      <c r="D102" t="str">
        <f>IF(tblAwards[[#This Row],[Bar width]] &gt;= (abbvThresh * LEN(tblAwards[[#This Row],[Award]])), tblAwards[[#This Row],[Award]], LEFT(tblAwards[[#This Row],[Award]], 1))</f>
        <v>G</v>
      </c>
      <c r="E102" t="e">
        <f ca="1">OR(tblAwards[[#This Row],[Award]] = "None", AND(anyFormulaErrors = FALSE, fracCorrect &gt;= tblAwards[[#This Row],[Fraction correct required]]))</f>
        <v>#REF!</v>
      </c>
      <c r="M102" t="e">
        <f t="shared" ca="1" si="5"/>
        <v>#REF!</v>
      </c>
    </row>
    <row r="103" spans="1:13" x14ac:dyDescent="0.25">
      <c r="M103" t="e">
        <f t="shared" ca="1" si="5"/>
        <v>#REF!</v>
      </c>
    </row>
    <row r="104" spans="1:13" x14ac:dyDescent="0.25">
      <c r="A104" s="1" t="s">
        <v>22</v>
      </c>
      <c r="M104">
        <f t="shared" si="5"/>
        <v>0.8</v>
      </c>
    </row>
    <row r="105" spans="1:13" x14ac:dyDescent="0.25">
      <c r="A105" s="1" t="s">
        <v>20</v>
      </c>
      <c r="B105" s="1" t="s">
        <v>0</v>
      </c>
      <c r="M105">
        <f t="shared" si="5"/>
        <v>0</v>
      </c>
    </row>
    <row r="106" spans="1:13" x14ac:dyDescent="0.25">
      <c r="A106">
        <f ca="1">MAX(IFERROR(COUNTIF(tblAwards[Earned], TRUE), 1), 1)</f>
        <v>1</v>
      </c>
      <c r="B106" t="str" cm="1">
        <f t="array" aca="1" ref="B106" ca="1">INDEX(tblAwards[Award], idxAwardEarned)</f>
        <v>None</v>
      </c>
      <c r="M106" t="e">
        <f>SUM(B342,B93,B112,B118,#REF!,B146:B147,B186,B195,B212,B220,B231,B269,B287,B297,B305)</f>
        <v>#REF!</v>
      </c>
    </row>
    <row r="107" spans="1:13" x14ac:dyDescent="0.25">
      <c r="M107">
        <f t="shared" si="5"/>
        <v>0</v>
      </c>
    </row>
    <row r="108" spans="1:13" x14ac:dyDescent="0.25">
      <c r="A108" s="1" t="s">
        <v>32</v>
      </c>
      <c r="M108">
        <f t="shared" si="5"/>
        <v>1.7999999999999999E-2</v>
      </c>
    </row>
    <row r="109" spans="1:13" x14ac:dyDescent="0.25">
      <c r="A109" t="s">
        <v>33</v>
      </c>
      <c r="B109" t="e" cm="1">
        <f t="array" aca="1" ref="B109" ca="1">(fracCorrect - INDEX(tblAwards[Fraction correct required], idxAwardEarned)) / (INDEX(tblAwards[Fraction correct required], idxAwardEarned + 1) - INDEX(tblAwards[Fraction correct required], idxAwardEarned))</f>
        <v>#REF!</v>
      </c>
      <c r="M109">
        <f t="shared" si="5"/>
        <v>0</v>
      </c>
    </row>
    <row r="110" spans="1:13" x14ac:dyDescent="0.25">
      <c r="A110" t="s">
        <v>34</v>
      </c>
      <c r="B110">
        <v>0.8</v>
      </c>
      <c r="M110">
        <f t="shared" ca="1" si="5"/>
        <v>0</v>
      </c>
    </row>
    <row r="111" spans="1:13" x14ac:dyDescent="0.25">
      <c r="M111">
        <f t="shared" si="5"/>
        <v>0</v>
      </c>
    </row>
    <row r="112" spans="1:13" x14ac:dyDescent="0.25">
      <c r="M112">
        <f t="shared" ca="1" si="5"/>
        <v>0</v>
      </c>
    </row>
    <row r="113" spans="1:13" x14ac:dyDescent="0.25">
      <c r="A113" s="1" t="s">
        <v>106</v>
      </c>
      <c r="B113" t="s">
        <v>118</v>
      </c>
      <c r="C113" t="s">
        <v>119</v>
      </c>
      <c r="D113" t="s">
        <v>120</v>
      </c>
      <c r="E113" t="s">
        <v>121</v>
      </c>
      <c r="F113" t="s">
        <v>122</v>
      </c>
      <c r="G113" t="s">
        <v>124</v>
      </c>
      <c r="H113" t="s">
        <v>123</v>
      </c>
      <c r="M113">
        <f t="shared" si="5"/>
        <v>0.8</v>
      </c>
    </row>
    <row r="114" spans="1:13" x14ac:dyDescent="0.25">
      <c r="A114" t="s">
        <v>107</v>
      </c>
      <c r="B114" t="b" cm="1">
        <f t="array" ref="B114">IFERROR(_xlfn.IFS(TRUE, TRUE), FALSE)</f>
        <v>1</v>
      </c>
      <c r="C114" t="b">
        <v>0</v>
      </c>
      <c r="D114" t="b">
        <v>0</v>
      </c>
      <c r="E114" t="b">
        <v>0</v>
      </c>
      <c r="F114" t="b">
        <v>1</v>
      </c>
      <c r="G114" t="b">
        <v>1</v>
      </c>
      <c r="H114" t="b">
        <v>1</v>
      </c>
      <c r="M114">
        <f t="shared" si="5"/>
        <v>0.98</v>
      </c>
    </row>
    <row r="115" spans="1:13" x14ac:dyDescent="0.25">
      <c r="A115" t="s">
        <v>108</v>
      </c>
      <c r="B115" t="b">
        <f>NOT(ISERROR(_xlfn.TEXTJOIN(",", TRUE, {"a"," ","b","c"})))</f>
        <v>1</v>
      </c>
      <c r="C115" t="b">
        <v>0</v>
      </c>
      <c r="D115" t="b">
        <v>1</v>
      </c>
      <c r="E115" t="b">
        <v>0</v>
      </c>
      <c r="F115" t="b">
        <v>1</v>
      </c>
      <c r="G115" t="b">
        <v>1</v>
      </c>
      <c r="H115" t="b">
        <v>1</v>
      </c>
      <c r="M115">
        <f t="shared" si="5"/>
        <v>0.995</v>
      </c>
    </row>
    <row r="116" spans="1:13" x14ac:dyDescent="0.25">
      <c r="A116" t="s">
        <v>109</v>
      </c>
      <c r="B116" t="b">
        <f>NOT(ISERROR(_xlfn.LET(_xlpm.x, 5, _xlpm.x)))</f>
        <v>1</v>
      </c>
      <c r="C116" t="b">
        <v>0</v>
      </c>
      <c r="D116" t="b">
        <v>0</v>
      </c>
      <c r="E116" t="b">
        <v>0</v>
      </c>
      <c r="F116" t="b">
        <v>0</v>
      </c>
      <c r="G116" t="b">
        <v>1</v>
      </c>
      <c r="H116" t="b">
        <v>1</v>
      </c>
      <c r="M116">
        <f t="shared" ca="1" si="5"/>
        <v>0</v>
      </c>
    </row>
    <row r="117" spans="1:13" x14ac:dyDescent="0.25">
      <c r="A117" t="s">
        <v>110</v>
      </c>
      <c r="B117" t="b" cm="1">
        <f t="array" ref="B117">NOT(ISERROR(_xlfn.UNIQUE(1, 1, 2)))</f>
        <v>1</v>
      </c>
      <c r="C117" t="b">
        <v>0</v>
      </c>
      <c r="D117" t="b">
        <v>0</v>
      </c>
      <c r="E117" t="b">
        <v>0</v>
      </c>
      <c r="F117" t="b">
        <v>0</v>
      </c>
      <c r="G117" t="b">
        <v>1</v>
      </c>
      <c r="H117" t="b">
        <v>1</v>
      </c>
      <c r="M117">
        <f t="shared" si="5"/>
        <v>0</v>
      </c>
    </row>
    <row r="118" spans="1:13" x14ac:dyDescent="0.25">
      <c r="A118" t="s">
        <v>111</v>
      </c>
      <c r="B118" t="b">
        <f ca="1">NOT(ISERROR(_xlfn.FORMULATEXT(fnUniqueWorking)))</f>
        <v>1</v>
      </c>
      <c r="C118" t="b">
        <v>1</v>
      </c>
      <c r="D118" t="b">
        <v>1</v>
      </c>
      <c r="E118" t="b">
        <v>1</v>
      </c>
      <c r="F118" t="b">
        <v>1</v>
      </c>
      <c r="G118" t="b">
        <v>1</v>
      </c>
      <c r="H118" t="b">
        <v>1</v>
      </c>
      <c r="M118">
        <f t="shared" si="5"/>
        <v>0</v>
      </c>
    </row>
    <row r="119" spans="1:13" x14ac:dyDescent="0.25">
      <c r="A119" t="s">
        <v>113</v>
      </c>
      <c r="B119" t="b" cm="1">
        <f t="array" ref="B119">NOT(ISERROR(_xlfn.SEQUENCE(1)))</f>
        <v>1</v>
      </c>
      <c r="C119" t="b">
        <v>0</v>
      </c>
      <c r="D119" t="b">
        <v>0</v>
      </c>
      <c r="E119" t="b">
        <v>0</v>
      </c>
      <c r="F119" t="b">
        <v>0</v>
      </c>
      <c r="G119" t="b">
        <v>1</v>
      </c>
      <c r="H119" t="b">
        <v>1</v>
      </c>
      <c r="M119">
        <f t="shared" ca="1" si="5"/>
        <v>0</v>
      </c>
    </row>
    <row r="120" spans="1:13" x14ac:dyDescent="0.25">
      <c r="C120" t="b" cm="1">
        <f t="array" aca="1" ref="C120" ca="1">SUMPRODUCT(--(C$114:C$119 = $B$114:$B$119)) = COUNTA($B$114:$B$119)</f>
        <v>0</v>
      </c>
      <c r="D120" t="b" cm="1">
        <f t="array" aca="1" ref="D120" ca="1">SUMPRODUCT(--(D$114:D$119 = $B$114:$B$119)) = COUNTA($B$114:$B$119)</f>
        <v>0</v>
      </c>
      <c r="E120" t="b" cm="1">
        <f t="array" aca="1" ref="E120" ca="1">SUMPRODUCT(--(E$114:E$119 = $B$114:$B$119)) = COUNTA($B$114:$B$119)</f>
        <v>0</v>
      </c>
      <c r="F120" t="b" cm="1">
        <f t="array" aca="1" ref="F120" ca="1">SUMPRODUCT(--(F$114:F$119 = $B$114:$B$119)) = COUNTA($B$114:$B$119)</f>
        <v>0</v>
      </c>
      <c r="G120" t="b" cm="1">
        <f t="array" aca="1" ref="G120" ca="1">SUMPRODUCT(--(G$114:G$119 = $B$114:$B$119)) = COUNTA($B$114:$B$119)</f>
        <v>1</v>
      </c>
      <c r="H120" t="b" cm="1">
        <f t="array" aca="1" ref="H120" ca="1">SUMPRODUCT(--(H$114:H$119 = $B$114:$B$119)) = COUNTA($B$114:$B$119)</f>
        <v>1</v>
      </c>
      <c r="M120">
        <f t="shared" si="5"/>
        <v>0</v>
      </c>
    </row>
    <row r="121" spans="1:13" x14ac:dyDescent="0.25">
      <c r="M121">
        <f t="shared" si="5"/>
        <v>0</v>
      </c>
    </row>
    <row r="122" spans="1:13" x14ac:dyDescent="0.25">
      <c r="A122" t="s">
        <v>132</v>
      </c>
      <c r="B122" t="b">
        <f ca="1">COUNTIF($B$114:$B$119, TRUE) = COUNTA(B114:B119)</f>
        <v>1</v>
      </c>
      <c r="M122" t="e">
        <f>SUM(B358,B109,B128,#REF!,B150,B162:B163,B202,B211,B228,B236,B247,B285,B303,B313,B321)</f>
        <v>#REF!</v>
      </c>
    </row>
    <row r="123" spans="1:13" x14ac:dyDescent="0.25">
      <c r="M123">
        <f t="shared" si="5"/>
        <v>0.8</v>
      </c>
    </row>
    <row r="124" spans="1:13" x14ac:dyDescent="0.25">
      <c r="A124" s="18" t="s">
        <v>3419</v>
      </c>
      <c r="M124">
        <f t="shared" si="5"/>
        <v>0</v>
      </c>
    </row>
    <row r="125" spans="1:13" x14ac:dyDescent="0.25">
      <c r="A125" t="s">
        <v>3420</v>
      </c>
      <c r="B125" t="s">
        <v>3431</v>
      </c>
      <c r="C125" t="s">
        <v>3430</v>
      </c>
      <c r="M125">
        <f t="shared" si="5"/>
        <v>0</v>
      </c>
    </row>
    <row r="126" spans="1:13" x14ac:dyDescent="0.25">
      <c r="A126" s="16" t="str">
        <f>oldExcelMissingFeature</f>
        <v>&lt;Content cannot be displayed in this version of Excel&gt;</v>
      </c>
      <c r="B126" s="16" t="s">
        <v>3432</v>
      </c>
      <c r="C126" t="e">
        <f>SUM(#REF!,#REF!,#REF!,#REF!,#REF!,#REF!:#REF!,#REF!,#REF!,#REF!,#REF!,#REF!,#REF!,#REF!,#REF!,#REF!)</f>
        <v>#REF!</v>
      </c>
      <c r="M126">
        <f t="shared" si="5"/>
        <v>0</v>
      </c>
    </row>
    <row r="127" spans="1:13" x14ac:dyDescent="0.25">
      <c r="A127" s="21" t="s">
        <v>105</v>
      </c>
      <c r="B127" s="16" t="s">
        <v>3432</v>
      </c>
      <c r="C127" t="e">
        <f>SUM(#REF!)</f>
        <v>#REF!</v>
      </c>
      <c r="M127">
        <f t="shared" si="5"/>
        <v>0</v>
      </c>
    </row>
    <row r="128" spans="1:13" x14ac:dyDescent="0.25">
      <c r="M128" t="e">
        <f>SUM(B364,B115,#REF!,B140,B156,B168:B169,B208,B217,B234,B242,B253,B291,B309,B319,B327)</f>
        <v>#REF!</v>
      </c>
    </row>
    <row r="129" spans="1:13" x14ac:dyDescent="0.25">
      <c r="M129">
        <f t="shared" si="5"/>
        <v>0</v>
      </c>
    </row>
    <row r="130" spans="1:13" x14ac:dyDescent="0.25">
      <c r="M130">
        <f t="shared" si="5"/>
        <v>0</v>
      </c>
    </row>
    <row r="131" spans="1:13" x14ac:dyDescent="0.25">
      <c r="A131" s="1" t="s">
        <v>3442</v>
      </c>
      <c r="M131">
        <f t="shared" ca="1" si="5"/>
        <v>0</v>
      </c>
    </row>
    <row r="132" spans="1:13" x14ac:dyDescent="0.25">
      <c r="A132" t="s">
        <v>3440</v>
      </c>
      <c r="B132" t="s">
        <v>3432</v>
      </c>
      <c r="M132">
        <f t="shared" si="5"/>
        <v>0</v>
      </c>
    </row>
    <row r="133" spans="1:13" x14ac:dyDescent="0.25">
      <c r="A133" s="18" t="s">
        <v>3438</v>
      </c>
      <c r="B133" t="s">
        <v>3439</v>
      </c>
      <c r="M133">
        <f t="shared" si="5"/>
        <v>0</v>
      </c>
    </row>
    <row r="134" spans="1:13" x14ac:dyDescent="0.25">
      <c r="A134" t="s">
        <v>3441</v>
      </c>
      <c r="B134" t="str" cm="1">
        <f t="array" ref="B134">AddWorksheetNameToRangeAddresses($B$133, "Activity")</f>
        <v>SUM(Activity!$B$359,Activity!$B$110,Activity!$B$129,Activity!$B$135,Activity!$B$151,Activity!$B$163:Activity!$B$164,Activity!$B$203,Activity!$B$212,Activity!$B$229,Activity!$B$237,Activity!$B$248,Activity!$B$286,Activity!$B$304,Activity!$B$314,Activity!$B$322)</v>
      </c>
      <c r="M134">
        <f t="shared" si="5"/>
        <v>0</v>
      </c>
    </row>
    <row r="135" spans="1:13" x14ac:dyDescent="0.25">
      <c r="M135">
        <f t="shared" ca="1" si="5"/>
        <v>0</v>
      </c>
    </row>
    <row r="136" spans="1:13" x14ac:dyDescent="0.25">
      <c r="M136">
        <f t="shared" si="5"/>
        <v>0</v>
      </c>
    </row>
    <row r="137" spans="1:13" x14ac:dyDescent="0.25">
      <c r="M137">
        <f t="shared" si="5"/>
        <v>0</v>
      </c>
    </row>
    <row r="138" spans="1:13" x14ac:dyDescent="0.25">
      <c r="M138">
        <f t="shared" si="5"/>
        <v>0</v>
      </c>
    </row>
    <row r="139" spans="1:13" x14ac:dyDescent="0.25">
      <c r="M139">
        <f t="shared" si="5"/>
        <v>0</v>
      </c>
    </row>
    <row r="140" spans="1:13" x14ac:dyDescent="0.25">
      <c r="M140">
        <f t="shared" si="5"/>
        <v>0</v>
      </c>
    </row>
    <row r="141" spans="1:13" x14ac:dyDescent="0.25">
      <c r="A141" s="18" t="s">
        <v>115</v>
      </c>
      <c r="M141">
        <f t="shared" si="5"/>
        <v>0</v>
      </c>
    </row>
    <row r="142" spans="1:13" x14ac:dyDescent="0.25">
      <c r="A142" s="1" t="str">
        <f ca="1">dataTblName</f>
        <v>tblPassengerNames</v>
      </c>
      <c r="M142">
        <f t="shared" si="5"/>
        <v>0</v>
      </c>
    </row>
    <row r="143" spans="1:13" x14ac:dyDescent="0.25">
      <c r="A143" t="s">
        <v>116</v>
      </c>
      <c r="M143">
        <f t="shared" si="5"/>
        <v>0</v>
      </c>
    </row>
    <row r="144" spans="1:13" x14ac:dyDescent="0.25">
      <c r="A144" t="str">
        <f>tblPassengerNames[[#Headers],[ID]]</f>
        <v>ID</v>
      </c>
      <c r="M144">
        <f t="shared" si="5"/>
        <v>0</v>
      </c>
    </row>
    <row r="145" spans="1:13" x14ac:dyDescent="0.25">
      <c r="A145" t="str">
        <f>tblPassengerNames[[#Headers],[Name]]</f>
        <v>Name</v>
      </c>
      <c r="M145">
        <f t="shared" si="5"/>
        <v>0</v>
      </c>
    </row>
    <row r="146" spans="1:13" x14ac:dyDescent="0.25">
      <c r="A146" t="str">
        <f>tblPassengerNames[[#Headers],[Sex]]</f>
        <v>Sex</v>
      </c>
      <c r="M146">
        <f t="shared" si="5"/>
        <v>0</v>
      </c>
    </row>
    <row r="147" spans="1:13" x14ac:dyDescent="0.25">
      <c r="A147" t="e">
        <f>#REF!</f>
        <v>#REF!</v>
      </c>
      <c r="M147" t="e">
        <f>SUM(B383,#REF!,B153,B159,B175,B187:B188,B227,B236,B253,B261,B272,B310,B328,B338,B346)</f>
        <v>#REF!</v>
      </c>
    </row>
    <row r="148" spans="1:13" x14ac:dyDescent="0.25">
      <c r="A148" t="e">
        <f>#REF!</f>
        <v>#REF!</v>
      </c>
      <c r="M148">
        <f t="shared" si="5"/>
        <v>0</v>
      </c>
    </row>
    <row r="149" spans="1:13" x14ac:dyDescent="0.25">
      <c r="A149" t="e">
        <f>#REF!</f>
        <v>#REF!</v>
      </c>
      <c r="M149">
        <f t="shared" si="5"/>
        <v>0</v>
      </c>
    </row>
    <row r="150" spans="1:13" x14ac:dyDescent="0.25">
      <c r="M150">
        <f>SUM(B386,B137,B156,B162,B178,B190:B191,B230,B239,B256,B264,B275,B313,B331,B341,B349)</f>
        <v>0</v>
      </c>
    </row>
    <row r="152" spans="1:13" x14ac:dyDescent="0.25">
      <c r="A152" s="18" t="str">
        <f ca="1">"Allowed to reference " &amp; answersTblName</f>
        <v>Allowed to reference tblAnswers</v>
      </c>
    </row>
    <row r="153" spans="1:13" x14ac:dyDescent="0.25">
      <c r="A153" s="1" t="str">
        <f ca="1">dataTblName</f>
        <v>tblPassengerNames</v>
      </c>
    </row>
    <row r="154" spans="1:13" x14ac:dyDescent="0.25">
      <c r="A154" t="s">
        <v>116</v>
      </c>
    </row>
    <row r="155" spans="1:13" x14ac:dyDescent="0.25">
      <c r="A155" t="str">
        <f>tblPassengerNames[[#Headers],[Name]]</f>
        <v>Name</v>
      </c>
    </row>
    <row r="156" spans="1:13" x14ac:dyDescent="0.25">
      <c r="A156" t="str">
        <f>tblPassengerNames[[#Headers],[Sex]]</f>
        <v>Sex</v>
      </c>
    </row>
    <row r="157" spans="1:13" x14ac:dyDescent="0.25">
      <c r="A157" t="e">
        <f>#REF!</f>
        <v>#REF!</v>
      </c>
    </row>
    <row r="158" spans="1:13" x14ac:dyDescent="0.25">
      <c r="A158" t="e">
        <f>#REF!</f>
        <v>#REF!</v>
      </c>
    </row>
    <row r="159" spans="1:13" x14ac:dyDescent="0.25">
      <c r="A159" t="e">
        <f>#REF!</f>
        <v>#REF!</v>
      </c>
    </row>
    <row r="162" spans="1:8" x14ac:dyDescent="0.25">
      <c r="A162" s="18" t="s">
        <v>3392</v>
      </c>
    </row>
    <row r="163" spans="1:8" x14ac:dyDescent="0.25">
      <c r="A163" s="1" t="str">
        <f ca="1">dataTblName</f>
        <v>tblPassengerNames</v>
      </c>
    </row>
    <row r="164" spans="1:8" x14ac:dyDescent="0.25">
      <c r="A164" t="s">
        <v>116</v>
      </c>
    </row>
    <row r="165" spans="1:8" x14ac:dyDescent="0.25">
      <c r="A165" t="str">
        <f>tblPassengerNames[[#Headers],[ID]]</f>
        <v>ID</v>
      </c>
    </row>
    <row r="166" spans="1:8" x14ac:dyDescent="0.25">
      <c r="A166" t="str">
        <f>tblPassengerNames[[#Headers],[Name]]</f>
        <v>Name</v>
      </c>
    </row>
    <row r="167" spans="1:8" x14ac:dyDescent="0.25">
      <c r="A167" t="str">
        <f>tblPassengerNames[[#Headers],[Sex]]</f>
        <v>Sex</v>
      </c>
    </row>
    <row r="170" spans="1:8" x14ac:dyDescent="0.25">
      <c r="A170" t="s">
        <v>69</v>
      </c>
      <c r="B170" t="s">
        <v>0</v>
      </c>
      <c r="C170" t="s">
        <v>134</v>
      </c>
      <c r="D170" t="s">
        <v>1444</v>
      </c>
      <c r="E170" t="s">
        <v>1445</v>
      </c>
      <c r="F170" t="s">
        <v>1446</v>
      </c>
      <c r="G170" t="s">
        <v>3338</v>
      </c>
      <c r="H170" t="s">
        <v>3423</v>
      </c>
    </row>
    <row r="171" spans="1:8" x14ac:dyDescent="0.25">
      <c r="A171">
        <v>1</v>
      </c>
      <c r="B171" t="s">
        <v>135</v>
      </c>
      <c r="C171" t="s">
        <v>136</v>
      </c>
      <c r="D171" t="s">
        <v>1474</v>
      </c>
      <c r="E171" t="s">
        <v>1467</v>
      </c>
      <c r="F171" t="s">
        <v>1464</v>
      </c>
      <c r="G171" t="b">
        <v>1</v>
      </c>
    </row>
    <row r="172" spans="1:8" x14ac:dyDescent="0.25">
      <c r="A172">
        <v>2</v>
      </c>
      <c r="B172" t="s">
        <v>137</v>
      </c>
      <c r="C172" t="s">
        <v>138</v>
      </c>
      <c r="D172" t="s">
        <v>1475</v>
      </c>
      <c r="E172" t="s">
        <v>1468</v>
      </c>
      <c r="F172" t="s">
        <v>1465</v>
      </c>
      <c r="G172" t="b">
        <v>1</v>
      </c>
    </row>
    <row r="173" spans="1:8" x14ac:dyDescent="0.25">
      <c r="A173">
        <v>3</v>
      </c>
      <c r="B173" t="s">
        <v>139</v>
      </c>
      <c r="C173" t="s">
        <v>136</v>
      </c>
      <c r="D173" t="s">
        <v>1474</v>
      </c>
      <c r="E173" t="s">
        <v>1469</v>
      </c>
      <c r="F173" t="s">
        <v>1465</v>
      </c>
      <c r="G173" t="b">
        <v>1</v>
      </c>
    </row>
    <row r="174" spans="1:8" x14ac:dyDescent="0.25">
      <c r="A174">
        <v>4</v>
      </c>
      <c r="B174" t="s">
        <v>140</v>
      </c>
      <c r="C174" t="s">
        <v>138</v>
      </c>
      <c r="D174" t="s">
        <v>1471</v>
      </c>
      <c r="E174" t="s">
        <v>1470</v>
      </c>
      <c r="F174" t="s">
        <v>1465</v>
      </c>
      <c r="G174" t="b">
        <v>1</v>
      </c>
    </row>
    <row r="175" spans="1:8" x14ac:dyDescent="0.25">
      <c r="A175">
        <v>5</v>
      </c>
      <c r="B175" t="s">
        <v>141</v>
      </c>
      <c r="C175" t="s">
        <v>136</v>
      </c>
      <c r="D175" t="s">
        <v>1476</v>
      </c>
      <c r="E175" t="s">
        <v>1466</v>
      </c>
      <c r="F175" t="s">
        <v>1465</v>
      </c>
      <c r="G175" t="b">
        <v>1</v>
      </c>
    </row>
    <row r="176" spans="1:8" x14ac:dyDescent="0.25">
      <c r="A176">
        <v>6</v>
      </c>
      <c r="B176" t="s">
        <v>142</v>
      </c>
      <c r="C176" t="s">
        <v>138</v>
      </c>
      <c r="D176" t="s">
        <v>1471</v>
      </c>
      <c r="E176" t="s">
        <v>1480</v>
      </c>
      <c r="F176" t="s">
        <v>1481</v>
      </c>
      <c r="G176" t="b">
        <v>1</v>
      </c>
    </row>
    <row r="177" spans="1:8" x14ac:dyDescent="0.25">
      <c r="A177">
        <v>7</v>
      </c>
      <c r="B177" t="s">
        <v>143</v>
      </c>
      <c r="C177" t="s">
        <v>136</v>
      </c>
      <c r="D177" t="s">
        <v>1474</v>
      </c>
      <c r="E177" t="s">
        <v>1482</v>
      </c>
      <c r="F177" t="s">
        <v>1483</v>
      </c>
      <c r="G177" t="b">
        <v>1</v>
      </c>
    </row>
    <row r="178" spans="1:8" x14ac:dyDescent="0.25">
      <c r="A178">
        <v>8</v>
      </c>
      <c r="B178" t="s">
        <v>144</v>
      </c>
      <c r="C178" t="s">
        <v>138</v>
      </c>
      <c r="D178" t="s">
        <v>1471</v>
      </c>
      <c r="E178" t="s">
        <v>3017</v>
      </c>
      <c r="F178" t="s">
        <v>1483</v>
      </c>
      <c r="G178" t="b">
        <v>1</v>
      </c>
      <c r="H178" t="b">
        <v>1</v>
      </c>
    </row>
    <row r="179" spans="1:8" x14ac:dyDescent="0.25">
      <c r="A179">
        <v>9</v>
      </c>
      <c r="B179" t="s">
        <v>145</v>
      </c>
      <c r="C179" t="s">
        <v>136</v>
      </c>
      <c r="D179" t="s">
        <v>1476</v>
      </c>
      <c r="E179" t="s">
        <v>1484</v>
      </c>
      <c r="F179" t="s">
        <v>1485</v>
      </c>
      <c r="G179" t="b">
        <v>1</v>
      </c>
    </row>
    <row r="180" spans="1:8" x14ac:dyDescent="0.25">
      <c r="A180">
        <v>10</v>
      </c>
      <c r="B180" t="s">
        <v>146</v>
      </c>
      <c r="C180" t="s">
        <v>138</v>
      </c>
      <c r="D180" t="s">
        <v>1471</v>
      </c>
      <c r="E180" t="s">
        <v>1486</v>
      </c>
      <c r="F180" t="s">
        <v>1487</v>
      </c>
      <c r="G180" t="b">
        <v>1</v>
      </c>
    </row>
    <row r="181" spans="1:8" x14ac:dyDescent="0.25">
      <c r="A181">
        <v>11</v>
      </c>
      <c r="B181" t="s">
        <v>147</v>
      </c>
      <c r="C181" t="s">
        <v>138</v>
      </c>
      <c r="D181" t="s">
        <v>3412</v>
      </c>
      <c r="E181" t="s">
        <v>1488</v>
      </c>
      <c r="F181" t="s">
        <v>1489</v>
      </c>
      <c r="G181" t="b">
        <v>1</v>
      </c>
    </row>
    <row r="182" spans="1:8" x14ac:dyDescent="0.25">
      <c r="A182">
        <v>12</v>
      </c>
      <c r="B182" t="s">
        <v>148</v>
      </c>
      <c r="C182" t="s">
        <v>136</v>
      </c>
      <c r="D182" t="s">
        <v>1476</v>
      </c>
      <c r="E182" t="s">
        <v>1490</v>
      </c>
      <c r="F182" t="s">
        <v>1489</v>
      </c>
      <c r="G182" t="b">
        <v>1</v>
      </c>
    </row>
    <row r="183" spans="1:8" x14ac:dyDescent="0.25">
      <c r="A183">
        <v>13</v>
      </c>
      <c r="B183" t="s">
        <v>149</v>
      </c>
      <c r="C183" t="s">
        <v>136</v>
      </c>
      <c r="D183" t="s">
        <v>3410</v>
      </c>
      <c r="E183" t="s">
        <v>1491</v>
      </c>
      <c r="F183" t="s">
        <v>1492</v>
      </c>
      <c r="G183" t="b">
        <v>1</v>
      </c>
    </row>
    <row r="184" spans="1:8" x14ac:dyDescent="0.25">
      <c r="A184">
        <v>14</v>
      </c>
      <c r="B184" t="s">
        <v>150</v>
      </c>
      <c r="C184" t="s">
        <v>136</v>
      </c>
      <c r="D184" t="s">
        <v>1474</v>
      </c>
      <c r="E184" t="s">
        <v>1512</v>
      </c>
      <c r="F184" t="s">
        <v>1493</v>
      </c>
      <c r="G184" t="b">
        <v>1</v>
      </c>
      <c r="H184" t="b">
        <v>1</v>
      </c>
    </row>
    <row r="185" spans="1:8" x14ac:dyDescent="0.25">
      <c r="A185">
        <v>15</v>
      </c>
      <c r="B185" t="s">
        <v>151</v>
      </c>
      <c r="C185" t="s">
        <v>138</v>
      </c>
      <c r="D185" t="s">
        <v>1471</v>
      </c>
      <c r="E185" t="s">
        <v>1494</v>
      </c>
      <c r="F185" t="s">
        <v>1495</v>
      </c>
      <c r="G185" t="b">
        <v>1</v>
      </c>
    </row>
    <row r="186" spans="1:8" x14ac:dyDescent="0.25">
      <c r="A186">
        <v>16</v>
      </c>
      <c r="B186" t="s">
        <v>152</v>
      </c>
      <c r="C186" t="s">
        <v>138</v>
      </c>
      <c r="D186" t="s">
        <v>1471</v>
      </c>
      <c r="E186" t="s">
        <v>1496</v>
      </c>
      <c r="F186" t="s">
        <v>1497</v>
      </c>
      <c r="G186" t="b">
        <v>1</v>
      </c>
    </row>
    <row r="187" spans="1:8" x14ac:dyDescent="0.25">
      <c r="A187">
        <v>17</v>
      </c>
      <c r="B187" t="s">
        <v>153</v>
      </c>
      <c r="C187" t="s">
        <v>138</v>
      </c>
      <c r="D187" t="s">
        <v>1471</v>
      </c>
      <c r="E187" t="s">
        <v>1498</v>
      </c>
      <c r="F187" t="s">
        <v>1499</v>
      </c>
      <c r="G187" t="b">
        <v>1</v>
      </c>
    </row>
    <row r="188" spans="1:8" x14ac:dyDescent="0.25">
      <c r="A188">
        <v>18</v>
      </c>
      <c r="B188" t="s">
        <v>154</v>
      </c>
      <c r="C188" t="s">
        <v>136</v>
      </c>
      <c r="D188" t="s">
        <v>1476</v>
      </c>
      <c r="E188" t="s">
        <v>1500</v>
      </c>
      <c r="F188" t="s">
        <v>1499</v>
      </c>
      <c r="G188" t="b">
        <v>1</v>
      </c>
    </row>
    <row r="189" spans="1:8" x14ac:dyDescent="0.25">
      <c r="A189">
        <v>19</v>
      </c>
      <c r="B189" t="s">
        <v>155</v>
      </c>
      <c r="C189" t="s">
        <v>136</v>
      </c>
      <c r="D189" t="s">
        <v>1474</v>
      </c>
      <c r="E189" t="s">
        <v>1501</v>
      </c>
      <c r="F189" t="s">
        <v>1502</v>
      </c>
      <c r="G189" t="b">
        <v>1</v>
      </c>
    </row>
    <row r="190" spans="1:8" x14ac:dyDescent="0.25">
      <c r="A190">
        <v>20</v>
      </c>
      <c r="B190" t="s">
        <v>156</v>
      </c>
      <c r="C190" t="s">
        <v>138</v>
      </c>
      <c r="D190" t="s">
        <v>1471</v>
      </c>
      <c r="E190" t="s">
        <v>1503</v>
      </c>
      <c r="F190" t="s">
        <v>1504</v>
      </c>
      <c r="G190" t="b">
        <v>1</v>
      </c>
    </row>
    <row r="191" spans="1:8" x14ac:dyDescent="0.25">
      <c r="A191">
        <v>21</v>
      </c>
      <c r="B191" t="s">
        <v>157</v>
      </c>
      <c r="C191" t="s">
        <v>138</v>
      </c>
      <c r="D191" t="s">
        <v>1471</v>
      </c>
      <c r="E191" t="s">
        <v>1505</v>
      </c>
      <c r="F191" t="s">
        <v>1506</v>
      </c>
      <c r="G191" t="b">
        <v>1</v>
      </c>
    </row>
    <row r="192" spans="1:8" x14ac:dyDescent="0.25">
      <c r="A192">
        <v>22</v>
      </c>
      <c r="B192" t="s">
        <v>158</v>
      </c>
      <c r="C192" t="s">
        <v>136</v>
      </c>
      <c r="D192" t="s">
        <v>1476</v>
      </c>
      <c r="E192" t="s">
        <v>1507</v>
      </c>
      <c r="F192" t="s">
        <v>1506</v>
      </c>
      <c r="G192" t="b">
        <v>1</v>
      </c>
    </row>
    <row r="193" spans="1:7" x14ac:dyDescent="0.25">
      <c r="A193">
        <v>23</v>
      </c>
      <c r="B193" t="s">
        <v>159</v>
      </c>
      <c r="C193" t="s">
        <v>138</v>
      </c>
      <c r="D193" t="s">
        <v>1471</v>
      </c>
      <c r="E193" t="s">
        <v>1508</v>
      </c>
      <c r="F193" t="s">
        <v>1509</v>
      </c>
      <c r="G193" t="b">
        <v>1</v>
      </c>
    </row>
    <row r="194" spans="1:7" x14ac:dyDescent="0.25">
      <c r="A194">
        <v>24</v>
      </c>
      <c r="B194" t="s">
        <v>160</v>
      </c>
      <c r="C194" t="s">
        <v>136</v>
      </c>
      <c r="D194" t="s">
        <v>1474</v>
      </c>
      <c r="E194" t="s">
        <v>1510</v>
      </c>
      <c r="F194" t="s">
        <v>1511</v>
      </c>
      <c r="G194" t="b">
        <v>1</v>
      </c>
    </row>
    <row r="195" spans="1:7" x14ac:dyDescent="0.25">
      <c r="A195">
        <v>25</v>
      </c>
      <c r="B195" t="s">
        <v>161</v>
      </c>
      <c r="C195" t="s">
        <v>136</v>
      </c>
      <c r="D195" t="s">
        <v>1474</v>
      </c>
      <c r="E195" t="s">
        <v>1512</v>
      </c>
      <c r="F195" t="s">
        <v>1513</v>
      </c>
      <c r="G195" t="b">
        <v>1</v>
      </c>
    </row>
    <row r="196" spans="1:7" x14ac:dyDescent="0.25">
      <c r="A196">
        <v>26</v>
      </c>
      <c r="B196" t="s">
        <v>162</v>
      </c>
      <c r="C196" t="s">
        <v>138</v>
      </c>
      <c r="D196" t="s">
        <v>1471</v>
      </c>
      <c r="E196" t="s">
        <v>1514</v>
      </c>
      <c r="F196" t="s">
        <v>1515</v>
      </c>
      <c r="G196" t="b">
        <v>1</v>
      </c>
    </row>
    <row r="197" spans="1:7" x14ac:dyDescent="0.25">
      <c r="A197">
        <v>27</v>
      </c>
      <c r="B197" t="s">
        <v>163</v>
      </c>
      <c r="C197" t="s">
        <v>138</v>
      </c>
      <c r="D197" t="s">
        <v>1471</v>
      </c>
      <c r="E197" t="s">
        <v>1516</v>
      </c>
      <c r="F197" t="s">
        <v>1517</v>
      </c>
      <c r="G197" t="b">
        <v>1</v>
      </c>
    </row>
    <row r="198" spans="1:7" x14ac:dyDescent="0.25">
      <c r="A198">
        <v>28</v>
      </c>
      <c r="B198" t="s">
        <v>164</v>
      </c>
      <c r="C198" t="s">
        <v>136</v>
      </c>
      <c r="D198" t="s">
        <v>1476</v>
      </c>
      <c r="E198" t="s">
        <v>1518</v>
      </c>
      <c r="F198" t="s">
        <v>1517</v>
      </c>
      <c r="G198" t="b">
        <v>1</v>
      </c>
    </row>
    <row r="199" spans="1:7" x14ac:dyDescent="0.25">
      <c r="A199">
        <v>29</v>
      </c>
      <c r="B199" t="s">
        <v>165</v>
      </c>
      <c r="C199" t="s">
        <v>136</v>
      </c>
      <c r="D199" t="s">
        <v>1474</v>
      </c>
      <c r="E199" t="s">
        <v>1519</v>
      </c>
      <c r="F199" t="s">
        <v>1520</v>
      </c>
      <c r="G199" t="b">
        <v>1</v>
      </c>
    </row>
    <row r="200" spans="1:7" x14ac:dyDescent="0.25">
      <c r="A200">
        <v>30</v>
      </c>
      <c r="B200" t="s">
        <v>166</v>
      </c>
      <c r="C200" t="s">
        <v>138</v>
      </c>
      <c r="D200" t="s">
        <v>1471</v>
      </c>
      <c r="E200" t="s">
        <v>1521</v>
      </c>
      <c r="F200" t="s">
        <v>1522</v>
      </c>
      <c r="G200" t="b">
        <v>1</v>
      </c>
    </row>
    <row r="201" spans="1:7" x14ac:dyDescent="0.25">
      <c r="A201">
        <v>31</v>
      </c>
      <c r="B201" t="s">
        <v>167</v>
      </c>
      <c r="C201" t="s">
        <v>138</v>
      </c>
      <c r="D201" t="s">
        <v>1471</v>
      </c>
      <c r="E201" t="s">
        <v>1523</v>
      </c>
      <c r="F201" t="s">
        <v>1524</v>
      </c>
      <c r="G201" t="b">
        <v>1</v>
      </c>
    </row>
    <row r="202" spans="1:7" x14ac:dyDescent="0.25">
      <c r="A202">
        <v>32</v>
      </c>
      <c r="B202" t="s">
        <v>168</v>
      </c>
      <c r="C202" t="s">
        <v>138</v>
      </c>
      <c r="D202" t="s">
        <v>1471</v>
      </c>
      <c r="E202" t="s">
        <v>1525</v>
      </c>
      <c r="F202" t="s">
        <v>1526</v>
      </c>
      <c r="G202" t="b">
        <v>1</v>
      </c>
    </row>
    <row r="203" spans="1:7" x14ac:dyDescent="0.25">
      <c r="A203">
        <v>33</v>
      </c>
      <c r="B203" t="s">
        <v>169</v>
      </c>
      <c r="C203" t="s">
        <v>136</v>
      </c>
      <c r="D203" t="s">
        <v>1474</v>
      </c>
      <c r="E203" t="s">
        <v>1527</v>
      </c>
      <c r="F203" t="s">
        <v>1528</v>
      </c>
      <c r="G203" t="b">
        <v>1</v>
      </c>
    </row>
    <row r="204" spans="1:7" x14ac:dyDescent="0.25">
      <c r="A204">
        <v>34</v>
      </c>
      <c r="B204" t="s">
        <v>170</v>
      </c>
      <c r="C204" t="s">
        <v>136</v>
      </c>
      <c r="D204" t="s">
        <v>1474</v>
      </c>
      <c r="E204" t="s">
        <v>1529</v>
      </c>
      <c r="F204" t="s">
        <v>1528</v>
      </c>
      <c r="G204" t="b">
        <v>1</v>
      </c>
    </row>
    <row r="205" spans="1:7" x14ac:dyDescent="0.25">
      <c r="A205">
        <v>35</v>
      </c>
      <c r="B205" t="s">
        <v>171</v>
      </c>
      <c r="C205" t="s">
        <v>138</v>
      </c>
      <c r="D205" t="s">
        <v>1471</v>
      </c>
      <c r="E205" t="s">
        <v>1530</v>
      </c>
      <c r="F205" t="s">
        <v>1531</v>
      </c>
      <c r="G205" t="b">
        <v>1</v>
      </c>
    </row>
    <row r="206" spans="1:7" x14ac:dyDescent="0.25">
      <c r="A206">
        <v>36</v>
      </c>
      <c r="B206" t="s">
        <v>172</v>
      </c>
      <c r="C206" t="s">
        <v>136</v>
      </c>
      <c r="D206" t="s">
        <v>1474</v>
      </c>
      <c r="E206" t="s">
        <v>1532</v>
      </c>
      <c r="F206" t="s">
        <v>1533</v>
      </c>
      <c r="G206" t="b">
        <v>1</v>
      </c>
    </row>
    <row r="207" spans="1:7" x14ac:dyDescent="0.25">
      <c r="A207">
        <v>37</v>
      </c>
      <c r="B207" t="s">
        <v>173</v>
      </c>
      <c r="C207" t="s">
        <v>136</v>
      </c>
      <c r="D207" t="s">
        <v>1474</v>
      </c>
      <c r="E207" t="s">
        <v>1534</v>
      </c>
      <c r="F207" t="s">
        <v>1535</v>
      </c>
      <c r="G207" t="b">
        <v>1</v>
      </c>
    </row>
    <row r="208" spans="1:7" x14ac:dyDescent="0.25">
      <c r="A208">
        <v>38</v>
      </c>
      <c r="B208" t="s">
        <v>174</v>
      </c>
      <c r="C208" t="s">
        <v>138</v>
      </c>
      <c r="D208" t="s">
        <v>1471</v>
      </c>
      <c r="E208" t="s">
        <v>1472</v>
      </c>
      <c r="F208" t="s">
        <v>1473</v>
      </c>
      <c r="G208" t="b">
        <v>1</v>
      </c>
    </row>
    <row r="209" spans="1:7" x14ac:dyDescent="0.25">
      <c r="A209">
        <v>39</v>
      </c>
      <c r="B209" t="s">
        <v>175</v>
      </c>
      <c r="C209" t="s">
        <v>138</v>
      </c>
      <c r="D209" t="s">
        <v>1471</v>
      </c>
      <c r="E209" t="s">
        <v>1536</v>
      </c>
      <c r="F209" t="s">
        <v>1537</v>
      </c>
      <c r="G209" t="b">
        <v>1</v>
      </c>
    </row>
    <row r="210" spans="1:7" x14ac:dyDescent="0.25">
      <c r="A210">
        <v>40</v>
      </c>
      <c r="B210" t="s">
        <v>176</v>
      </c>
      <c r="C210" t="s">
        <v>138</v>
      </c>
      <c r="D210" t="s">
        <v>1471</v>
      </c>
      <c r="E210" t="s">
        <v>1538</v>
      </c>
      <c r="F210" t="s">
        <v>1539</v>
      </c>
      <c r="G210" t="b">
        <v>1</v>
      </c>
    </row>
    <row r="211" spans="1:7" x14ac:dyDescent="0.25">
      <c r="A211">
        <v>41</v>
      </c>
      <c r="B211" t="s">
        <v>177</v>
      </c>
      <c r="C211" t="s">
        <v>138</v>
      </c>
      <c r="D211" t="s">
        <v>3409</v>
      </c>
      <c r="E211" t="s">
        <v>1540</v>
      </c>
      <c r="F211" t="s">
        <v>1541</v>
      </c>
      <c r="G211" t="b">
        <v>1</v>
      </c>
    </row>
    <row r="212" spans="1:7" x14ac:dyDescent="0.25">
      <c r="A212">
        <v>42</v>
      </c>
      <c r="B212" t="s">
        <v>178</v>
      </c>
      <c r="C212" t="s">
        <v>136</v>
      </c>
      <c r="D212" t="s">
        <v>1476</v>
      </c>
      <c r="E212" t="s">
        <v>1542</v>
      </c>
      <c r="F212" t="s">
        <v>1543</v>
      </c>
      <c r="G212" t="b">
        <v>1</v>
      </c>
    </row>
    <row r="213" spans="1:7" x14ac:dyDescent="0.25">
      <c r="A213">
        <v>43</v>
      </c>
      <c r="B213" t="s">
        <v>179</v>
      </c>
      <c r="C213" t="s">
        <v>136</v>
      </c>
      <c r="D213" t="s">
        <v>1476</v>
      </c>
      <c r="E213" t="s">
        <v>1544</v>
      </c>
      <c r="F213" t="s">
        <v>1543</v>
      </c>
      <c r="G213" t="b">
        <v>1</v>
      </c>
    </row>
    <row r="214" spans="1:7" x14ac:dyDescent="0.25">
      <c r="A214">
        <v>44</v>
      </c>
      <c r="B214" t="s">
        <v>180</v>
      </c>
      <c r="C214" t="s">
        <v>136</v>
      </c>
      <c r="D214" t="s">
        <v>1476</v>
      </c>
      <c r="E214" t="s">
        <v>1545</v>
      </c>
      <c r="F214" t="s">
        <v>1546</v>
      </c>
      <c r="G214" t="b">
        <v>1</v>
      </c>
    </row>
    <row r="215" spans="1:7" x14ac:dyDescent="0.25">
      <c r="A215">
        <v>45</v>
      </c>
      <c r="B215" t="s">
        <v>181</v>
      </c>
      <c r="C215" t="s">
        <v>136</v>
      </c>
      <c r="D215" t="s">
        <v>1474</v>
      </c>
      <c r="E215" t="s">
        <v>1547</v>
      </c>
      <c r="F215" t="s">
        <v>1548</v>
      </c>
      <c r="G215" t="b">
        <v>1</v>
      </c>
    </row>
    <row r="216" spans="1:7" x14ac:dyDescent="0.25">
      <c r="A216">
        <v>46</v>
      </c>
      <c r="B216" t="s">
        <v>182</v>
      </c>
      <c r="C216" t="s">
        <v>138</v>
      </c>
      <c r="D216" t="s">
        <v>3415</v>
      </c>
      <c r="E216" t="s">
        <v>1549</v>
      </c>
      <c r="F216" t="s">
        <v>1550</v>
      </c>
      <c r="G216" t="b">
        <v>1</v>
      </c>
    </row>
    <row r="217" spans="1:7" x14ac:dyDescent="0.25">
      <c r="A217">
        <v>47</v>
      </c>
      <c r="B217" t="s">
        <v>183</v>
      </c>
      <c r="C217" t="s">
        <v>138</v>
      </c>
      <c r="D217" t="s">
        <v>1471</v>
      </c>
      <c r="E217" t="s">
        <v>1551</v>
      </c>
      <c r="F217" t="s">
        <v>1552</v>
      </c>
      <c r="G217" t="b">
        <v>1</v>
      </c>
    </row>
    <row r="218" spans="1:7" x14ac:dyDescent="0.25">
      <c r="A218">
        <v>48</v>
      </c>
      <c r="B218" t="s">
        <v>184</v>
      </c>
      <c r="C218" t="s">
        <v>138</v>
      </c>
      <c r="D218" t="s">
        <v>1471</v>
      </c>
      <c r="E218" t="s">
        <v>1553</v>
      </c>
      <c r="F218" t="s">
        <v>1554</v>
      </c>
      <c r="G218" t="b">
        <v>1</v>
      </c>
    </row>
    <row r="219" spans="1:7" x14ac:dyDescent="0.25">
      <c r="A219">
        <v>49</v>
      </c>
      <c r="B219" t="s">
        <v>185</v>
      </c>
      <c r="C219" t="s">
        <v>136</v>
      </c>
      <c r="D219" t="s">
        <v>1476</v>
      </c>
      <c r="E219" t="s">
        <v>1555</v>
      </c>
      <c r="F219" t="s">
        <v>1556</v>
      </c>
      <c r="G219" t="b">
        <v>1</v>
      </c>
    </row>
    <row r="220" spans="1:7" x14ac:dyDescent="0.25">
      <c r="A220">
        <v>50</v>
      </c>
      <c r="B220" t="s">
        <v>186</v>
      </c>
      <c r="C220" t="s">
        <v>138</v>
      </c>
      <c r="D220" t="s">
        <v>1471</v>
      </c>
      <c r="E220" t="s">
        <v>1557</v>
      </c>
      <c r="F220" t="s">
        <v>1558</v>
      </c>
      <c r="G220" t="b">
        <v>1</v>
      </c>
    </row>
    <row r="221" spans="1:7" x14ac:dyDescent="0.25">
      <c r="A221">
        <v>51</v>
      </c>
      <c r="B221" t="s">
        <v>187</v>
      </c>
      <c r="C221" t="s">
        <v>136</v>
      </c>
      <c r="D221" t="s">
        <v>1476</v>
      </c>
      <c r="E221" t="s">
        <v>1559</v>
      </c>
      <c r="F221" t="s">
        <v>1558</v>
      </c>
      <c r="G221" t="b">
        <v>1</v>
      </c>
    </row>
    <row r="222" spans="1:7" x14ac:dyDescent="0.25">
      <c r="A222">
        <v>52</v>
      </c>
      <c r="B222" t="s">
        <v>188</v>
      </c>
      <c r="C222" t="s">
        <v>138</v>
      </c>
      <c r="D222" t="s">
        <v>1471</v>
      </c>
      <c r="E222" t="s">
        <v>1560</v>
      </c>
      <c r="F222" t="s">
        <v>1561</v>
      </c>
      <c r="G222" t="b">
        <v>1</v>
      </c>
    </row>
    <row r="223" spans="1:7" x14ac:dyDescent="0.25">
      <c r="A223">
        <v>53</v>
      </c>
      <c r="B223" t="s">
        <v>189</v>
      </c>
      <c r="C223" t="s">
        <v>138</v>
      </c>
      <c r="D223" t="s">
        <v>1471</v>
      </c>
      <c r="E223" t="s">
        <v>1562</v>
      </c>
      <c r="F223" t="s">
        <v>1563</v>
      </c>
      <c r="G223" t="b">
        <v>1</v>
      </c>
    </row>
    <row r="224" spans="1:7" x14ac:dyDescent="0.25">
      <c r="A224">
        <v>54</v>
      </c>
      <c r="B224" t="s">
        <v>190</v>
      </c>
      <c r="C224" t="s">
        <v>138</v>
      </c>
      <c r="D224" t="s">
        <v>1471</v>
      </c>
      <c r="E224" t="s">
        <v>1564</v>
      </c>
      <c r="F224" t="s">
        <v>1563</v>
      </c>
      <c r="G224" t="b">
        <v>1</v>
      </c>
    </row>
    <row r="225" spans="1:8" x14ac:dyDescent="0.25">
      <c r="A225">
        <v>55</v>
      </c>
      <c r="B225" t="s">
        <v>191</v>
      </c>
      <c r="C225" t="s">
        <v>138</v>
      </c>
      <c r="D225" t="s">
        <v>1475</v>
      </c>
      <c r="E225" t="s">
        <v>3381</v>
      </c>
      <c r="F225" t="s">
        <v>1565</v>
      </c>
      <c r="G225" t="b">
        <v>1</v>
      </c>
      <c r="H225" t="b">
        <v>1</v>
      </c>
    </row>
    <row r="226" spans="1:8" x14ac:dyDescent="0.25">
      <c r="A226">
        <v>56</v>
      </c>
      <c r="B226" t="s">
        <v>192</v>
      </c>
      <c r="C226" t="s">
        <v>136</v>
      </c>
      <c r="D226" t="s">
        <v>1474</v>
      </c>
      <c r="E226" t="s">
        <v>1566</v>
      </c>
      <c r="F226" t="s">
        <v>1565</v>
      </c>
      <c r="G226" t="b">
        <v>1</v>
      </c>
    </row>
    <row r="227" spans="1:8" x14ac:dyDescent="0.25">
      <c r="A227">
        <v>57</v>
      </c>
      <c r="B227" t="s">
        <v>193</v>
      </c>
      <c r="C227" t="s">
        <v>138</v>
      </c>
      <c r="D227" t="s">
        <v>1471</v>
      </c>
      <c r="E227" t="s">
        <v>1567</v>
      </c>
      <c r="F227" t="s">
        <v>1565</v>
      </c>
      <c r="G227" t="b">
        <v>1</v>
      </c>
    </row>
    <row r="228" spans="1:8" x14ac:dyDescent="0.25">
      <c r="A228">
        <v>58</v>
      </c>
      <c r="B228" t="s">
        <v>194</v>
      </c>
      <c r="C228" t="s">
        <v>136</v>
      </c>
      <c r="D228" t="s">
        <v>1476</v>
      </c>
      <c r="E228" t="s">
        <v>1568</v>
      </c>
      <c r="F228" t="s">
        <v>1565</v>
      </c>
      <c r="G228" t="b">
        <v>1</v>
      </c>
    </row>
    <row r="229" spans="1:8" x14ac:dyDescent="0.25">
      <c r="A229">
        <v>59</v>
      </c>
      <c r="B229" t="s">
        <v>195</v>
      </c>
      <c r="C229" t="s">
        <v>138</v>
      </c>
      <c r="D229" t="s">
        <v>1471</v>
      </c>
      <c r="E229" t="s">
        <v>1569</v>
      </c>
      <c r="F229" t="s">
        <v>1570</v>
      </c>
      <c r="G229" t="b">
        <v>1</v>
      </c>
    </row>
    <row r="230" spans="1:8" x14ac:dyDescent="0.25">
      <c r="A230">
        <v>60</v>
      </c>
      <c r="B230" t="s">
        <v>196</v>
      </c>
      <c r="C230" t="s">
        <v>136</v>
      </c>
      <c r="D230" t="s">
        <v>1476</v>
      </c>
      <c r="E230" t="s">
        <v>1571</v>
      </c>
      <c r="F230" t="s">
        <v>1572</v>
      </c>
      <c r="G230" t="b">
        <v>1</v>
      </c>
    </row>
    <row r="231" spans="1:8" x14ac:dyDescent="0.25">
      <c r="A231">
        <v>61</v>
      </c>
      <c r="B231" t="s">
        <v>197</v>
      </c>
      <c r="C231" t="s">
        <v>138</v>
      </c>
      <c r="D231" t="s">
        <v>1471</v>
      </c>
      <c r="E231" t="s">
        <v>1573</v>
      </c>
      <c r="F231" t="s">
        <v>1574</v>
      </c>
      <c r="G231" t="b">
        <v>1</v>
      </c>
    </row>
    <row r="232" spans="1:8" x14ac:dyDescent="0.25">
      <c r="A232">
        <v>62</v>
      </c>
      <c r="B232" t="s">
        <v>198</v>
      </c>
      <c r="C232" t="s">
        <v>136</v>
      </c>
      <c r="D232" t="s">
        <v>1476</v>
      </c>
      <c r="E232" t="s">
        <v>1575</v>
      </c>
      <c r="F232" t="s">
        <v>1574</v>
      </c>
      <c r="G232" t="b">
        <v>1</v>
      </c>
    </row>
    <row r="233" spans="1:8" x14ac:dyDescent="0.25">
      <c r="A233">
        <v>63</v>
      </c>
      <c r="B233" t="s">
        <v>199</v>
      </c>
      <c r="C233" t="s">
        <v>138</v>
      </c>
      <c r="D233" t="s">
        <v>1471</v>
      </c>
      <c r="E233" t="s">
        <v>1576</v>
      </c>
      <c r="F233" t="s">
        <v>1577</v>
      </c>
      <c r="G233" t="b">
        <v>1</v>
      </c>
    </row>
    <row r="234" spans="1:8" x14ac:dyDescent="0.25">
      <c r="A234">
        <v>64</v>
      </c>
      <c r="B234" t="s">
        <v>200</v>
      </c>
      <c r="C234" t="s">
        <v>136</v>
      </c>
      <c r="D234" t="s">
        <v>1476</v>
      </c>
      <c r="E234" t="s">
        <v>1578</v>
      </c>
      <c r="F234" t="s">
        <v>1577</v>
      </c>
      <c r="G234" t="b">
        <v>1</v>
      </c>
    </row>
    <row r="235" spans="1:8" x14ac:dyDescent="0.25">
      <c r="A235">
        <v>65</v>
      </c>
      <c r="B235" t="s">
        <v>201</v>
      </c>
      <c r="C235" t="s">
        <v>138</v>
      </c>
      <c r="D235" t="s">
        <v>1471</v>
      </c>
      <c r="E235" t="s">
        <v>1579</v>
      </c>
      <c r="F235" t="s">
        <v>1580</v>
      </c>
      <c r="G235" t="b">
        <v>1</v>
      </c>
    </row>
    <row r="236" spans="1:8" x14ac:dyDescent="0.25">
      <c r="A236">
        <v>66</v>
      </c>
      <c r="B236" t="s">
        <v>202</v>
      </c>
      <c r="C236" t="s">
        <v>136</v>
      </c>
      <c r="D236" t="s">
        <v>1476</v>
      </c>
      <c r="E236" t="s">
        <v>1581</v>
      </c>
      <c r="F236" t="s">
        <v>1580</v>
      </c>
      <c r="G236" t="b">
        <v>1</v>
      </c>
    </row>
    <row r="237" spans="1:8" x14ac:dyDescent="0.25">
      <c r="A237">
        <v>67</v>
      </c>
      <c r="B237" t="s">
        <v>203</v>
      </c>
      <c r="C237" t="s">
        <v>136</v>
      </c>
      <c r="D237" t="s">
        <v>1474</v>
      </c>
      <c r="E237" t="s">
        <v>1582</v>
      </c>
      <c r="F237" t="s">
        <v>1583</v>
      </c>
      <c r="G237" t="b">
        <v>1</v>
      </c>
    </row>
    <row r="238" spans="1:8" x14ac:dyDescent="0.25">
      <c r="A238">
        <v>68</v>
      </c>
      <c r="B238" t="s">
        <v>204</v>
      </c>
      <c r="C238" t="s">
        <v>136</v>
      </c>
      <c r="D238" t="s">
        <v>1474</v>
      </c>
      <c r="E238" t="s">
        <v>1584</v>
      </c>
      <c r="F238" t="s">
        <v>1585</v>
      </c>
      <c r="G238" t="b">
        <v>1</v>
      </c>
    </row>
    <row r="239" spans="1:8" x14ac:dyDescent="0.25">
      <c r="A239">
        <v>69</v>
      </c>
      <c r="B239" t="s">
        <v>205</v>
      </c>
      <c r="C239" t="s">
        <v>138</v>
      </c>
      <c r="D239" t="s">
        <v>1471</v>
      </c>
      <c r="E239" t="s">
        <v>1586</v>
      </c>
      <c r="F239" t="s">
        <v>1587</v>
      </c>
      <c r="G239" t="b">
        <v>1</v>
      </c>
    </row>
    <row r="240" spans="1:8" x14ac:dyDescent="0.25">
      <c r="A240">
        <v>70</v>
      </c>
      <c r="B240" t="s">
        <v>206</v>
      </c>
      <c r="C240" t="s">
        <v>136</v>
      </c>
      <c r="D240" t="s">
        <v>1476</v>
      </c>
      <c r="E240" t="s">
        <v>1588</v>
      </c>
      <c r="F240" t="s">
        <v>1589</v>
      </c>
      <c r="G240" t="b">
        <v>1</v>
      </c>
    </row>
    <row r="241" spans="1:8" x14ac:dyDescent="0.25">
      <c r="A241">
        <v>71</v>
      </c>
      <c r="B241" t="s">
        <v>207</v>
      </c>
      <c r="C241" t="s">
        <v>138</v>
      </c>
      <c r="D241" t="s">
        <v>1471</v>
      </c>
      <c r="E241" t="s">
        <v>1590</v>
      </c>
      <c r="F241" t="s">
        <v>1591</v>
      </c>
      <c r="G241" t="b">
        <v>1</v>
      </c>
    </row>
    <row r="242" spans="1:8" x14ac:dyDescent="0.25">
      <c r="A242">
        <v>72</v>
      </c>
      <c r="B242" t="s">
        <v>208</v>
      </c>
      <c r="C242" t="s">
        <v>138</v>
      </c>
      <c r="D242" t="s">
        <v>1471</v>
      </c>
      <c r="E242" t="s">
        <v>1592</v>
      </c>
      <c r="F242" t="s">
        <v>1593</v>
      </c>
      <c r="G242" t="b">
        <v>1</v>
      </c>
    </row>
    <row r="243" spans="1:8" x14ac:dyDescent="0.25">
      <c r="A243">
        <v>73</v>
      </c>
      <c r="B243" t="s">
        <v>209</v>
      </c>
      <c r="C243" t="s">
        <v>136</v>
      </c>
      <c r="D243" t="s">
        <v>1476</v>
      </c>
      <c r="E243" t="s">
        <v>1594</v>
      </c>
      <c r="F243" t="s">
        <v>1593</v>
      </c>
      <c r="G243" t="b">
        <v>1</v>
      </c>
    </row>
    <row r="244" spans="1:8" x14ac:dyDescent="0.25">
      <c r="A244">
        <v>74</v>
      </c>
      <c r="B244" t="s">
        <v>210</v>
      </c>
      <c r="C244" t="s">
        <v>136</v>
      </c>
      <c r="D244" t="s">
        <v>1474</v>
      </c>
      <c r="E244" t="s">
        <v>1595</v>
      </c>
      <c r="F244" t="s">
        <v>1596</v>
      </c>
      <c r="G244" t="b">
        <v>1</v>
      </c>
    </row>
    <row r="245" spans="1:8" x14ac:dyDescent="0.25">
      <c r="A245">
        <v>75</v>
      </c>
      <c r="B245" t="s">
        <v>211</v>
      </c>
      <c r="C245" t="s">
        <v>138</v>
      </c>
      <c r="D245" t="s">
        <v>1471</v>
      </c>
      <c r="E245" t="s">
        <v>1597</v>
      </c>
      <c r="F245" t="s">
        <v>1598</v>
      </c>
      <c r="G245" t="b">
        <v>1</v>
      </c>
    </row>
    <row r="246" spans="1:8" x14ac:dyDescent="0.25">
      <c r="A246">
        <v>76</v>
      </c>
      <c r="B246" t="s">
        <v>212</v>
      </c>
      <c r="C246" t="s">
        <v>138</v>
      </c>
      <c r="D246" t="s">
        <v>1471</v>
      </c>
      <c r="E246" t="s">
        <v>1599</v>
      </c>
      <c r="F246" t="s">
        <v>1600</v>
      </c>
      <c r="G246" t="b">
        <v>1</v>
      </c>
    </row>
    <row r="247" spans="1:8" x14ac:dyDescent="0.25">
      <c r="A247">
        <v>77</v>
      </c>
      <c r="B247" t="s">
        <v>213</v>
      </c>
      <c r="C247" t="s">
        <v>136</v>
      </c>
      <c r="D247" t="s">
        <v>1474</v>
      </c>
      <c r="E247" t="s">
        <v>1601</v>
      </c>
      <c r="F247" t="s">
        <v>1602</v>
      </c>
      <c r="G247" t="b">
        <v>1</v>
      </c>
    </row>
    <row r="248" spans="1:8" x14ac:dyDescent="0.25">
      <c r="A248">
        <v>78</v>
      </c>
      <c r="B248" t="s">
        <v>214</v>
      </c>
      <c r="C248" t="s">
        <v>138</v>
      </c>
      <c r="D248" t="s">
        <v>1471</v>
      </c>
      <c r="E248" t="s">
        <v>3383</v>
      </c>
      <c r="F248" t="s">
        <v>1602</v>
      </c>
      <c r="G248" t="b">
        <v>1</v>
      </c>
      <c r="H248" t="b">
        <v>1</v>
      </c>
    </row>
    <row r="249" spans="1:8" x14ac:dyDescent="0.25">
      <c r="A249">
        <v>79</v>
      </c>
      <c r="B249" t="s">
        <v>215</v>
      </c>
      <c r="C249" t="s">
        <v>136</v>
      </c>
      <c r="D249" t="s">
        <v>1476</v>
      </c>
      <c r="E249" t="s">
        <v>1603</v>
      </c>
      <c r="F249" t="s">
        <v>1602</v>
      </c>
      <c r="G249" t="b">
        <v>1</v>
      </c>
    </row>
    <row r="250" spans="1:8" x14ac:dyDescent="0.25">
      <c r="A250">
        <v>80</v>
      </c>
      <c r="B250" t="s">
        <v>216</v>
      </c>
      <c r="C250" t="s">
        <v>136</v>
      </c>
      <c r="D250" t="s">
        <v>1476</v>
      </c>
      <c r="E250" t="s">
        <v>1604</v>
      </c>
      <c r="F250" t="s">
        <v>1605</v>
      </c>
      <c r="G250" t="b">
        <v>1</v>
      </c>
    </row>
    <row r="251" spans="1:8" x14ac:dyDescent="0.25">
      <c r="A251">
        <v>81</v>
      </c>
      <c r="B251" t="s">
        <v>217</v>
      </c>
      <c r="C251" t="s">
        <v>138</v>
      </c>
      <c r="D251" t="s">
        <v>1471</v>
      </c>
      <c r="E251" t="s">
        <v>1536</v>
      </c>
      <c r="F251" t="s">
        <v>1606</v>
      </c>
      <c r="G251" t="b">
        <v>1</v>
      </c>
    </row>
    <row r="252" spans="1:8" x14ac:dyDescent="0.25">
      <c r="A252">
        <v>82</v>
      </c>
      <c r="B252" t="s">
        <v>218</v>
      </c>
      <c r="C252" t="s">
        <v>138</v>
      </c>
      <c r="D252" t="s">
        <v>3411</v>
      </c>
      <c r="E252" t="s">
        <v>1607</v>
      </c>
      <c r="F252" t="s">
        <v>1608</v>
      </c>
      <c r="G252" t="b">
        <v>1</v>
      </c>
    </row>
    <row r="253" spans="1:8" x14ac:dyDescent="0.25">
      <c r="A253">
        <v>83</v>
      </c>
      <c r="B253" t="s">
        <v>219</v>
      </c>
      <c r="C253" t="s">
        <v>136</v>
      </c>
      <c r="D253" t="s">
        <v>1474</v>
      </c>
      <c r="E253" t="s">
        <v>1609</v>
      </c>
      <c r="F253" t="s">
        <v>1608</v>
      </c>
      <c r="G253" t="b">
        <v>1</v>
      </c>
    </row>
    <row r="254" spans="1:8" x14ac:dyDescent="0.25">
      <c r="A254">
        <v>84</v>
      </c>
      <c r="B254" t="s">
        <v>220</v>
      </c>
      <c r="C254" t="s">
        <v>136</v>
      </c>
      <c r="D254" t="s">
        <v>1476</v>
      </c>
      <c r="E254" t="s">
        <v>1610</v>
      </c>
      <c r="F254" t="s">
        <v>1608</v>
      </c>
      <c r="G254" t="b">
        <v>1</v>
      </c>
    </row>
    <row r="255" spans="1:8" x14ac:dyDescent="0.25">
      <c r="A255">
        <v>85</v>
      </c>
      <c r="B255" t="s">
        <v>221</v>
      </c>
      <c r="C255" t="s">
        <v>138</v>
      </c>
      <c r="D255" t="s">
        <v>1471</v>
      </c>
      <c r="E255" t="s">
        <v>1611</v>
      </c>
      <c r="F255" t="s">
        <v>1612</v>
      </c>
      <c r="G255" t="b">
        <v>1</v>
      </c>
    </row>
    <row r="256" spans="1:8" x14ac:dyDescent="0.25">
      <c r="A256">
        <v>86</v>
      </c>
      <c r="B256" t="s">
        <v>222</v>
      </c>
      <c r="C256" t="s">
        <v>136</v>
      </c>
      <c r="D256" t="s">
        <v>1476</v>
      </c>
      <c r="E256" t="s">
        <v>1613</v>
      </c>
      <c r="F256" t="s">
        <v>1612</v>
      </c>
      <c r="G256" t="b">
        <v>1</v>
      </c>
    </row>
    <row r="257" spans="1:8" x14ac:dyDescent="0.25">
      <c r="A257">
        <v>87</v>
      </c>
      <c r="B257" t="s">
        <v>223</v>
      </c>
      <c r="C257" t="s">
        <v>138</v>
      </c>
      <c r="D257" t="s">
        <v>1471</v>
      </c>
      <c r="E257" t="s">
        <v>1614</v>
      </c>
      <c r="F257" t="s">
        <v>1615</v>
      </c>
      <c r="G257" t="b">
        <v>1</v>
      </c>
    </row>
    <row r="258" spans="1:8" x14ac:dyDescent="0.25">
      <c r="A258">
        <v>88</v>
      </c>
      <c r="B258" t="s">
        <v>224</v>
      </c>
      <c r="C258" t="s">
        <v>138</v>
      </c>
      <c r="D258" t="s">
        <v>1471</v>
      </c>
      <c r="E258" t="s">
        <v>1616</v>
      </c>
      <c r="F258" t="s">
        <v>1617</v>
      </c>
      <c r="G258" t="b">
        <v>1</v>
      </c>
    </row>
    <row r="259" spans="1:8" x14ac:dyDescent="0.25">
      <c r="A259">
        <v>89</v>
      </c>
      <c r="B259" t="s">
        <v>225</v>
      </c>
      <c r="C259" t="s">
        <v>136</v>
      </c>
      <c r="D259" t="s">
        <v>1474</v>
      </c>
      <c r="E259" t="s">
        <v>1618</v>
      </c>
      <c r="F259" t="s">
        <v>1619</v>
      </c>
      <c r="G259" t="b">
        <v>1</v>
      </c>
    </row>
    <row r="260" spans="1:8" x14ac:dyDescent="0.25">
      <c r="A260">
        <v>90</v>
      </c>
      <c r="B260" t="s">
        <v>226</v>
      </c>
      <c r="C260" t="s">
        <v>138</v>
      </c>
      <c r="D260" t="s">
        <v>1471</v>
      </c>
      <c r="E260" t="s">
        <v>1620</v>
      </c>
      <c r="F260" t="s">
        <v>1621</v>
      </c>
      <c r="G260" t="b">
        <v>1</v>
      </c>
    </row>
    <row r="261" spans="1:8" x14ac:dyDescent="0.25">
      <c r="A261">
        <v>91</v>
      </c>
      <c r="B261" t="s">
        <v>227</v>
      </c>
      <c r="C261" t="s">
        <v>136</v>
      </c>
      <c r="D261" t="s">
        <v>1476</v>
      </c>
      <c r="E261" t="s">
        <v>1622</v>
      </c>
      <c r="F261" t="s">
        <v>1621</v>
      </c>
      <c r="G261" t="b">
        <v>1</v>
      </c>
    </row>
    <row r="262" spans="1:8" x14ac:dyDescent="0.25">
      <c r="A262">
        <v>92</v>
      </c>
      <c r="B262" t="s">
        <v>228</v>
      </c>
      <c r="C262" t="s">
        <v>138</v>
      </c>
      <c r="D262" t="s">
        <v>1471</v>
      </c>
      <c r="E262" t="s">
        <v>1623</v>
      </c>
      <c r="F262" t="s">
        <v>1624</v>
      </c>
      <c r="G262" t="b">
        <v>1</v>
      </c>
    </row>
    <row r="263" spans="1:8" x14ac:dyDescent="0.25">
      <c r="A263">
        <v>93</v>
      </c>
      <c r="B263" t="s">
        <v>229</v>
      </c>
      <c r="C263" t="s">
        <v>136</v>
      </c>
      <c r="D263" t="s">
        <v>1476</v>
      </c>
      <c r="E263" t="s">
        <v>1625</v>
      </c>
      <c r="F263" t="s">
        <v>1624</v>
      </c>
      <c r="G263" t="b">
        <v>1</v>
      </c>
    </row>
    <row r="264" spans="1:8" x14ac:dyDescent="0.25">
      <c r="A264">
        <v>94</v>
      </c>
      <c r="B264" t="s">
        <v>230</v>
      </c>
      <c r="C264" t="s">
        <v>138</v>
      </c>
      <c r="D264" t="s">
        <v>3409</v>
      </c>
      <c r="E264" t="s">
        <v>1626</v>
      </c>
      <c r="F264" t="s">
        <v>1627</v>
      </c>
      <c r="G264" t="b">
        <v>1</v>
      </c>
    </row>
    <row r="265" spans="1:8" x14ac:dyDescent="0.25">
      <c r="A265">
        <v>95</v>
      </c>
      <c r="B265" t="s">
        <v>231</v>
      </c>
      <c r="C265" t="s">
        <v>138</v>
      </c>
      <c r="D265" t="s">
        <v>1475</v>
      </c>
      <c r="E265" t="s">
        <v>1626</v>
      </c>
      <c r="F265" t="s">
        <v>1627</v>
      </c>
      <c r="G265" t="b">
        <v>1</v>
      </c>
    </row>
    <row r="266" spans="1:8" x14ac:dyDescent="0.25">
      <c r="A266">
        <v>96</v>
      </c>
      <c r="B266" t="s">
        <v>232</v>
      </c>
      <c r="C266" t="s">
        <v>136</v>
      </c>
      <c r="D266" t="s">
        <v>1476</v>
      </c>
      <c r="E266" t="s">
        <v>1628</v>
      </c>
      <c r="F266" t="s">
        <v>1627</v>
      </c>
      <c r="G266" t="b">
        <v>1</v>
      </c>
    </row>
    <row r="267" spans="1:8" x14ac:dyDescent="0.25">
      <c r="A267">
        <v>97</v>
      </c>
      <c r="B267" t="s">
        <v>233</v>
      </c>
      <c r="C267" t="s">
        <v>138</v>
      </c>
      <c r="D267" t="s">
        <v>1471</v>
      </c>
      <c r="E267" t="s">
        <v>1629</v>
      </c>
      <c r="F267" t="s">
        <v>1630</v>
      </c>
      <c r="G267" t="b">
        <v>1</v>
      </c>
    </row>
    <row r="268" spans="1:8" x14ac:dyDescent="0.25">
      <c r="A268">
        <v>98</v>
      </c>
      <c r="B268" t="s">
        <v>234</v>
      </c>
      <c r="C268" t="s">
        <v>136</v>
      </c>
      <c r="D268" t="s">
        <v>1476</v>
      </c>
      <c r="E268" t="s">
        <v>1631</v>
      </c>
      <c r="F268" t="s">
        <v>1630</v>
      </c>
      <c r="G268" t="b">
        <v>1</v>
      </c>
    </row>
    <row r="269" spans="1:8" x14ac:dyDescent="0.25">
      <c r="A269">
        <v>99</v>
      </c>
      <c r="B269" t="s">
        <v>235</v>
      </c>
      <c r="C269" t="s">
        <v>136</v>
      </c>
      <c r="D269" t="s">
        <v>1476</v>
      </c>
      <c r="E269" t="s">
        <v>1632</v>
      </c>
      <c r="F269" t="s">
        <v>1630</v>
      </c>
      <c r="G269" t="b">
        <v>1</v>
      </c>
    </row>
    <row r="270" spans="1:8" x14ac:dyDescent="0.25">
      <c r="A270">
        <v>100</v>
      </c>
      <c r="B270" t="s">
        <v>236</v>
      </c>
      <c r="C270" t="s">
        <v>136</v>
      </c>
      <c r="D270" t="s">
        <v>3404</v>
      </c>
      <c r="E270" t="s">
        <v>1633</v>
      </c>
      <c r="F270" t="s">
        <v>1634</v>
      </c>
      <c r="G270" t="b">
        <v>1</v>
      </c>
      <c r="H270" t="b">
        <v>1</v>
      </c>
    </row>
    <row r="271" spans="1:8" x14ac:dyDescent="0.25">
      <c r="A271">
        <v>101</v>
      </c>
      <c r="B271" t="s">
        <v>237</v>
      </c>
      <c r="C271" t="s">
        <v>138</v>
      </c>
      <c r="D271" t="s">
        <v>3407</v>
      </c>
      <c r="E271" t="s">
        <v>1635</v>
      </c>
      <c r="F271" t="s">
        <v>1634</v>
      </c>
      <c r="G271" t="b">
        <v>1</v>
      </c>
    </row>
    <row r="272" spans="1:8" x14ac:dyDescent="0.25">
      <c r="A272">
        <v>102</v>
      </c>
      <c r="B272" t="s">
        <v>238</v>
      </c>
      <c r="C272" t="s">
        <v>138</v>
      </c>
      <c r="D272" t="s">
        <v>1471</v>
      </c>
      <c r="E272" t="s">
        <v>1636</v>
      </c>
      <c r="F272" t="s">
        <v>1637</v>
      </c>
      <c r="G272" t="b">
        <v>1</v>
      </c>
    </row>
    <row r="273" spans="1:8" x14ac:dyDescent="0.25">
      <c r="A273">
        <v>103</v>
      </c>
      <c r="B273" t="s">
        <v>239</v>
      </c>
      <c r="C273" t="s">
        <v>136</v>
      </c>
      <c r="D273" t="s">
        <v>1476</v>
      </c>
      <c r="E273" t="s">
        <v>1638</v>
      </c>
      <c r="F273" t="s">
        <v>1639</v>
      </c>
      <c r="G273" t="b">
        <v>1</v>
      </c>
    </row>
    <row r="274" spans="1:8" x14ac:dyDescent="0.25">
      <c r="A274">
        <v>104</v>
      </c>
      <c r="B274" t="s">
        <v>240</v>
      </c>
      <c r="C274" t="s">
        <v>136</v>
      </c>
      <c r="D274" t="s">
        <v>1474</v>
      </c>
      <c r="E274" t="s">
        <v>1640</v>
      </c>
      <c r="F274" t="s">
        <v>1641</v>
      </c>
      <c r="G274" t="b">
        <v>1</v>
      </c>
    </row>
    <row r="275" spans="1:8" x14ac:dyDescent="0.25">
      <c r="A275">
        <v>105</v>
      </c>
      <c r="B275" t="s">
        <v>241</v>
      </c>
      <c r="C275" t="s">
        <v>136</v>
      </c>
      <c r="D275" t="s">
        <v>1474</v>
      </c>
      <c r="E275" t="s">
        <v>1642</v>
      </c>
      <c r="F275" t="s">
        <v>1643</v>
      </c>
      <c r="G275" t="b">
        <v>1</v>
      </c>
    </row>
    <row r="276" spans="1:8" x14ac:dyDescent="0.25">
      <c r="A276">
        <v>106</v>
      </c>
      <c r="B276" t="s">
        <v>242</v>
      </c>
      <c r="C276" t="s">
        <v>136</v>
      </c>
      <c r="D276" t="s">
        <v>1474</v>
      </c>
      <c r="E276" t="s">
        <v>1644</v>
      </c>
      <c r="F276" t="s">
        <v>1645</v>
      </c>
      <c r="G276" t="b">
        <v>1</v>
      </c>
    </row>
    <row r="277" spans="1:8" x14ac:dyDescent="0.25">
      <c r="A277">
        <v>107</v>
      </c>
      <c r="B277" t="s">
        <v>243</v>
      </c>
      <c r="C277" t="s">
        <v>138</v>
      </c>
      <c r="D277" t="s">
        <v>1471</v>
      </c>
      <c r="E277" t="s">
        <v>1646</v>
      </c>
      <c r="F277" t="s">
        <v>1647</v>
      </c>
      <c r="G277" t="b">
        <v>1</v>
      </c>
    </row>
    <row r="278" spans="1:8" x14ac:dyDescent="0.25">
      <c r="A278">
        <v>108</v>
      </c>
      <c r="B278" t="s">
        <v>244</v>
      </c>
      <c r="C278" t="s">
        <v>136</v>
      </c>
      <c r="D278" t="s">
        <v>1476</v>
      </c>
      <c r="E278" t="s">
        <v>2225</v>
      </c>
      <c r="F278" t="s">
        <v>1648</v>
      </c>
      <c r="G278" t="b">
        <v>1</v>
      </c>
      <c r="H278" t="b">
        <v>1</v>
      </c>
    </row>
    <row r="279" spans="1:8" x14ac:dyDescent="0.25">
      <c r="A279">
        <v>109</v>
      </c>
      <c r="B279" t="s">
        <v>245</v>
      </c>
      <c r="C279" t="s">
        <v>136</v>
      </c>
      <c r="D279" t="s">
        <v>1474</v>
      </c>
      <c r="E279" t="s">
        <v>1542</v>
      </c>
      <c r="F279" t="s">
        <v>1649</v>
      </c>
      <c r="G279" t="b">
        <v>1</v>
      </c>
    </row>
    <row r="280" spans="1:8" x14ac:dyDescent="0.25">
      <c r="A280">
        <v>110</v>
      </c>
      <c r="B280" t="s">
        <v>246</v>
      </c>
      <c r="C280" t="s">
        <v>138</v>
      </c>
      <c r="D280" t="s">
        <v>1471</v>
      </c>
      <c r="E280" t="s">
        <v>1650</v>
      </c>
      <c r="F280" t="s">
        <v>1651</v>
      </c>
      <c r="G280" t="b">
        <v>1</v>
      </c>
    </row>
    <row r="281" spans="1:8" x14ac:dyDescent="0.25">
      <c r="A281">
        <v>111</v>
      </c>
      <c r="B281" t="s">
        <v>247</v>
      </c>
      <c r="C281" t="s">
        <v>138</v>
      </c>
      <c r="D281" t="s">
        <v>1471</v>
      </c>
      <c r="E281" t="s">
        <v>1652</v>
      </c>
      <c r="F281" t="s">
        <v>1653</v>
      </c>
      <c r="G281" t="b">
        <v>1</v>
      </c>
    </row>
    <row r="282" spans="1:8" x14ac:dyDescent="0.25">
      <c r="A282">
        <v>112</v>
      </c>
      <c r="B282" t="s">
        <v>248</v>
      </c>
      <c r="C282" t="s">
        <v>136</v>
      </c>
      <c r="D282" t="s">
        <v>1474</v>
      </c>
      <c r="E282" t="s">
        <v>1654</v>
      </c>
      <c r="F282" t="s">
        <v>1655</v>
      </c>
      <c r="G282" t="b">
        <v>1</v>
      </c>
    </row>
    <row r="283" spans="1:8" x14ac:dyDescent="0.25">
      <c r="A283">
        <v>113</v>
      </c>
      <c r="B283" t="s">
        <v>249</v>
      </c>
      <c r="C283" t="s">
        <v>136</v>
      </c>
      <c r="D283" t="s">
        <v>1474</v>
      </c>
      <c r="E283" t="s">
        <v>1656</v>
      </c>
      <c r="F283" t="s">
        <v>1655</v>
      </c>
      <c r="G283" t="b">
        <v>1</v>
      </c>
    </row>
    <row r="284" spans="1:8" x14ac:dyDescent="0.25">
      <c r="A284">
        <v>114</v>
      </c>
      <c r="B284" t="s">
        <v>250</v>
      </c>
      <c r="C284" t="s">
        <v>136</v>
      </c>
      <c r="D284" t="s">
        <v>1474</v>
      </c>
      <c r="E284" t="s">
        <v>1657</v>
      </c>
      <c r="F284" t="s">
        <v>1655</v>
      </c>
      <c r="G284" t="b">
        <v>1</v>
      </c>
    </row>
    <row r="285" spans="1:8" x14ac:dyDescent="0.25">
      <c r="A285">
        <v>115</v>
      </c>
      <c r="B285" t="s">
        <v>251</v>
      </c>
      <c r="C285" t="s">
        <v>138</v>
      </c>
      <c r="D285" t="s">
        <v>1471</v>
      </c>
      <c r="E285" t="s">
        <v>1658</v>
      </c>
      <c r="F285" t="s">
        <v>1655</v>
      </c>
      <c r="G285" t="b">
        <v>1</v>
      </c>
    </row>
    <row r="286" spans="1:8" x14ac:dyDescent="0.25">
      <c r="A286">
        <v>116</v>
      </c>
      <c r="B286" t="s">
        <v>252</v>
      </c>
      <c r="C286" t="s">
        <v>138</v>
      </c>
      <c r="D286" t="s">
        <v>1471</v>
      </c>
      <c r="E286" t="s">
        <v>1659</v>
      </c>
      <c r="F286" t="s">
        <v>1655</v>
      </c>
      <c r="G286" t="b">
        <v>1</v>
      </c>
    </row>
    <row r="287" spans="1:8" x14ac:dyDescent="0.25">
      <c r="A287">
        <v>117</v>
      </c>
      <c r="B287" t="s">
        <v>253</v>
      </c>
      <c r="C287" t="s">
        <v>136</v>
      </c>
      <c r="D287" t="s">
        <v>1476</v>
      </c>
      <c r="E287" t="s">
        <v>1660</v>
      </c>
      <c r="F287" t="s">
        <v>1655</v>
      </c>
      <c r="G287" t="b">
        <v>1</v>
      </c>
    </row>
    <row r="288" spans="1:8" x14ac:dyDescent="0.25">
      <c r="A288">
        <v>118</v>
      </c>
      <c r="B288" t="s">
        <v>254</v>
      </c>
      <c r="C288" t="s">
        <v>136</v>
      </c>
      <c r="D288" t="s">
        <v>1474</v>
      </c>
      <c r="E288" t="s">
        <v>1661</v>
      </c>
      <c r="F288" t="s">
        <v>1662</v>
      </c>
      <c r="G288" t="b">
        <v>1</v>
      </c>
    </row>
    <row r="289" spans="1:7" x14ac:dyDescent="0.25">
      <c r="A289">
        <v>119</v>
      </c>
      <c r="B289" t="s">
        <v>255</v>
      </c>
      <c r="C289" t="s">
        <v>138</v>
      </c>
      <c r="D289" t="s">
        <v>1471</v>
      </c>
      <c r="E289" t="s">
        <v>1663</v>
      </c>
      <c r="F289" t="s">
        <v>1664</v>
      </c>
      <c r="G289" t="b">
        <v>1</v>
      </c>
    </row>
    <row r="290" spans="1:7" x14ac:dyDescent="0.25">
      <c r="A290">
        <v>120</v>
      </c>
      <c r="B290" t="s">
        <v>256</v>
      </c>
      <c r="C290" t="s">
        <v>138</v>
      </c>
      <c r="D290" t="s">
        <v>3409</v>
      </c>
      <c r="E290" t="s">
        <v>1665</v>
      </c>
      <c r="F290" t="s">
        <v>1666</v>
      </c>
      <c r="G290" t="b">
        <v>1</v>
      </c>
    </row>
    <row r="291" spans="1:7" x14ac:dyDescent="0.25">
      <c r="A291">
        <v>121</v>
      </c>
      <c r="B291" t="s">
        <v>257</v>
      </c>
      <c r="C291" t="s">
        <v>138</v>
      </c>
      <c r="D291" t="s">
        <v>1471</v>
      </c>
      <c r="E291" t="s">
        <v>1667</v>
      </c>
      <c r="F291" t="s">
        <v>1666</v>
      </c>
      <c r="G291" t="b">
        <v>1</v>
      </c>
    </row>
    <row r="292" spans="1:7" x14ac:dyDescent="0.25">
      <c r="A292">
        <v>122</v>
      </c>
      <c r="B292" t="s">
        <v>258</v>
      </c>
      <c r="C292" t="s">
        <v>136</v>
      </c>
      <c r="D292" t="s">
        <v>1476</v>
      </c>
      <c r="E292" t="s">
        <v>1668</v>
      </c>
      <c r="F292" t="s">
        <v>1666</v>
      </c>
      <c r="G292" t="b">
        <v>1</v>
      </c>
    </row>
    <row r="293" spans="1:7" x14ac:dyDescent="0.25">
      <c r="A293">
        <v>123</v>
      </c>
      <c r="B293" t="s">
        <v>259</v>
      </c>
      <c r="C293" t="s">
        <v>136</v>
      </c>
      <c r="D293" t="s">
        <v>1474</v>
      </c>
      <c r="E293" t="s">
        <v>1669</v>
      </c>
      <c r="F293" t="s">
        <v>1670</v>
      </c>
      <c r="G293" t="b">
        <v>1</v>
      </c>
    </row>
    <row r="294" spans="1:7" x14ac:dyDescent="0.25">
      <c r="A294">
        <v>124</v>
      </c>
      <c r="B294" t="s">
        <v>260</v>
      </c>
      <c r="C294" t="s">
        <v>138</v>
      </c>
      <c r="D294" t="s">
        <v>1471</v>
      </c>
      <c r="E294" t="s">
        <v>1671</v>
      </c>
      <c r="F294" t="s">
        <v>1672</v>
      </c>
      <c r="G294" t="b">
        <v>1</v>
      </c>
    </row>
    <row r="295" spans="1:7" x14ac:dyDescent="0.25">
      <c r="A295">
        <v>125</v>
      </c>
      <c r="B295" t="s">
        <v>261</v>
      </c>
      <c r="C295" t="s">
        <v>136</v>
      </c>
      <c r="D295" t="s">
        <v>1476</v>
      </c>
      <c r="E295" t="s">
        <v>1673</v>
      </c>
      <c r="F295" t="s">
        <v>1672</v>
      </c>
      <c r="G295" t="b">
        <v>1</v>
      </c>
    </row>
    <row r="296" spans="1:7" x14ac:dyDescent="0.25">
      <c r="A296">
        <v>126</v>
      </c>
      <c r="B296" t="s">
        <v>262</v>
      </c>
      <c r="C296" t="s">
        <v>138</v>
      </c>
      <c r="D296" t="s">
        <v>1471</v>
      </c>
      <c r="E296" t="s">
        <v>1674</v>
      </c>
      <c r="F296" t="s">
        <v>1675</v>
      </c>
      <c r="G296" t="b">
        <v>1</v>
      </c>
    </row>
    <row r="297" spans="1:7" x14ac:dyDescent="0.25">
      <c r="A297">
        <v>127</v>
      </c>
      <c r="B297" t="s">
        <v>263</v>
      </c>
      <c r="C297" t="s">
        <v>138</v>
      </c>
      <c r="D297" t="s">
        <v>1471</v>
      </c>
      <c r="E297" t="s">
        <v>1676</v>
      </c>
      <c r="F297" t="s">
        <v>1677</v>
      </c>
      <c r="G297" t="b">
        <v>1</v>
      </c>
    </row>
    <row r="298" spans="1:7" x14ac:dyDescent="0.25">
      <c r="A298">
        <v>128</v>
      </c>
      <c r="B298" t="s">
        <v>264</v>
      </c>
      <c r="C298" t="s">
        <v>136</v>
      </c>
      <c r="D298" t="s">
        <v>1476</v>
      </c>
      <c r="E298" t="s">
        <v>1678</v>
      </c>
      <c r="F298" t="s">
        <v>1677</v>
      </c>
      <c r="G298" t="b">
        <v>1</v>
      </c>
    </row>
    <row r="299" spans="1:7" x14ac:dyDescent="0.25">
      <c r="A299">
        <v>129</v>
      </c>
      <c r="B299" t="s">
        <v>265</v>
      </c>
      <c r="C299" t="s">
        <v>138</v>
      </c>
      <c r="D299" t="s">
        <v>1471</v>
      </c>
      <c r="E299" t="s">
        <v>1679</v>
      </c>
      <c r="F299" t="s">
        <v>1680</v>
      </c>
      <c r="G299" t="b">
        <v>1</v>
      </c>
    </row>
    <row r="300" spans="1:7" x14ac:dyDescent="0.25">
      <c r="A300">
        <v>130</v>
      </c>
      <c r="B300" t="s">
        <v>266</v>
      </c>
      <c r="C300" t="s">
        <v>136</v>
      </c>
      <c r="D300" t="s">
        <v>1474</v>
      </c>
      <c r="E300" t="s">
        <v>1681</v>
      </c>
      <c r="F300" t="s">
        <v>1682</v>
      </c>
      <c r="G300" t="b">
        <v>1</v>
      </c>
    </row>
    <row r="301" spans="1:7" x14ac:dyDescent="0.25">
      <c r="A301">
        <v>131</v>
      </c>
      <c r="B301" t="s">
        <v>267</v>
      </c>
      <c r="C301" t="s">
        <v>136</v>
      </c>
      <c r="D301" t="s">
        <v>1474</v>
      </c>
      <c r="E301" t="s">
        <v>1683</v>
      </c>
      <c r="F301" t="s">
        <v>1684</v>
      </c>
      <c r="G301" t="b">
        <v>1</v>
      </c>
    </row>
    <row r="302" spans="1:7" x14ac:dyDescent="0.25">
      <c r="A302">
        <v>132</v>
      </c>
      <c r="B302" t="s">
        <v>268</v>
      </c>
      <c r="C302" t="s">
        <v>136</v>
      </c>
      <c r="D302" t="s">
        <v>1476</v>
      </c>
      <c r="E302" t="s">
        <v>1685</v>
      </c>
      <c r="F302" t="s">
        <v>1684</v>
      </c>
      <c r="G302" t="b">
        <v>1</v>
      </c>
    </row>
    <row r="303" spans="1:7" x14ac:dyDescent="0.25">
      <c r="A303">
        <v>133</v>
      </c>
      <c r="B303" t="s">
        <v>269</v>
      </c>
      <c r="C303" t="s">
        <v>138</v>
      </c>
      <c r="D303" t="s">
        <v>1471</v>
      </c>
      <c r="E303" t="s">
        <v>1686</v>
      </c>
      <c r="F303" t="s">
        <v>1687</v>
      </c>
      <c r="G303" t="b">
        <v>1</v>
      </c>
    </row>
    <row r="304" spans="1:7" x14ac:dyDescent="0.25">
      <c r="A304">
        <v>134</v>
      </c>
      <c r="B304" t="s">
        <v>270</v>
      </c>
      <c r="C304" t="s">
        <v>138</v>
      </c>
      <c r="D304" t="s">
        <v>1471</v>
      </c>
      <c r="E304" t="s">
        <v>1688</v>
      </c>
      <c r="F304" t="s">
        <v>1689</v>
      </c>
      <c r="G304" t="b">
        <v>1</v>
      </c>
    </row>
    <row r="305" spans="1:8" x14ac:dyDescent="0.25">
      <c r="A305">
        <v>135</v>
      </c>
      <c r="B305" t="s">
        <v>271</v>
      </c>
      <c r="C305" t="s">
        <v>136</v>
      </c>
      <c r="D305" t="s">
        <v>1476</v>
      </c>
      <c r="E305" t="s">
        <v>1690</v>
      </c>
      <c r="F305" t="s">
        <v>1689</v>
      </c>
      <c r="G305" t="b">
        <v>1</v>
      </c>
    </row>
    <row r="306" spans="1:8" x14ac:dyDescent="0.25">
      <c r="A306">
        <v>136</v>
      </c>
      <c r="B306" t="s">
        <v>272</v>
      </c>
      <c r="C306" t="s">
        <v>138</v>
      </c>
      <c r="D306" t="s">
        <v>1471</v>
      </c>
      <c r="E306" t="s">
        <v>1691</v>
      </c>
      <c r="F306" t="s">
        <v>1692</v>
      </c>
      <c r="G306" t="b">
        <v>1</v>
      </c>
    </row>
    <row r="307" spans="1:8" x14ac:dyDescent="0.25">
      <c r="A307">
        <v>137</v>
      </c>
      <c r="B307" t="s">
        <v>273</v>
      </c>
      <c r="C307" t="s">
        <v>138</v>
      </c>
      <c r="D307" t="s">
        <v>3412</v>
      </c>
      <c r="E307" t="s">
        <v>3382</v>
      </c>
      <c r="F307" t="s">
        <v>1693</v>
      </c>
      <c r="G307" t="b">
        <v>1</v>
      </c>
      <c r="H307" t="b">
        <v>1</v>
      </c>
    </row>
    <row r="308" spans="1:8" x14ac:dyDescent="0.25">
      <c r="A308">
        <v>138</v>
      </c>
      <c r="B308" t="s">
        <v>274</v>
      </c>
      <c r="C308" t="s">
        <v>136</v>
      </c>
      <c r="D308" t="s">
        <v>1474</v>
      </c>
      <c r="E308" t="s">
        <v>1694</v>
      </c>
      <c r="F308" t="s">
        <v>1695</v>
      </c>
      <c r="G308" t="b">
        <v>1</v>
      </c>
    </row>
    <row r="309" spans="1:8" x14ac:dyDescent="0.25">
      <c r="A309">
        <v>139</v>
      </c>
      <c r="B309" t="s">
        <v>275</v>
      </c>
      <c r="C309" t="s">
        <v>138</v>
      </c>
      <c r="D309" t="s">
        <v>1471</v>
      </c>
      <c r="E309" t="s">
        <v>1696</v>
      </c>
      <c r="F309" t="s">
        <v>1695</v>
      </c>
      <c r="G309" t="b">
        <v>1</v>
      </c>
    </row>
    <row r="310" spans="1:8" x14ac:dyDescent="0.25">
      <c r="A310">
        <v>140</v>
      </c>
      <c r="B310" t="s">
        <v>276</v>
      </c>
      <c r="C310" t="s">
        <v>136</v>
      </c>
      <c r="D310" t="s">
        <v>1476</v>
      </c>
      <c r="E310" t="s">
        <v>1697</v>
      </c>
      <c r="F310" t="s">
        <v>1695</v>
      </c>
      <c r="G310" t="b">
        <v>1</v>
      </c>
    </row>
    <row r="311" spans="1:8" x14ac:dyDescent="0.25">
      <c r="A311">
        <v>141</v>
      </c>
      <c r="B311" t="s">
        <v>277</v>
      </c>
      <c r="C311" t="s">
        <v>138</v>
      </c>
      <c r="D311" t="s">
        <v>1471</v>
      </c>
      <c r="E311" t="s">
        <v>1698</v>
      </c>
      <c r="F311" t="s">
        <v>1699</v>
      </c>
      <c r="G311" t="b">
        <v>1</v>
      </c>
    </row>
    <row r="312" spans="1:8" x14ac:dyDescent="0.25">
      <c r="A312">
        <v>142</v>
      </c>
      <c r="B312" t="s">
        <v>278</v>
      </c>
      <c r="C312" t="s">
        <v>136</v>
      </c>
      <c r="D312" t="s">
        <v>1476</v>
      </c>
      <c r="E312" t="s">
        <v>1700</v>
      </c>
      <c r="F312" t="s">
        <v>1699</v>
      </c>
      <c r="G312" t="b">
        <v>1</v>
      </c>
    </row>
    <row r="313" spans="1:8" x14ac:dyDescent="0.25">
      <c r="A313">
        <v>143</v>
      </c>
      <c r="B313" t="s">
        <v>279</v>
      </c>
      <c r="C313" t="s">
        <v>138</v>
      </c>
      <c r="D313" t="s">
        <v>1471</v>
      </c>
      <c r="E313" t="s">
        <v>1701</v>
      </c>
      <c r="F313" t="s">
        <v>1702</v>
      </c>
      <c r="G313" t="b">
        <v>1</v>
      </c>
    </row>
    <row r="314" spans="1:8" x14ac:dyDescent="0.25">
      <c r="A314">
        <v>144</v>
      </c>
      <c r="B314" t="s">
        <v>280</v>
      </c>
      <c r="C314" t="s">
        <v>138</v>
      </c>
      <c r="D314" t="s">
        <v>1471</v>
      </c>
      <c r="E314" t="s">
        <v>1703</v>
      </c>
      <c r="F314" t="s">
        <v>1704</v>
      </c>
      <c r="G314" t="b">
        <v>1</v>
      </c>
    </row>
    <row r="315" spans="1:8" x14ac:dyDescent="0.25">
      <c r="A315">
        <v>145</v>
      </c>
      <c r="B315" t="s">
        <v>281</v>
      </c>
      <c r="C315" t="s">
        <v>136</v>
      </c>
      <c r="D315" t="s">
        <v>1476</v>
      </c>
      <c r="E315" t="s">
        <v>1705</v>
      </c>
      <c r="F315" t="s">
        <v>1704</v>
      </c>
      <c r="G315" t="b">
        <v>1</v>
      </c>
    </row>
    <row r="316" spans="1:8" x14ac:dyDescent="0.25">
      <c r="A316">
        <v>146</v>
      </c>
      <c r="B316" t="s">
        <v>282</v>
      </c>
      <c r="C316" t="s">
        <v>138</v>
      </c>
      <c r="D316" t="s">
        <v>1471</v>
      </c>
      <c r="E316" t="s">
        <v>1706</v>
      </c>
      <c r="F316" t="s">
        <v>1707</v>
      </c>
      <c r="G316" t="b">
        <v>1</v>
      </c>
    </row>
    <row r="317" spans="1:8" x14ac:dyDescent="0.25">
      <c r="A317">
        <v>147</v>
      </c>
      <c r="B317" t="s">
        <v>283</v>
      </c>
      <c r="C317" t="s">
        <v>136</v>
      </c>
      <c r="D317" t="s">
        <v>1476</v>
      </c>
      <c r="E317" t="s">
        <v>1708</v>
      </c>
      <c r="F317" t="s">
        <v>1707</v>
      </c>
      <c r="G317" t="b">
        <v>1</v>
      </c>
    </row>
    <row r="318" spans="1:8" x14ac:dyDescent="0.25">
      <c r="A318">
        <v>148</v>
      </c>
      <c r="B318" t="s">
        <v>284</v>
      </c>
      <c r="C318" t="s">
        <v>138</v>
      </c>
      <c r="D318" t="s">
        <v>1471</v>
      </c>
      <c r="E318" t="s">
        <v>1709</v>
      </c>
      <c r="F318" t="s">
        <v>1710</v>
      </c>
      <c r="G318" t="b">
        <v>1</v>
      </c>
    </row>
    <row r="319" spans="1:8" x14ac:dyDescent="0.25">
      <c r="A319">
        <v>149</v>
      </c>
      <c r="B319" t="s">
        <v>285</v>
      </c>
      <c r="C319" t="s">
        <v>138</v>
      </c>
      <c r="D319" t="s">
        <v>1471</v>
      </c>
      <c r="E319" t="s">
        <v>1711</v>
      </c>
      <c r="F319" t="s">
        <v>1712</v>
      </c>
      <c r="G319" t="b">
        <v>1</v>
      </c>
    </row>
    <row r="320" spans="1:8" x14ac:dyDescent="0.25">
      <c r="A320">
        <v>150</v>
      </c>
      <c r="B320" t="s">
        <v>286</v>
      </c>
      <c r="C320" t="s">
        <v>136</v>
      </c>
      <c r="D320" t="s">
        <v>1476</v>
      </c>
      <c r="E320" t="s">
        <v>1713</v>
      </c>
      <c r="F320" t="s">
        <v>1712</v>
      </c>
      <c r="G320" t="b">
        <v>1</v>
      </c>
    </row>
    <row r="321" spans="1:7" x14ac:dyDescent="0.25">
      <c r="A321">
        <v>151</v>
      </c>
      <c r="B321" t="s">
        <v>287</v>
      </c>
      <c r="C321" t="s">
        <v>138</v>
      </c>
      <c r="D321" t="s">
        <v>1471</v>
      </c>
      <c r="E321" t="s">
        <v>1714</v>
      </c>
      <c r="F321" t="s">
        <v>1715</v>
      </c>
      <c r="G321" t="b">
        <v>1</v>
      </c>
    </row>
    <row r="322" spans="1:7" x14ac:dyDescent="0.25">
      <c r="A322">
        <v>152</v>
      </c>
      <c r="B322" t="s">
        <v>288</v>
      </c>
      <c r="C322" t="s">
        <v>138</v>
      </c>
      <c r="D322" t="s">
        <v>1471</v>
      </c>
      <c r="E322" t="s">
        <v>1716</v>
      </c>
      <c r="F322" t="s">
        <v>1717</v>
      </c>
      <c r="G322" t="b">
        <v>1</v>
      </c>
    </row>
    <row r="323" spans="1:7" x14ac:dyDescent="0.25">
      <c r="A323">
        <v>153</v>
      </c>
      <c r="B323" t="s">
        <v>289</v>
      </c>
      <c r="C323" t="s">
        <v>138</v>
      </c>
      <c r="D323" t="s">
        <v>1471</v>
      </c>
      <c r="E323" t="s">
        <v>1718</v>
      </c>
      <c r="F323" t="s">
        <v>1719</v>
      </c>
      <c r="G323" t="b">
        <v>1</v>
      </c>
    </row>
    <row r="324" spans="1:7" x14ac:dyDescent="0.25">
      <c r="A324">
        <v>154</v>
      </c>
      <c r="B324" t="s">
        <v>290</v>
      </c>
      <c r="C324" t="s">
        <v>136</v>
      </c>
      <c r="D324" t="s">
        <v>1474</v>
      </c>
      <c r="E324" t="s">
        <v>1720</v>
      </c>
      <c r="F324" t="s">
        <v>1721</v>
      </c>
      <c r="G324" t="b">
        <v>1</v>
      </c>
    </row>
    <row r="325" spans="1:7" x14ac:dyDescent="0.25">
      <c r="A325">
        <v>155</v>
      </c>
      <c r="B325" t="s">
        <v>291</v>
      </c>
      <c r="C325" t="s">
        <v>138</v>
      </c>
      <c r="D325" t="s">
        <v>1471</v>
      </c>
      <c r="E325" t="s">
        <v>1722</v>
      </c>
      <c r="F325" t="s">
        <v>1721</v>
      </c>
      <c r="G325" t="b">
        <v>1</v>
      </c>
    </row>
    <row r="326" spans="1:7" x14ac:dyDescent="0.25">
      <c r="A326">
        <v>156</v>
      </c>
      <c r="B326" t="s">
        <v>292</v>
      </c>
      <c r="C326" t="s">
        <v>136</v>
      </c>
      <c r="D326" t="s">
        <v>1476</v>
      </c>
      <c r="E326" t="s">
        <v>1723</v>
      </c>
      <c r="F326" t="s">
        <v>1721</v>
      </c>
      <c r="G326" t="b">
        <v>1</v>
      </c>
    </row>
    <row r="327" spans="1:7" x14ac:dyDescent="0.25">
      <c r="A327">
        <v>157</v>
      </c>
      <c r="B327" t="s">
        <v>293</v>
      </c>
      <c r="C327" t="s">
        <v>138</v>
      </c>
      <c r="D327" t="s">
        <v>1471</v>
      </c>
      <c r="E327" t="s">
        <v>1724</v>
      </c>
      <c r="F327" t="s">
        <v>1725</v>
      </c>
      <c r="G327" t="b">
        <v>1</v>
      </c>
    </row>
    <row r="328" spans="1:7" x14ac:dyDescent="0.25">
      <c r="A328">
        <v>158</v>
      </c>
      <c r="B328" t="s">
        <v>294</v>
      </c>
      <c r="C328" t="s">
        <v>138</v>
      </c>
      <c r="D328" t="s">
        <v>1471</v>
      </c>
      <c r="E328" t="s">
        <v>1726</v>
      </c>
      <c r="F328" t="s">
        <v>1727</v>
      </c>
      <c r="G328" t="b">
        <v>1</v>
      </c>
    </row>
    <row r="329" spans="1:7" x14ac:dyDescent="0.25">
      <c r="A329">
        <v>159</v>
      </c>
      <c r="B329" t="s">
        <v>295</v>
      </c>
      <c r="C329" t="s">
        <v>138</v>
      </c>
      <c r="D329" t="s">
        <v>1471</v>
      </c>
      <c r="E329" t="s">
        <v>1728</v>
      </c>
      <c r="F329" t="s">
        <v>1729</v>
      </c>
      <c r="G329" t="b">
        <v>1</v>
      </c>
    </row>
    <row r="330" spans="1:7" x14ac:dyDescent="0.25">
      <c r="A330">
        <v>160</v>
      </c>
      <c r="B330" t="s">
        <v>296</v>
      </c>
      <c r="C330" t="s">
        <v>136</v>
      </c>
      <c r="D330" t="s">
        <v>1474</v>
      </c>
      <c r="E330" t="s">
        <v>1730</v>
      </c>
      <c r="F330" t="s">
        <v>1731</v>
      </c>
      <c r="G330" t="b">
        <v>1</v>
      </c>
    </row>
    <row r="331" spans="1:7" x14ac:dyDescent="0.25">
      <c r="A331">
        <v>161</v>
      </c>
      <c r="B331" t="s">
        <v>297</v>
      </c>
      <c r="C331" t="s">
        <v>136</v>
      </c>
      <c r="D331" t="s">
        <v>1476</v>
      </c>
      <c r="E331" t="s">
        <v>1732</v>
      </c>
      <c r="F331" t="s">
        <v>1731</v>
      </c>
      <c r="G331" t="b">
        <v>1</v>
      </c>
    </row>
    <row r="332" spans="1:7" x14ac:dyDescent="0.25">
      <c r="A332">
        <v>162</v>
      </c>
      <c r="B332" t="s">
        <v>298</v>
      </c>
      <c r="C332" t="s">
        <v>136</v>
      </c>
      <c r="D332" t="s">
        <v>1476</v>
      </c>
      <c r="E332" t="s">
        <v>1733</v>
      </c>
      <c r="F332" t="s">
        <v>1734</v>
      </c>
      <c r="G332" t="b">
        <v>1</v>
      </c>
    </row>
    <row r="333" spans="1:7" x14ac:dyDescent="0.25">
      <c r="A333">
        <v>163</v>
      </c>
      <c r="B333" t="s">
        <v>299</v>
      </c>
      <c r="C333" t="s">
        <v>138</v>
      </c>
      <c r="D333" t="s">
        <v>1471</v>
      </c>
      <c r="E333" t="s">
        <v>1735</v>
      </c>
      <c r="F333" t="s">
        <v>1736</v>
      </c>
      <c r="G333" t="b">
        <v>1</v>
      </c>
    </row>
    <row r="334" spans="1:7" x14ac:dyDescent="0.25">
      <c r="A334">
        <v>164</v>
      </c>
      <c r="B334" t="s">
        <v>300</v>
      </c>
      <c r="C334" t="s">
        <v>136</v>
      </c>
      <c r="D334" t="s">
        <v>1476</v>
      </c>
      <c r="E334" t="s">
        <v>1737</v>
      </c>
      <c r="F334" t="s">
        <v>1736</v>
      </c>
      <c r="G334" t="b">
        <v>1</v>
      </c>
    </row>
    <row r="335" spans="1:7" x14ac:dyDescent="0.25">
      <c r="A335">
        <v>165</v>
      </c>
      <c r="B335" t="s">
        <v>301</v>
      </c>
      <c r="C335" t="s">
        <v>138</v>
      </c>
      <c r="D335" t="s">
        <v>1471</v>
      </c>
      <c r="E335" t="s">
        <v>1480</v>
      </c>
      <c r="F335" t="s">
        <v>1738</v>
      </c>
      <c r="G335" t="b">
        <v>1</v>
      </c>
    </row>
    <row r="336" spans="1:7" x14ac:dyDescent="0.25">
      <c r="A336">
        <v>166</v>
      </c>
      <c r="B336" t="s">
        <v>302</v>
      </c>
      <c r="C336" t="s">
        <v>138</v>
      </c>
      <c r="D336" t="s">
        <v>1471</v>
      </c>
      <c r="E336" t="s">
        <v>1739</v>
      </c>
      <c r="F336" t="s">
        <v>1740</v>
      </c>
      <c r="G336" t="b">
        <v>1</v>
      </c>
    </row>
    <row r="337" spans="1:8" x14ac:dyDescent="0.25">
      <c r="A337">
        <v>167</v>
      </c>
      <c r="B337" t="s">
        <v>303</v>
      </c>
      <c r="C337" t="s">
        <v>138</v>
      </c>
      <c r="D337" t="s">
        <v>1471</v>
      </c>
      <c r="E337" t="s">
        <v>1741</v>
      </c>
      <c r="F337" t="s">
        <v>1740</v>
      </c>
      <c r="G337" t="b">
        <v>1</v>
      </c>
    </row>
    <row r="338" spans="1:8" x14ac:dyDescent="0.25">
      <c r="A338">
        <v>168</v>
      </c>
      <c r="B338" t="s">
        <v>304</v>
      </c>
      <c r="C338" t="s">
        <v>136</v>
      </c>
      <c r="D338" t="s">
        <v>1476</v>
      </c>
      <c r="E338" t="s">
        <v>1742</v>
      </c>
      <c r="F338" t="s">
        <v>1740</v>
      </c>
      <c r="G338" t="b">
        <v>1</v>
      </c>
    </row>
    <row r="339" spans="1:8" x14ac:dyDescent="0.25">
      <c r="A339">
        <v>169</v>
      </c>
      <c r="B339" t="s">
        <v>305</v>
      </c>
      <c r="C339" t="s">
        <v>136</v>
      </c>
      <c r="D339" t="s">
        <v>1474</v>
      </c>
      <c r="E339" t="s">
        <v>1743</v>
      </c>
      <c r="F339" t="s">
        <v>1744</v>
      </c>
      <c r="G339" t="b">
        <v>1</v>
      </c>
    </row>
    <row r="340" spans="1:8" x14ac:dyDescent="0.25">
      <c r="A340">
        <v>170</v>
      </c>
      <c r="B340" t="s">
        <v>306</v>
      </c>
      <c r="C340" t="s">
        <v>136</v>
      </c>
      <c r="D340" t="s">
        <v>1474</v>
      </c>
      <c r="E340" t="s">
        <v>1745</v>
      </c>
      <c r="F340" t="s">
        <v>1746</v>
      </c>
      <c r="G340" t="b">
        <v>1</v>
      </c>
    </row>
    <row r="341" spans="1:8" x14ac:dyDescent="0.25">
      <c r="A341">
        <v>171</v>
      </c>
      <c r="B341" t="s">
        <v>307</v>
      </c>
      <c r="C341" t="s">
        <v>138</v>
      </c>
      <c r="D341" t="s">
        <v>1471</v>
      </c>
      <c r="E341" t="s">
        <v>1747</v>
      </c>
      <c r="F341" t="s">
        <v>1748</v>
      </c>
      <c r="G341" t="b">
        <v>1</v>
      </c>
    </row>
    <row r="342" spans="1:8" x14ac:dyDescent="0.25">
      <c r="A342">
        <v>172</v>
      </c>
      <c r="B342" t="s">
        <v>308</v>
      </c>
      <c r="C342" t="s">
        <v>138</v>
      </c>
      <c r="D342" t="s">
        <v>1471</v>
      </c>
      <c r="E342" t="s">
        <v>1749</v>
      </c>
      <c r="F342" t="s">
        <v>1750</v>
      </c>
      <c r="G342" t="b">
        <v>1</v>
      </c>
    </row>
    <row r="343" spans="1:8" x14ac:dyDescent="0.25">
      <c r="A343">
        <v>173</v>
      </c>
      <c r="B343" t="s">
        <v>309</v>
      </c>
      <c r="C343" t="s">
        <v>138</v>
      </c>
      <c r="D343" t="s">
        <v>1471</v>
      </c>
      <c r="E343" t="s">
        <v>1751</v>
      </c>
      <c r="F343" t="s">
        <v>1752</v>
      </c>
      <c r="G343" t="b">
        <v>1</v>
      </c>
    </row>
    <row r="344" spans="1:8" x14ac:dyDescent="0.25">
      <c r="A344">
        <v>174</v>
      </c>
      <c r="B344" t="s">
        <v>310</v>
      </c>
      <c r="C344" t="s">
        <v>138</v>
      </c>
      <c r="D344" t="s">
        <v>1471</v>
      </c>
      <c r="E344" t="s">
        <v>1753</v>
      </c>
      <c r="F344" t="s">
        <v>1754</v>
      </c>
      <c r="G344" t="b">
        <v>1</v>
      </c>
    </row>
    <row r="345" spans="1:8" x14ac:dyDescent="0.25">
      <c r="A345">
        <v>175</v>
      </c>
      <c r="B345" t="s">
        <v>311</v>
      </c>
      <c r="C345" t="s">
        <v>138</v>
      </c>
      <c r="D345" t="s">
        <v>1471</v>
      </c>
      <c r="E345" t="s">
        <v>1755</v>
      </c>
      <c r="F345" t="s">
        <v>1756</v>
      </c>
      <c r="G345" t="b">
        <v>1</v>
      </c>
    </row>
    <row r="346" spans="1:8" x14ac:dyDescent="0.25">
      <c r="A346">
        <v>176</v>
      </c>
      <c r="B346" t="s">
        <v>312</v>
      </c>
      <c r="C346" t="s">
        <v>138</v>
      </c>
      <c r="D346" t="s">
        <v>1471</v>
      </c>
      <c r="E346" t="s">
        <v>1757</v>
      </c>
      <c r="F346" t="s">
        <v>1758</v>
      </c>
      <c r="G346" t="b">
        <v>1</v>
      </c>
    </row>
    <row r="347" spans="1:8" x14ac:dyDescent="0.25">
      <c r="A347">
        <v>177</v>
      </c>
      <c r="B347" t="s">
        <v>313</v>
      </c>
      <c r="C347" t="s">
        <v>136</v>
      </c>
      <c r="D347" t="s">
        <v>1476</v>
      </c>
      <c r="E347" t="s">
        <v>2380</v>
      </c>
      <c r="F347" t="s">
        <v>1758</v>
      </c>
      <c r="G347" t="b">
        <v>1</v>
      </c>
      <c r="H347" t="b">
        <v>1</v>
      </c>
    </row>
    <row r="348" spans="1:8" x14ac:dyDescent="0.25">
      <c r="A348">
        <v>178</v>
      </c>
      <c r="B348" t="s">
        <v>314</v>
      </c>
      <c r="C348" t="s">
        <v>138</v>
      </c>
      <c r="D348" t="s">
        <v>1471</v>
      </c>
      <c r="E348" t="s">
        <v>3384</v>
      </c>
      <c r="F348" t="s">
        <v>1759</v>
      </c>
      <c r="G348" t="b">
        <v>1</v>
      </c>
      <c r="H348" t="b">
        <v>1</v>
      </c>
    </row>
    <row r="349" spans="1:8" x14ac:dyDescent="0.25">
      <c r="A349">
        <v>179</v>
      </c>
      <c r="B349" t="s">
        <v>315</v>
      </c>
      <c r="C349" t="s">
        <v>136</v>
      </c>
      <c r="D349" t="s">
        <v>1476</v>
      </c>
      <c r="E349" t="s">
        <v>1760</v>
      </c>
      <c r="F349" t="s">
        <v>1759</v>
      </c>
      <c r="G349" t="b">
        <v>1</v>
      </c>
    </row>
    <row r="350" spans="1:8" x14ac:dyDescent="0.25">
      <c r="A350">
        <v>180</v>
      </c>
      <c r="B350" t="s">
        <v>316</v>
      </c>
      <c r="C350" t="s">
        <v>138</v>
      </c>
      <c r="D350" t="s">
        <v>1471</v>
      </c>
      <c r="E350" t="s">
        <v>1761</v>
      </c>
      <c r="F350" t="s">
        <v>1762</v>
      </c>
      <c r="G350" t="b">
        <v>1</v>
      </c>
    </row>
    <row r="351" spans="1:8" x14ac:dyDescent="0.25">
      <c r="A351">
        <v>181</v>
      </c>
      <c r="B351" t="s">
        <v>317</v>
      </c>
      <c r="C351" t="s">
        <v>136</v>
      </c>
      <c r="D351" t="s">
        <v>1474</v>
      </c>
      <c r="E351" t="s">
        <v>1763</v>
      </c>
      <c r="F351" t="s">
        <v>1764</v>
      </c>
      <c r="G351" t="b">
        <v>1</v>
      </c>
    </row>
    <row r="352" spans="1:8" x14ac:dyDescent="0.25">
      <c r="A352">
        <v>182</v>
      </c>
      <c r="B352" t="s">
        <v>318</v>
      </c>
      <c r="C352" t="s">
        <v>136</v>
      </c>
      <c r="D352" t="s">
        <v>3409</v>
      </c>
      <c r="E352" t="s">
        <v>1595</v>
      </c>
      <c r="F352" t="s">
        <v>1765</v>
      </c>
      <c r="G352" t="b">
        <v>1</v>
      </c>
      <c r="H352" t="b">
        <v>1</v>
      </c>
    </row>
    <row r="353" spans="1:7" x14ac:dyDescent="0.25">
      <c r="A353">
        <v>183</v>
      </c>
      <c r="B353" t="s">
        <v>319</v>
      </c>
      <c r="C353" t="s">
        <v>136</v>
      </c>
      <c r="D353" t="s">
        <v>1474</v>
      </c>
      <c r="E353" t="s">
        <v>1581</v>
      </c>
      <c r="F353" t="s">
        <v>1766</v>
      </c>
      <c r="G353" t="b">
        <v>1</v>
      </c>
    </row>
    <row r="354" spans="1:7" x14ac:dyDescent="0.25">
      <c r="A354">
        <v>184</v>
      </c>
      <c r="B354" t="s">
        <v>320</v>
      </c>
      <c r="C354" t="s">
        <v>138</v>
      </c>
      <c r="D354" t="s">
        <v>1471</v>
      </c>
      <c r="E354" t="s">
        <v>1767</v>
      </c>
      <c r="F354" t="s">
        <v>1768</v>
      </c>
      <c r="G354" t="b">
        <v>1</v>
      </c>
    </row>
    <row r="355" spans="1:7" x14ac:dyDescent="0.25">
      <c r="A355">
        <v>185</v>
      </c>
      <c r="B355" t="s">
        <v>321</v>
      </c>
      <c r="C355" t="s">
        <v>138</v>
      </c>
      <c r="D355" t="s">
        <v>1471</v>
      </c>
      <c r="E355" t="s">
        <v>1769</v>
      </c>
      <c r="F355" t="s">
        <v>1770</v>
      </c>
      <c r="G355" t="b">
        <v>1</v>
      </c>
    </row>
    <row r="356" spans="1:7" x14ac:dyDescent="0.25">
      <c r="A356">
        <v>186</v>
      </c>
      <c r="B356" t="s">
        <v>322</v>
      </c>
      <c r="C356" t="s">
        <v>138</v>
      </c>
      <c r="D356" t="s">
        <v>1471</v>
      </c>
      <c r="E356" t="s">
        <v>1771</v>
      </c>
      <c r="F356" t="s">
        <v>1772</v>
      </c>
      <c r="G356" t="b">
        <v>1</v>
      </c>
    </row>
    <row r="357" spans="1:7" x14ac:dyDescent="0.25">
      <c r="A357">
        <v>187</v>
      </c>
      <c r="B357" t="s">
        <v>323</v>
      </c>
      <c r="C357" t="s">
        <v>136</v>
      </c>
      <c r="D357" t="s">
        <v>1476</v>
      </c>
      <c r="E357" t="s">
        <v>1773</v>
      </c>
      <c r="F357" t="s">
        <v>1774</v>
      </c>
      <c r="G357" t="b">
        <v>1</v>
      </c>
    </row>
    <row r="358" spans="1:7" x14ac:dyDescent="0.25">
      <c r="A358">
        <v>188</v>
      </c>
      <c r="B358" t="s">
        <v>324</v>
      </c>
      <c r="C358" t="s">
        <v>136</v>
      </c>
      <c r="D358" t="s">
        <v>1474</v>
      </c>
      <c r="E358" t="s">
        <v>1775</v>
      </c>
      <c r="F358" t="s">
        <v>1776</v>
      </c>
      <c r="G358" t="b">
        <v>1</v>
      </c>
    </row>
    <row r="359" spans="1:7" x14ac:dyDescent="0.25">
      <c r="A359">
        <v>189</v>
      </c>
      <c r="B359" t="s">
        <v>325</v>
      </c>
      <c r="C359" t="s">
        <v>136</v>
      </c>
      <c r="D359" t="s">
        <v>1476</v>
      </c>
      <c r="E359" t="s">
        <v>1777</v>
      </c>
      <c r="F359" t="s">
        <v>1776</v>
      </c>
      <c r="G359" t="b">
        <v>1</v>
      </c>
    </row>
    <row r="360" spans="1:7" x14ac:dyDescent="0.25">
      <c r="A360">
        <v>190</v>
      </c>
      <c r="B360" t="s">
        <v>326</v>
      </c>
      <c r="C360" t="s">
        <v>138</v>
      </c>
      <c r="D360" t="s">
        <v>1471</v>
      </c>
      <c r="E360" t="s">
        <v>1778</v>
      </c>
      <c r="F360" t="s">
        <v>1779</v>
      </c>
      <c r="G360" t="b">
        <v>1</v>
      </c>
    </row>
    <row r="361" spans="1:7" x14ac:dyDescent="0.25">
      <c r="A361">
        <v>191</v>
      </c>
      <c r="B361" t="s">
        <v>327</v>
      </c>
      <c r="C361" t="s">
        <v>136</v>
      </c>
      <c r="D361" t="s">
        <v>1474</v>
      </c>
      <c r="E361" t="s">
        <v>1780</v>
      </c>
      <c r="F361" t="s">
        <v>1781</v>
      </c>
      <c r="G361" t="b">
        <v>1</v>
      </c>
    </row>
    <row r="362" spans="1:7" x14ac:dyDescent="0.25">
      <c r="A362">
        <v>192</v>
      </c>
      <c r="B362" t="s">
        <v>328</v>
      </c>
      <c r="C362" t="s">
        <v>138</v>
      </c>
      <c r="D362" t="s">
        <v>1471</v>
      </c>
      <c r="E362" t="s">
        <v>1782</v>
      </c>
      <c r="F362" t="s">
        <v>1783</v>
      </c>
      <c r="G362" t="b">
        <v>1</v>
      </c>
    </row>
    <row r="363" spans="1:7" x14ac:dyDescent="0.25">
      <c r="A363">
        <v>193</v>
      </c>
      <c r="B363" t="s">
        <v>329</v>
      </c>
      <c r="C363" t="s">
        <v>136</v>
      </c>
      <c r="D363" t="s">
        <v>1474</v>
      </c>
      <c r="E363" t="s">
        <v>1784</v>
      </c>
      <c r="F363" t="s">
        <v>1785</v>
      </c>
      <c r="G363" t="b">
        <v>1</v>
      </c>
    </row>
    <row r="364" spans="1:7" x14ac:dyDescent="0.25">
      <c r="A364">
        <v>194</v>
      </c>
      <c r="B364" t="s">
        <v>330</v>
      </c>
      <c r="C364" t="s">
        <v>136</v>
      </c>
      <c r="D364" t="s">
        <v>1474</v>
      </c>
      <c r="E364" t="s">
        <v>1786</v>
      </c>
      <c r="F364" t="s">
        <v>1787</v>
      </c>
      <c r="G364" t="b">
        <v>1</v>
      </c>
    </row>
    <row r="365" spans="1:7" x14ac:dyDescent="0.25">
      <c r="A365">
        <v>195</v>
      </c>
      <c r="B365" t="s">
        <v>331</v>
      </c>
      <c r="C365" t="s">
        <v>138</v>
      </c>
      <c r="D365" t="s">
        <v>1471</v>
      </c>
      <c r="E365" t="s">
        <v>1788</v>
      </c>
      <c r="F365" t="s">
        <v>1789</v>
      </c>
      <c r="G365" t="b">
        <v>1</v>
      </c>
    </row>
    <row r="366" spans="1:7" x14ac:dyDescent="0.25">
      <c r="A366">
        <v>196</v>
      </c>
      <c r="B366" t="s">
        <v>332</v>
      </c>
      <c r="C366" t="s">
        <v>136</v>
      </c>
      <c r="D366" t="s">
        <v>1474</v>
      </c>
      <c r="E366" t="s">
        <v>1790</v>
      </c>
      <c r="F366" t="s">
        <v>1791</v>
      </c>
      <c r="G366" t="b">
        <v>1</v>
      </c>
    </row>
    <row r="367" spans="1:7" x14ac:dyDescent="0.25">
      <c r="A367">
        <v>197</v>
      </c>
      <c r="B367" t="s">
        <v>333</v>
      </c>
      <c r="C367" t="s">
        <v>138</v>
      </c>
      <c r="D367" t="s">
        <v>1471</v>
      </c>
      <c r="E367" t="s">
        <v>1792</v>
      </c>
      <c r="F367" t="s">
        <v>1793</v>
      </c>
      <c r="G367" t="b">
        <v>1</v>
      </c>
    </row>
    <row r="368" spans="1:7" x14ac:dyDescent="0.25">
      <c r="A368">
        <v>198</v>
      </c>
      <c r="B368" t="s">
        <v>334</v>
      </c>
      <c r="C368" t="s">
        <v>138</v>
      </c>
      <c r="D368" t="s">
        <v>1471</v>
      </c>
      <c r="E368" t="s">
        <v>1794</v>
      </c>
      <c r="F368" t="s">
        <v>1795</v>
      </c>
      <c r="G368" t="b">
        <v>1</v>
      </c>
    </row>
    <row r="369" spans="1:8" x14ac:dyDescent="0.25">
      <c r="A369">
        <v>199</v>
      </c>
      <c r="B369" t="s">
        <v>335</v>
      </c>
      <c r="C369" t="s">
        <v>136</v>
      </c>
      <c r="D369" t="s">
        <v>1476</v>
      </c>
      <c r="E369" t="s">
        <v>1796</v>
      </c>
      <c r="F369" t="s">
        <v>1795</v>
      </c>
      <c r="G369" t="b">
        <v>1</v>
      </c>
    </row>
    <row r="370" spans="1:8" x14ac:dyDescent="0.25">
      <c r="A370">
        <v>200</v>
      </c>
      <c r="B370" t="s">
        <v>336</v>
      </c>
      <c r="C370" t="s">
        <v>136</v>
      </c>
      <c r="D370" t="s">
        <v>3405</v>
      </c>
      <c r="E370" t="s">
        <v>3339</v>
      </c>
      <c r="F370" t="s">
        <v>1797</v>
      </c>
      <c r="G370" t="b">
        <v>1</v>
      </c>
      <c r="H370" t="b">
        <v>1</v>
      </c>
    </row>
    <row r="371" spans="1:8" x14ac:dyDescent="0.25">
      <c r="A371">
        <v>201</v>
      </c>
      <c r="B371" t="s">
        <v>337</v>
      </c>
      <c r="C371" t="s">
        <v>138</v>
      </c>
      <c r="D371" t="s">
        <v>1471</v>
      </c>
      <c r="E371" t="s">
        <v>1798</v>
      </c>
      <c r="F371" t="s">
        <v>1799</v>
      </c>
      <c r="G371" t="b">
        <v>1</v>
      </c>
    </row>
    <row r="372" spans="1:8" x14ac:dyDescent="0.25">
      <c r="A372">
        <v>202</v>
      </c>
      <c r="B372" t="s">
        <v>338</v>
      </c>
      <c r="C372" t="s">
        <v>138</v>
      </c>
      <c r="D372" t="s">
        <v>1471</v>
      </c>
      <c r="E372" t="s">
        <v>1800</v>
      </c>
      <c r="F372" t="s">
        <v>1801</v>
      </c>
      <c r="G372" t="b">
        <v>1</v>
      </c>
    </row>
    <row r="373" spans="1:8" x14ac:dyDescent="0.25">
      <c r="A373">
        <v>203</v>
      </c>
      <c r="B373" t="s">
        <v>339</v>
      </c>
      <c r="C373" t="s">
        <v>138</v>
      </c>
      <c r="D373" t="s">
        <v>1471</v>
      </c>
      <c r="E373" t="s">
        <v>1802</v>
      </c>
      <c r="F373" t="s">
        <v>1803</v>
      </c>
      <c r="G373" t="b">
        <v>1</v>
      </c>
    </row>
    <row r="374" spans="1:8" x14ac:dyDescent="0.25">
      <c r="A374">
        <v>204</v>
      </c>
      <c r="B374" t="s">
        <v>340</v>
      </c>
      <c r="C374" t="s">
        <v>138</v>
      </c>
      <c r="D374" t="s">
        <v>1471</v>
      </c>
      <c r="E374" t="s">
        <v>1804</v>
      </c>
      <c r="F374" t="s">
        <v>1805</v>
      </c>
      <c r="G374" t="b">
        <v>1</v>
      </c>
    </row>
    <row r="375" spans="1:8" x14ac:dyDescent="0.25">
      <c r="A375">
        <v>205</v>
      </c>
      <c r="B375" t="s">
        <v>341</v>
      </c>
      <c r="C375" t="s">
        <v>136</v>
      </c>
      <c r="D375" t="s">
        <v>1476</v>
      </c>
      <c r="E375" t="s">
        <v>1806</v>
      </c>
      <c r="F375" t="s">
        <v>1805</v>
      </c>
      <c r="G375" t="b">
        <v>1</v>
      </c>
    </row>
    <row r="376" spans="1:8" x14ac:dyDescent="0.25">
      <c r="A376">
        <v>206</v>
      </c>
      <c r="B376" t="s">
        <v>342</v>
      </c>
      <c r="C376" t="s">
        <v>138</v>
      </c>
      <c r="D376" t="s">
        <v>1471</v>
      </c>
      <c r="E376" t="s">
        <v>1807</v>
      </c>
      <c r="F376" t="s">
        <v>1808</v>
      </c>
      <c r="G376" t="b">
        <v>1</v>
      </c>
    </row>
    <row r="377" spans="1:8" x14ac:dyDescent="0.25">
      <c r="A377">
        <v>207</v>
      </c>
      <c r="B377" t="s">
        <v>343</v>
      </c>
      <c r="C377" t="s">
        <v>138</v>
      </c>
      <c r="D377" t="s">
        <v>3409</v>
      </c>
      <c r="E377" t="s">
        <v>1728</v>
      </c>
      <c r="F377" t="s">
        <v>1809</v>
      </c>
      <c r="G377" t="b">
        <v>1</v>
      </c>
    </row>
    <row r="378" spans="1:8" x14ac:dyDescent="0.25">
      <c r="A378">
        <v>208</v>
      </c>
      <c r="B378" t="s">
        <v>344</v>
      </c>
      <c r="C378" t="s">
        <v>136</v>
      </c>
      <c r="D378" t="s">
        <v>1474</v>
      </c>
      <c r="E378" t="s">
        <v>1810</v>
      </c>
      <c r="F378" t="s">
        <v>1809</v>
      </c>
      <c r="G378" t="b">
        <v>1</v>
      </c>
    </row>
    <row r="379" spans="1:8" x14ac:dyDescent="0.25">
      <c r="A379">
        <v>209</v>
      </c>
      <c r="B379" t="s">
        <v>345</v>
      </c>
      <c r="C379" t="s">
        <v>136</v>
      </c>
      <c r="D379" t="s">
        <v>1476</v>
      </c>
      <c r="E379" t="s">
        <v>1811</v>
      </c>
      <c r="F379" t="s">
        <v>1809</v>
      </c>
      <c r="G379" t="b">
        <v>1</v>
      </c>
    </row>
    <row r="380" spans="1:8" x14ac:dyDescent="0.25">
      <c r="A380">
        <v>210</v>
      </c>
      <c r="B380" t="s">
        <v>346</v>
      </c>
      <c r="C380" t="s">
        <v>138</v>
      </c>
      <c r="D380" t="s">
        <v>1471</v>
      </c>
      <c r="E380" t="s">
        <v>1812</v>
      </c>
      <c r="F380" t="s">
        <v>1813</v>
      </c>
      <c r="G380" t="b">
        <v>1</v>
      </c>
    </row>
    <row r="381" spans="1:8" x14ac:dyDescent="0.25">
      <c r="A381">
        <v>211</v>
      </c>
      <c r="B381" t="s">
        <v>347</v>
      </c>
      <c r="C381" t="s">
        <v>138</v>
      </c>
      <c r="D381" t="s">
        <v>1471</v>
      </c>
      <c r="E381" t="s">
        <v>1814</v>
      </c>
      <c r="F381" t="s">
        <v>1815</v>
      </c>
      <c r="G381" t="b">
        <v>1</v>
      </c>
    </row>
    <row r="382" spans="1:8" x14ac:dyDescent="0.25">
      <c r="A382">
        <v>212</v>
      </c>
      <c r="B382" t="s">
        <v>348</v>
      </c>
      <c r="C382" t="s">
        <v>138</v>
      </c>
      <c r="D382" t="s">
        <v>1471</v>
      </c>
      <c r="E382" t="s">
        <v>1816</v>
      </c>
      <c r="F382" t="s">
        <v>1817</v>
      </c>
      <c r="G382" t="b">
        <v>1</v>
      </c>
    </row>
    <row r="383" spans="1:8" x14ac:dyDescent="0.25">
      <c r="A383">
        <v>213</v>
      </c>
      <c r="B383" t="s">
        <v>349</v>
      </c>
      <c r="C383" t="s">
        <v>138</v>
      </c>
      <c r="D383" t="s">
        <v>1471</v>
      </c>
      <c r="E383" t="s">
        <v>1709</v>
      </c>
      <c r="F383" t="s">
        <v>1818</v>
      </c>
      <c r="G383" t="b">
        <v>1</v>
      </c>
    </row>
    <row r="384" spans="1:8" x14ac:dyDescent="0.25">
      <c r="A384">
        <v>214</v>
      </c>
      <c r="B384" t="s">
        <v>350</v>
      </c>
      <c r="C384" t="s">
        <v>136</v>
      </c>
      <c r="D384" t="s">
        <v>1474</v>
      </c>
      <c r="E384" t="s">
        <v>1819</v>
      </c>
      <c r="F384" t="s">
        <v>1820</v>
      </c>
      <c r="G384" t="b">
        <v>1</v>
      </c>
    </row>
    <row r="385" spans="1:8" x14ac:dyDescent="0.25">
      <c r="A385">
        <v>215</v>
      </c>
      <c r="B385" t="s">
        <v>351</v>
      </c>
      <c r="C385" t="s">
        <v>136</v>
      </c>
      <c r="D385" t="s">
        <v>1474</v>
      </c>
      <c r="E385" t="s">
        <v>1821</v>
      </c>
      <c r="F385" t="s">
        <v>1820</v>
      </c>
      <c r="G385" t="b">
        <v>1</v>
      </c>
    </row>
    <row r="386" spans="1:8" x14ac:dyDescent="0.25">
      <c r="A386">
        <v>216</v>
      </c>
      <c r="B386" t="s">
        <v>352</v>
      </c>
      <c r="C386" t="s">
        <v>138</v>
      </c>
      <c r="D386" t="s">
        <v>1471</v>
      </c>
      <c r="E386" t="s">
        <v>1822</v>
      </c>
      <c r="F386" t="s">
        <v>1820</v>
      </c>
      <c r="G386" t="b">
        <v>1</v>
      </c>
    </row>
    <row r="387" spans="1:8" x14ac:dyDescent="0.25">
      <c r="A387">
        <v>217</v>
      </c>
      <c r="B387" t="s">
        <v>353</v>
      </c>
      <c r="C387" t="s">
        <v>136</v>
      </c>
      <c r="D387" t="s">
        <v>1474</v>
      </c>
      <c r="E387" t="s">
        <v>1823</v>
      </c>
      <c r="F387" t="s">
        <v>1824</v>
      </c>
      <c r="G387" t="b">
        <v>1</v>
      </c>
    </row>
    <row r="388" spans="1:8" x14ac:dyDescent="0.25">
      <c r="A388">
        <v>218</v>
      </c>
      <c r="B388" t="s">
        <v>354</v>
      </c>
      <c r="C388" t="s">
        <v>138</v>
      </c>
      <c r="D388" t="s">
        <v>1471</v>
      </c>
      <c r="E388" t="s">
        <v>1825</v>
      </c>
      <c r="F388" t="s">
        <v>1826</v>
      </c>
      <c r="G388" t="b">
        <v>1</v>
      </c>
    </row>
    <row r="389" spans="1:8" x14ac:dyDescent="0.25">
      <c r="A389">
        <v>219</v>
      </c>
      <c r="B389" t="s">
        <v>355</v>
      </c>
      <c r="C389" t="s">
        <v>136</v>
      </c>
      <c r="D389" t="s">
        <v>3408</v>
      </c>
      <c r="E389" t="s">
        <v>1827</v>
      </c>
      <c r="F389" t="s">
        <v>1828</v>
      </c>
      <c r="G389" t="b">
        <v>1</v>
      </c>
    </row>
    <row r="390" spans="1:8" x14ac:dyDescent="0.25">
      <c r="A390">
        <v>220</v>
      </c>
      <c r="B390" t="s">
        <v>356</v>
      </c>
      <c r="C390" t="s">
        <v>138</v>
      </c>
      <c r="D390" t="s">
        <v>1471</v>
      </c>
      <c r="E390" t="s">
        <v>1829</v>
      </c>
      <c r="F390" t="s">
        <v>1830</v>
      </c>
      <c r="G390" t="b">
        <v>1</v>
      </c>
    </row>
    <row r="391" spans="1:8" x14ac:dyDescent="0.25">
      <c r="A391">
        <v>221</v>
      </c>
      <c r="B391" t="s">
        <v>357</v>
      </c>
      <c r="C391" t="s">
        <v>136</v>
      </c>
      <c r="D391" t="s">
        <v>1474</v>
      </c>
      <c r="E391" t="s">
        <v>1831</v>
      </c>
      <c r="F391" t="s">
        <v>1832</v>
      </c>
      <c r="G391" t="b">
        <v>1</v>
      </c>
    </row>
    <row r="392" spans="1:8" x14ac:dyDescent="0.25">
      <c r="A392">
        <v>222</v>
      </c>
      <c r="B392" t="s">
        <v>358</v>
      </c>
      <c r="C392" t="s">
        <v>138</v>
      </c>
      <c r="D392" t="s">
        <v>1471</v>
      </c>
      <c r="E392" t="s">
        <v>1833</v>
      </c>
      <c r="F392" t="s">
        <v>1832</v>
      </c>
      <c r="G392" t="b">
        <v>1</v>
      </c>
    </row>
    <row r="393" spans="1:8" x14ac:dyDescent="0.25">
      <c r="A393">
        <v>223</v>
      </c>
      <c r="B393" t="s">
        <v>359</v>
      </c>
      <c r="C393" t="s">
        <v>138</v>
      </c>
      <c r="D393" t="s">
        <v>1471</v>
      </c>
      <c r="E393" t="s">
        <v>1834</v>
      </c>
      <c r="F393" t="s">
        <v>1835</v>
      </c>
      <c r="G393" t="b">
        <v>1</v>
      </c>
    </row>
    <row r="394" spans="1:8" x14ac:dyDescent="0.25">
      <c r="A394">
        <v>224</v>
      </c>
      <c r="B394" t="s">
        <v>360</v>
      </c>
      <c r="C394" t="s">
        <v>138</v>
      </c>
      <c r="D394" t="s">
        <v>1471</v>
      </c>
      <c r="E394" t="s">
        <v>1836</v>
      </c>
      <c r="F394" t="s">
        <v>1837</v>
      </c>
      <c r="G394" t="b">
        <v>1</v>
      </c>
    </row>
    <row r="395" spans="1:8" x14ac:dyDescent="0.25">
      <c r="A395">
        <v>225</v>
      </c>
      <c r="B395" t="s">
        <v>361</v>
      </c>
      <c r="C395" t="s">
        <v>138</v>
      </c>
      <c r="D395" t="s">
        <v>1471</v>
      </c>
      <c r="E395" t="s">
        <v>1838</v>
      </c>
      <c r="F395" t="s">
        <v>1839</v>
      </c>
      <c r="G395" t="b">
        <v>1</v>
      </c>
    </row>
    <row r="396" spans="1:8" x14ac:dyDescent="0.25">
      <c r="A396">
        <v>226</v>
      </c>
      <c r="B396" t="s">
        <v>362</v>
      </c>
      <c r="C396" t="s">
        <v>138</v>
      </c>
      <c r="D396" t="s">
        <v>1471</v>
      </c>
      <c r="E396" t="s">
        <v>1840</v>
      </c>
      <c r="F396" t="s">
        <v>1841</v>
      </c>
      <c r="G396" t="b">
        <v>1</v>
      </c>
    </row>
    <row r="397" spans="1:8" x14ac:dyDescent="0.25">
      <c r="A397">
        <v>227</v>
      </c>
      <c r="B397" t="s">
        <v>363</v>
      </c>
      <c r="C397" t="s">
        <v>138</v>
      </c>
      <c r="D397" t="s">
        <v>1471</v>
      </c>
      <c r="E397" t="s">
        <v>1842</v>
      </c>
      <c r="F397" t="s">
        <v>1843</v>
      </c>
      <c r="G397" t="b">
        <v>1</v>
      </c>
    </row>
    <row r="398" spans="1:8" x14ac:dyDescent="0.25">
      <c r="A398">
        <v>228</v>
      </c>
      <c r="B398" t="s">
        <v>364</v>
      </c>
      <c r="C398" t="s">
        <v>136</v>
      </c>
      <c r="D398" t="s">
        <v>1476</v>
      </c>
      <c r="E398" t="s">
        <v>1697</v>
      </c>
      <c r="F398" t="s">
        <v>1843</v>
      </c>
      <c r="G398" t="b">
        <v>1</v>
      </c>
    </row>
    <row r="399" spans="1:8" x14ac:dyDescent="0.25">
      <c r="A399">
        <v>229</v>
      </c>
      <c r="B399" t="s">
        <v>365</v>
      </c>
      <c r="C399" t="s">
        <v>138</v>
      </c>
      <c r="D399" t="s">
        <v>1471</v>
      </c>
      <c r="E399" t="s">
        <v>1844</v>
      </c>
      <c r="F399" t="s">
        <v>1845</v>
      </c>
      <c r="G399" t="b">
        <v>1</v>
      </c>
    </row>
    <row r="400" spans="1:8" x14ac:dyDescent="0.25">
      <c r="A400">
        <v>230</v>
      </c>
      <c r="B400" t="s">
        <v>366</v>
      </c>
      <c r="C400" t="s">
        <v>136</v>
      </c>
      <c r="D400" t="s">
        <v>1476</v>
      </c>
      <c r="E400" t="s">
        <v>3340</v>
      </c>
      <c r="F400" t="s">
        <v>1845</v>
      </c>
      <c r="G400" t="b">
        <v>1</v>
      </c>
      <c r="H400" t="b">
        <v>1</v>
      </c>
    </row>
    <row r="401" spans="1:8" x14ac:dyDescent="0.25">
      <c r="A401">
        <v>231</v>
      </c>
      <c r="B401" t="s">
        <v>367</v>
      </c>
      <c r="C401" t="s">
        <v>136</v>
      </c>
      <c r="D401" t="s">
        <v>1474</v>
      </c>
      <c r="E401" t="s">
        <v>1846</v>
      </c>
      <c r="F401" t="s">
        <v>1847</v>
      </c>
      <c r="G401" t="b">
        <v>1</v>
      </c>
    </row>
    <row r="402" spans="1:8" x14ac:dyDescent="0.25">
      <c r="A402">
        <v>232</v>
      </c>
      <c r="B402" t="s">
        <v>368</v>
      </c>
      <c r="C402" t="s">
        <v>138</v>
      </c>
      <c r="D402" t="s">
        <v>3415</v>
      </c>
      <c r="E402" t="s">
        <v>1848</v>
      </c>
      <c r="F402" t="s">
        <v>1849</v>
      </c>
      <c r="G402" t="b">
        <v>1</v>
      </c>
    </row>
    <row r="403" spans="1:8" x14ac:dyDescent="0.25">
      <c r="A403">
        <v>233</v>
      </c>
      <c r="B403" t="s">
        <v>369</v>
      </c>
      <c r="C403" t="s">
        <v>138</v>
      </c>
      <c r="D403" t="s">
        <v>1471</v>
      </c>
      <c r="E403" t="s">
        <v>1850</v>
      </c>
      <c r="F403" t="s">
        <v>1851</v>
      </c>
      <c r="G403" t="b">
        <v>1</v>
      </c>
    </row>
    <row r="404" spans="1:8" x14ac:dyDescent="0.25">
      <c r="A404">
        <v>234</v>
      </c>
      <c r="B404" t="s">
        <v>370</v>
      </c>
      <c r="C404" t="s">
        <v>136</v>
      </c>
      <c r="D404" t="s">
        <v>1476</v>
      </c>
      <c r="E404" t="s">
        <v>1852</v>
      </c>
      <c r="F404" t="s">
        <v>1853</v>
      </c>
      <c r="G404" t="b">
        <v>1</v>
      </c>
    </row>
    <row r="405" spans="1:8" x14ac:dyDescent="0.25">
      <c r="A405">
        <v>235</v>
      </c>
      <c r="B405" t="s">
        <v>371</v>
      </c>
      <c r="C405" t="s">
        <v>138</v>
      </c>
      <c r="D405" t="s">
        <v>3414</v>
      </c>
      <c r="E405" t="s">
        <v>1854</v>
      </c>
      <c r="F405" t="s">
        <v>1855</v>
      </c>
      <c r="G405" t="b">
        <v>1</v>
      </c>
    </row>
    <row r="406" spans="1:8" x14ac:dyDescent="0.25">
      <c r="A406">
        <v>236</v>
      </c>
      <c r="B406" t="s">
        <v>372</v>
      </c>
      <c r="C406" t="s">
        <v>138</v>
      </c>
      <c r="D406" t="s">
        <v>1471</v>
      </c>
      <c r="E406" t="s">
        <v>1856</v>
      </c>
      <c r="F406" t="s">
        <v>1857</v>
      </c>
      <c r="G406" t="b">
        <v>1</v>
      </c>
    </row>
    <row r="407" spans="1:8" x14ac:dyDescent="0.25">
      <c r="A407">
        <v>237</v>
      </c>
      <c r="B407" t="s">
        <v>373</v>
      </c>
      <c r="C407" t="s">
        <v>138</v>
      </c>
      <c r="D407" t="s">
        <v>1471</v>
      </c>
      <c r="E407" t="s">
        <v>1858</v>
      </c>
      <c r="F407" t="s">
        <v>1859</v>
      </c>
      <c r="G407" t="b">
        <v>1</v>
      </c>
    </row>
    <row r="408" spans="1:8" x14ac:dyDescent="0.25">
      <c r="A408">
        <v>238</v>
      </c>
      <c r="B408" t="s">
        <v>374</v>
      </c>
      <c r="C408" t="s">
        <v>138</v>
      </c>
      <c r="D408" t="s">
        <v>1471</v>
      </c>
      <c r="E408" t="s">
        <v>1686</v>
      </c>
      <c r="F408" t="s">
        <v>1860</v>
      </c>
      <c r="G408" t="b">
        <v>1</v>
      </c>
    </row>
    <row r="409" spans="1:8" x14ac:dyDescent="0.25">
      <c r="A409">
        <v>239</v>
      </c>
      <c r="B409" t="s">
        <v>375</v>
      </c>
      <c r="C409" t="s">
        <v>136</v>
      </c>
      <c r="D409" t="s">
        <v>1476</v>
      </c>
      <c r="E409" t="s">
        <v>1467</v>
      </c>
      <c r="F409" t="s">
        <v>1861</v>
      </c>
      <c r="G409" t="b">
        <v>1</v>
      </c>
    </row>
    <row r="410" spans="1:8" x14ac:dyDescent="0.25">
      <c r="A410">
        <v>240</v>
      </c>
      <c r="B410" t="s">
        <v>376</v>
      </c>
      <c r="C410" t="s">
        <v>138</v>
      </c>
      <c r="D410" t="s">
        <v>1471</v>
      </c>
      <c r="E410" t="s">
        <v>3385</v>
      </c>
      <c r="F410" t="s">
        <v>1862</v>
      </c>
      <c r="G410" t="b">
        <v>1</v>
      </c>
      <c r="H410" t="b">
        <v>1</v>
      </c>
    </row>
    <row r="411" spans="1:8" x14ac:dyDescent="0.25">
      <c r="A411">
        <v>241</v>
      </c>
      <c r="B411" t="s">
        <v>377</v>
      </c>
      <c r="C411" t="s">
        <v>138</v>
      </c>
      <c r="D411" t="s">
        <v>1471</v>
      </c>
      <c r="E411" t="s">
        <v>1863</v>
      </c>
      <c r="F411" t="s">
        <v>1864</v>
      </c>
      <c r="G411" t="b">
        <v>1</v>
      </c>
    </row>
    <row r="412" spans="1:8" x14ac:dyDescent="0.25">
      <c r="A412">
        <v>242</v>
      </c>
      <c r="B412" t="s">
        <v>378</v>
      </c>
      <c r="C412" t="s">
        <v>138</v>
      </c>
      <c r="D412" t="s">
        <v>1471</v>
      </c>
      <c r="E412" t="s">
        <v>1865</v>
      </c>
      <c r="F412" t="s">
        <v>1866</v>
      </c>
      <c r="G412" t="b">
        <v>1</v>
      </c>
    </row>
    <row r="413" spans="1:8" x14ac:dyDescent="0.25">
      <c r="A413">
        <v>243</v>
      </c>
      <c r="B413" t="s">
        <v>379</v>
      </c>
      <c r="C413" t="s">
        <v>136</v>
      </c>
      <c r="D413" t="s">
        <v>1474</v>
      </c>
      <c r="E413" t="s">
        <v>1867</v>
      </c>
      <c r="F413" t="s">
        <v>1868</v>
      </c>
      <c r="G413" t="b">
        <v>1</v>
      </c>
    </row>
    <row r="414" spans="1:8" x14ac:dyDescent="0.25">
      <c r="A414">
        <v>244</v>
      </c>
      <c r="B414" t="s">
        <v>380</v>
      </c>
      <c r="C414" t="s">
        <v>138</v>
      </c>
      <c r="D414" t="s">
        <v>1471</v>
      </c>
      <c r="E414" t="s">
        <v>1472</v>
      </c>
      <c r="F414" t="s">
        <v>1869</v>
      </c>
      <c r="G414" t="b">
        <v>1</v>
      </c>
    </row>
    <row r="415" spans="1:8" x14ac:dyDescent="0.25">
      <c r="A415">
        <v>245</v>
      </c>
      <c r="B415" t="s">
        <v>381</v>
      </c>
      <c r="C415" t="s">
        <v>138</v>
      </c>
      <c r="D415" t="s">
        <v>1471</v>
      </c>
      <c r="E415" t="s">
        <v>1870</v>
      </c>
      <c r="F415" t="s">
        <v>1871</v>
      </c>
      <c r="G415" t="b">
        <v>1</v>
      </c>
    </row>
    <row r="416" spans="1:8" x14ac:dyDescent="0.25">
      <c r="A416">
        <v>246</v>
      </c>
      <c r="B416" t="s">
        <v>382</v>
      </c>
      <c r="C416" t="s">
        <v>136</v>
      </c>
      <c r="D416" t="s">
        <v>3341</v>
      </c>
      <c r="E416" t="s">
        <v>1872</v>
      </c>
      <c r="F416" t="s">
        <v>3313</v>
      </c>
      <c r="G416" t="b">
        <v>1</v>
      </c>
      <c r="H416" t="b">
        <v>1</v>
      </c>
    </row>
    <row r="417" spans="1:8" x14ac:dyDescent="0.25">
      <c r="A417">
        <v>247</v>
      </c>
      <c r="B417" t="s">
        <v>383</v>
      </c>
      <c r="C417" t="s">
        <v>138</v>
      </c>
      <c r="D417" t="s">
        <v>1471</v>
      </c>
      <c r="E417" t="s">
        <v>1873</v>
      </c>
      <c r="F417" t="s">
        <v>1874</v>
      </c>
      <c r="G417" t="b">
        <v>1</v>
      </c>
    </row>
    <row r="418" spans="1:8" x14ac:dyDescent="0.25">
      <c r="A418">
        <v>248</v>
      </c>
      <c r="B418" t="s">
        <v>384</v>
      </c>
      <c r="C418" t="s">
        <v>136</v>
      </c>
      <c r="D418" t="s">
        <v>1476</v>
      </c>
      <c r="E418" t="s">
        <v>1875</v>
      </c>
      <c r="F418" t="s">
        <v>1874</v>
      </c>
      <c r="G418" t="b">
        <v>1</v>
      </c>
    </row>
    <row r="419" spans="1:8" x14ac:dyDescent="0.25">
      <c r="A419">
        <v>249</v>
      </c>
      <c r="B419" t="s">
        <v>385</v>
      </c>
      <c r="C419" t="s">
        <v>138</v>
      </c>
      <c r="D419" t="s">
        <v>1471</v>
      </c>
      <c r="E419" t="s">
        <v>1876</v>
      </c>
      <c r="F419" t="s">
        <v>1877</v>
      </c>
      <c r="G419" t="b">
        <v>1</v>
      </c>
    </row>
    <row r="420" spans="1:8" x14ac:dyDescent="0.25">
      <c r="A420">
        <v>250</v>
      </c>
      <c r="B420" t="s">
        <v>386</v>
      </c>
      <c r="C420" t="s">
        <v>138</v>
      </c>
      <c r="D420" t="s">
        <v>1475</v>
      </c>
      <c r="E420" t="s">
        <v>1878</v>
      </c>
      <c r="F420" t="s">
        <v>1879</v>
      </c>
      <c r="G420" t="b">
        <v>1</v>
      </c>
    </row>
    <row r="421" spans="1:8" x14ac:dyDescent="0.25">
      <c r="A421">
        <v>251</v>
      </c>
      <c r="B421" t="s">
        <v>387</v>
      </c>
      <c r="C421" t="s">
        <v>136</v>
      </c>
      <c r="D421" t="s">
        <v>1474</v>
      </c>
      <c r="E421" t="s">
        <v>1880</v>
      </c>
      <c r="F421" t="s">
        <v>1879</v>
      </c>
      <c r="G421" t="b">
        <v>1</v>
      </c>
    </row>
    <row r="422" spans="1:8" x14ac:dyDescent="0.25">
      <c r="A422">
        <v>252</v>
      </c>
      <c r="B422" t="s">
        <v>388</v>
      </c>
      <c r="C422" t="s">
        <v>136</v>
      </c>
      <c r="D422" t="s">
        <v>1474</v>
      </c>
      <c r="E422" t="s">
        <v>3359</v>
      </c>
      <c r="F422" t="s">
        <v>1879</v>
      </c>
      <c r="G422" t="b">
        <v>1</v>
      </c>
      <c r="H422" t="b">
        <v>1</v>
      </c>
    </row>
    <row r="423" spans="1:8" x14ac:dyDescent="0.25">
      <c r="A423">
        <v>253</v>
      </c>
      <c r="B423" t="s">
        <v>389</v>
      </c>
      <c r="C423" t="s">
        <v>138</v>
      </c>
      <c r="D423" t="s">
        <v>1471</v>
      </c>
      <c r="E423" t="s">
        <v>1881</v>
      </c>
      <c r="F423" t="s">
        <v>1879</v>
      </c>
      <c r="G423" t="b">
        <v>1</v>
      </c>
    </row>
    <row r="424" spans="1:8" x14ac:dyDescent="0.25">
      <c r="A424">
        <v>254</v>
      </c>
      <c r="B424" t="s">
        <v>390</v>
      </c>
      <c r="C424" t="s">
        <v>136</v>
      </c>
      <c r="D424" t="s">
        <v>1476</v>
      </c>
      <c r="E424" t="s">
        <v>1882</v>
      </c>
      <c r="F424" t="s">
        <v>1879</v>
      </c>
      <c r="G424" t="b">
        <v>1</v>
      </c>
    </row>
    <row r="425" spans="1:8" x14ac:dyDescent="0.25">
      <c r="A425">
        <v>255</v>
      </c>
      <c r="B425" t="s">
        <v>391</v>
      </c>
      <c r="C425" t="s">
        <v>138</v>
      </c>
      <c r="D425" t="s">
        <v>1471</v>
      </c>
      <c r="E425" t="s">
        <v>1883</v>
      </c>
      <c r="F425" t="s">
        <v>1884</v>
      </c>
      <c r="G425" t="b">
        <v>1</v>
      </c>
    </row>
    <row r="426" spans="1:8" x14ac:dyDescent="0.25">
      <c r="A426">
        <v>256</v>
      </c>
      <c r="B426" t="s">
        <v>392</v>
      </c>
      <c r="C426" t="s">
        <v>136</v>
      </c>
      <c r="D426" t="s">
        <v>3405</v>
      </c>
      <c r="E426" t="s">
        <v>1885</v>
      </c>
      <c r="F426" t="s">
        <v>1886</v>
      </c>
      <c r="G426" t="b">
        <v>1</v>
      </c>
    </row>
    <row r="427" spans="1:8" x14ac:dyDescent="0.25">
      <c r="A427">
        <v>257</v>
      </c>
      <c r="B427" t="s">
        <v>393</v>
      </c>
      <c r="C427" t="s">
        <v>138</v>
      </c>
      <c r="D427" t="s">
        <v>1471</v>
      </c>
      <c r="E427" t="s">
        <v>1887</v>
      </c>
      <c r="F427" t="s">
        <v>1888</v>
      </c>
      <c r="G427" t="b">
        <v>1</v>
      </c>
    </row>
    <row r="428" spans="1:8" x14ac:dyDescent="0.25">
      <c r="A428">
        <v>258</v>
      </c>
      <c r="B428" t="s">
        <v>394</v>
      </c>
      <c r="C428" t="s">
        <v>136</v>
      </c>
      <c r="D428" t="s">
        <v>1476</v>
      </c>
      <c r="E428" t="s">
        <v>1885</v>
      </c>
      <c r="F428" t="s">
        <v>1889</v>
      </c>
      <c r="G428" t="b">
        <v>1</v>
      </c>
    </row>
    <row r="429" spans="1:8" x14ac:dyDescent="0.25">
      <c r="A429">
        <v>259</v>
      </c>
      <c r="B429" t="s">
        <v>395</v>
      </c>
      <c r="C429" t="s">
        <v>136</v>
      </c>
      <c r="D429" t="s">
        <v>1474</v>
      </c>
      <c r="E429" t="s">
        <v>1890</v>
      </c>
      <c r="F429" t="s">
        <v>1891</v>
      </c>
      <c r="G429" t="b">
        <v>1</v>
      </c>
    </row>
    <row r="430" spans="1:8" x14ac:dyDescent="0.25">
      <c r="A430">
        <v>260</v>
      </c>
      <c r="B430" t="s">
        <v>396</v>
      </c>
      <c r="C430" t="s">
        <v>138</v>
      </c>
      <c r="D430" t="s">
        <v>1471</v>
      </c>
      <c r="E430" t="s">
        <v>1892</v>
      </c>
      <c r="F430" t="s">
        <v>1893</v>
      </c>
      <c r="G430" t="b">
        <v>1</v>
      </c>
    </row>
    <row r="431" spans="1:8" x14ac:dyDescent="0.25">
      <c r="A431">
        <v>261</v>
      </c>
      <c r="B431" t="s">
        <v>397</v>
      </c>
      <c r="C431" t="s">
        <v>136</v>
      </c>
      <c r="D431" t="s">
        <v>1474</v>
      </c>
      <c r="E431" t="s">
        <v>1894</v>
      </c>
      <c r="F431" t="s">
        <v>1895</v>
      </c>
      <c r="G431" t="b">
        <v>1</v>
      </c>
    </row>
    <row r="432" spans="1:8" x14ac:dyDescent="0.25">
      <c r="A432">
        <v>262</v>
      </c>
      <c r="B432" t="s">
        <v>398</v>
      </c>
      <c r="C432" t="s">
        <v>138</v>
      </c>
      <c r="D432" t="s">
        <v>1471</v>
      </c>
      <c r="E432" t="s">
        <v>1896</v>
      </c>
      <c r="F432" t="s">
        <v>1897</v>
      </c>
      <c r="G432" t="b">
        <v>1</v>
      </c>
    </row>
    <row r="433" spans="1:7" x14ac:dyDescent="0.25">
      <c r="A433">
        <v>263</v>
      </c>
      <c r="B433" t="s">
        <v>399</v>
      </c>
      <c r="C433" t="s">
        <v>138</v>
      </c>
      <c r="D433" t="s">
        <v>1471</v>
      </c>
      <c r="E433" t="s">
        <v>1898</v>
      </c>
      <c r="F433" t="s">
        <v>1899</v>
      </c>
      <c r="G433" t="b">
        <v>1</v>
      </c>
    </row>
    <row r="434" spans="1:7" x14ac:dyDescent="0.25">
      <c r="A434">
        <v>264</v>
      </c>
      <c r="B434" t="s">
        <v>400</v>
      </c>
      <c r="C434" t="s">
        <v>136</v>
      </c>
      <c r="D434" t="s">
        <v>1476</v>
      </c>
      <c r="E434" t="s">
        <v>1595</v>
      </c>
      <c r="F434" t="s">
        <v>1899</v>
      </c>
      <c r="G434" t="b">
        <v>1</v>
      </c>
    </row>
    <row r="435" spans="1:7" x14ac:dyDescent="0.25">
      <c r="A435">
        <v>265</v>
      </c>
      <c r="B435" t="s">
        <v>401</v>
      </c>
      <c r="C435" t="s">
        <v>138</v>
      </c>
      <c r="D435" t="s">
        <v>3412</v>
      </c>
      <c r="E435" t="s">
        <v>1900</v>
      </c>
      <c r="F435" t="s">
        <v>1901</v>
      </c>
      <c r="G435" t="b">
        <v>1</v>
      </c>
    </row>
    <row r="436" spans="1:7" x14ac:dyDescent="0.25">
      <c r="A436">
        <v>266</v>
      </c>
      <c r="B436" t="s">
        <v>402</v>
      </c>
      <c r="C436" t="s">
        <v>138</v>
      </c>
      <c r="D436" t="s">
        <v>1471</v>
      </c>
      <c r="E436" t="s">
        <v>1902</v>
      </c>
      <c r="F436" t="s">
        <v>1903</v>
      </c>
      <c r="G436" t="b">
        <v>1</v>
      </c>
    </row>
    <row r="437" spans="1:7" x14ac:dyDescent="0.25">
      <c r="A437">
        <v>267</v>
      </c>
      <c r="B437" t="s">
        <v>403</v>
      </c>
      <c r="C437" t="s">
        <v>138</v>
      </c>
      <c r="D437" t="s">
        <v>1471</v>
      </c>
      <c r="E437" t="s">
        <v>1904</v>
      </c>
      <c r="F437" t="s">
        <v>1905</v>
      </c>
      <c r="G437" t="b">
        <v>1</v>
      </c>
    </row>
    <row r="438" spans="1:7" x14ac:dyDescent="0.25">
      <c r="A438">
        <v>268</v>
      </c>
      <c r="B438" t="s">
        <v>404</v>
      </c>
      <c r="C438" t="s">
        <v>138</v>
      </c>
      <c r="D438" t="s">
        <v>1471</v>
      </c>
      <c r="E438" t="s">
        <v>1906</v>
      </c>
      <c r="F438" t="s">
        <v>1907</v>
      </c>
      <c r="G438" t="b">
        <v>1</v>
      </c>
    </row>
    <row r="439" spans="1:7" x14ac:dyDescent="0.25">
      <c r="A439">
        <v>269</v>
      </c>
      <c r="B439" t="s">
        <v>405</v>
      </c>
      <c r="C439" t="s">
        <v>138</v>
      </c>
      <c r="D439" t="s">
        <v>1471</v>
      </c>
      <c r="E439" t="s">
        <v>1908</v>
      </c>
      <c r="F439" t="s">
        <v>1907</v>
      </c>
      <c r="G439" t="b">
        <v>1</v>
      </c>
    </row>
    <row r="440" spans="1:7" x14ac:dyDescent="0.25">
      <c r="A440">
        <v>270</v>
      </c>
      <c r="B440" t="s">
        <v>406</v>
      </c>
      <c r="C440" t="s">
        <v>138</v>
      </c>
      <c r="D440" t="s">
        <v>1471</v>
      </c>
      <c r="E440" t="s">
        <v>1909</v>
      </c>
      <c r="F440" t="s">
        <v>1907</v>
      </c>
      <c r="G440" t="b">
        <v>1</v>
      </c>
    </row>
    <row r="441" spans="1:7" x14ac:dyDescent="0.25">
      <c r="A441">
        <v>271</v>
      </c>
      <c r="B441" t="s">
        <v>407</v>
      </c>
      <c r="C441" t="s">
        <v>136</v>
      </c>
      <c r="D441" t="s">
        <v>1476</v>
      </c>
      <c r="E441" t="s">
        <v>1910</v>
      </c>
      <c r="F441" t="s">
        <v>1907</v>
      </c>
      <c r="G441" t="b">
        <v>1</v>
      </c>
    </row>
    <row r="442" spans="1:7" x14ac:dyDescent="0.25">
      <c r="A442">
        <v>272</v>
      </c>
      <c r="B442" t="s">
        <v>408</v>
      </c>
      <c r="C442" t="s">
        <v>138</v>
      </c>
      <c r="D442" t="s">
        <v>1471</v>
      </c>
      <c r="E442" t="s">
        <v>1911</v>
      </c>
      <c r="F442" t="s">
        <v>1912</v>
      </c>
      <c r="G442" t="b">
        <v>1</v>
      </c>
    </row>
    <row r="443" spans="1:7" x14ac:dyDescent="0.25">
      <c r="A443">
        <v>273</v>
      </c>
      <c r="B443" t="s">
        <v>409</v>
      </c>
      <c r="C443" t="s">
        <v>136</v>
      </c>
      <c r="D443" t="s">
        <v>1476</v>
      </c>
      <c r="E443" t="s">
        <v>1913</v>
      </c>
      <c r="F443" t="s">
        <v>1912</v>
      </c>
      <c r="G443" t="b">
        <v>1</v>
      </c>
    </row>
    <row r="444" spans="1:7" x14ac:dyDescent="0.25">
      <c r="A444">
        <v>274</v>
      </c>
      <c r="B444" t="s">
        <v>410</v>
      </c>
      <c r="C444" t="s">
        <v>138</v>
      </c>
      <c r="D444" t="s">
        <v>1475</v>
      </c>
      <c r="E444" t="s">
        <v>1914</v>
      </c>
      <c r="F444" t="s">
        <v>1915</v>
      </c>
      <c r="G444" t="b">
        <v>1</v>
      </c>
    </row>
    <row r="445" spans="1:7" x14ac:dyDescent="0.25">
      <c r="A445">
        <v>275</v>
      </c>
      <c r="B445" t="s">
        <v>411</v>
      </c>
      <c r="C445" t="s">
        <v>138</v>
      </c>
      <c r="D445" t="s">
        <v>1471</v>
      </c>
      <c r="E445" t="s">
        <v>1916</v>
      </c>
      <c r="F445" t="s">
        <v>1915</v>
      </c>
      <c r="G445" t="b">
        <v>1</v>
      </c>
    </row>
    <row r="446" spans="1:7" x14ac:dyDescent="0.25">
      <c r="A446">
        <v>276</v>
      </c>
      <c r="B446" t="s">
        <v>412</v>
      </c>
      <c r="C446" t="s">
        <v>136</v>
      </c>
      <c r="D446" t="s">
        <v>1476</v>
      </c>
      <c r="E446" t="s">
        <v>1917</v>
      </c>
      <c r="F446" t="s">
        <v>1915</v>
      </c>
      <c r="G446" t="b">
        <v>1</v>
      </c>
    </row>
    <row r="447" spans="1:7" x14ac:dyDescent="0.25">
      <c r="A447">
        <v>277</v>
      </c>
      <c r="B447" t="s">
        <v>413</v>
      </c>
      <c r="C447" t="s">
        <v>138</v>
      </c>
      <c r="D447" t="s">
        <v>1471</v>
      </c>
      <c r="E447" t="s">
        <v>1918</v>
      </c>
      <c r="F447" t="s">
        <v>1919</v>
      </c>
      <c r="G447" t="b">
        <v>1</v>
      </c>
    </row>
    <row r="448" spans="1:7" x14ac:dyDescent="0.25">
      <c r="A448">
        <v>278</v>
      </c>
      <c r="B448" t="s">
        <v>414</v>
      </c>
      <c r="C448" t="s">
        <v>136</v>
      </c>
      <c r="D448" t="s">
        <v>1476</v>
      </c>
      <c r="E448" t="s">
        <v>1920</v>
      </c>
      <c r="F448" t="s">
        <v>1919</v>
      </c>
      <c r="G448" t="b">
        <v>1</v>
      </c>
    </row>
    <row r="449" spans="1:7" x14ac:dyDescent="0.25">
      <c r="A449">
        <v>279</v>
      </c>
      <c r="B449" t="s">
        <v>415</v>
      </c>
      <c r="C449" t="s">
        <v>138</v>
      </c>
      <c r="D449" t="s">
        <v>3409</v>
      </c>
      <c r="E449" t="s">
        <v>1921</v>
      </c>
      <c r="F449" t="s">
        <v>1922</v>
      </c>
      <c r="G449" t="b">
        <v>1</v>
      </c>
    </row>
    <row r="450" spans="1:7" x14ac:dyDescent="0.25">
      <c r="A450">
        <v>280</v>
      </c>
      <c r="B450" t="s">
        <v>416</v>
      </c>
      <c r="C450" t="s">
        <v>138</v>
      </c>
      <c r="D450" t="s">
        <v>1471</v>
      </c>
      <c r="E450" t="s">
        <v>1923</v>
      </c>
      <c r="F450" t="s">
        <v>1924</v>
      </c>
      <c r="G450" t="b">
        <v>1</v>
      </c>
    </row>
    <row r="451" spans="1:7" x14ac:dyDescent="0.25">
      <c r="A451">
        <v>281</v>
      </c>
      <c r="B451" t="s">
        <v>417</v>
      </c>
      <c r="C451" t="s">
        <v>138</v>
      </c>
      <c r="D451" t="s">
        <v>1471</v>
      </c>
      <c r="E451" t="s">
        <v>1925</v>
      </c>
      <c r="F451" t="s">
        <v>1926</v>
      </c>
      <c r="G451" t="b">
        <v>1</v>
      </c>
    </row>
    <row r="452" spans="1:7" x14ac:dyDescent="0.25">
      <c r="A452">
        <v>282</v>
      </c>
      <c r="B452" t="s">
        <v>418</v>
      </c>
      <c r="C452" t="s">
        <v>136</v>
      </c>
      <c r="D452" t="s">
        <v>1476</v>
      </c>
      <c r="E452" t="s">
        <v>1927</v>
      </c>
      <c r="F452" t="s">
        <v>1926</v>
      </c>
      <c r="G452" t="b">
        <v>1</v>
      </c>
    </row>
    <row r="453" spans="1:7" x14ac:dyDescent="0.25">
      <c r="A453">
        <v>283</v>
      </c>
      <c r="B453" t="s">
        <v>419</v>
      </c>
      <c r="C453" t="s">
        <v>136</v>
      </c>
      <c r="D453" t="s">
        <v>1476</v>
      </c>
      <c r="E453" t="s">
        <v>1928</v>
      </c>
      <c r="F453" t="s">
        <v>1929</v>
      </c>
      <c r="G453" t="b">
        <v>1</v>
      </c>
    </row>
    <row r="454" spans="1:7" x14ac:dyDescent="0.25">
      <c r="A454">
        <v>284</v>
      </c>
      <c r="B454" t="s">
        <v>420</v>
      </c>
      <c r="C454" t="s">
        <v>138</v>
      </c>
      <c r="D454" t="s">
        <v>1471</v>
      </c>
      <c r="E454" t="s">
        <v>1930</v>
      </c>
      <c r="F454" t="s">
        <v>1931</v>
      </c>
      <c r="G454" t="b">
        <v>1</v>
      </c>
    </row>
    <row r="455" spans="1:7" x14ac:dyDescent="0.25">
      <c r="A455">
        <v>285</v>
      </c>
      <c r="B455" t="s">
        <v>421</v>
      </c>
      <c r="C455" t="s">
        <v>136</v>
      </c>
      <c r="D455" t="s">
        <v>1476</v>
      </c>
      <c r="E455" t="s">
        <v>1928</v>
      </c>
      <c r="F455" t="s">
        <v>1932</v>
      </c>
      <c r="G455" t="b">
        <v>1</v>
      </c>
    </row>
    <row r="456" spans="1:7" x14ac:dyDescent="0.25">
      <c r="A456">
        <v>286</v>
      </c>
      <c r="B456" t="s">
        <v>422</v>
      </c>
      <c r="C456" t="s">
        <v>138</v>
      </c>
      <c r="D456" t="s">
        <v>1471</v>
      </c>
      <c r="E456" t="s">
        <v>1933</v>
      </c>
      <c r="F456" t="s">
        <v>1934</v>
      </c>
      <c r="G456" t="b">
        <v>1</v>
      </c>
    </row>
    <row r="457" spans="1:7" x14ac:dyDescent="0.25">
      <c r="A457">
        <v>287</v>
      </c>
      <c r="B457" t="s">
        <v>423</v>
      </c>
      <c r="C457" t="s">
        <v>136</v>
      </c>
      <c r="D457" t="s">
        <v>1476</v>
      </c>
      <c r="E457" t="s">
        <v>1935</v>
      </c>
      <c r="F457" t="s">
        <v>1934</v>
      </c>
      <c r="G457" t="b">
        <v>1</v>
      </c>
    </row>
    <row r="458" spans="1:7" x14ac:dyDescent="0.25">
      <c r="A458">
        <v>288</v>
      </c>
      <c r="B458" t="s">
        <v>424</v>
      </c>
      <c r="C458" t="s">
        <v>138</v>
      </c>
      <c r="D458" t="s">
        <v>1471</v>
      </c>
      <c r="E458" t="s">
        <v>1936</v>
      </c>
      <c r="F458" t="s">
        <v>1937</v>
      </c>
      <c r="G458" t="b">
        <v>1</v>
      </c>
    </row>
    <row r="459" spans="1:7" x14ac:dyDescent="0.25">
      <c r="A459">
        <v>289</v>
      </c>
      <c r="B459" t="s">
        <v>425</v>
      </c>
      <c r="C459" t="s">
        <v>136</v>
      </c>
      <c r="D459" t="s">
        <v>1476</v>
      </c>
      <c r="E459" t="s">
        <v>1938</v>
      </c>
      <c r="F459" t="s">
        <v>1939</v>
      </c>
      <c r="G459" t="b">
        <v>1</v>
      </c>
    </row>
    <row r="460" spans="1:7" x14ac:dyDescent="0.25">
      <c r="A460">
        <v>290</v>
      </c>
      <c r="B460" t="s">
        <v>426</v>
      </c>
      <c r="C460" t="s">
        <v>136</v>
      </c>
      <c r="D460" t="s">
        <v>1474</v>
      </c>
      <c r="E460" t="s">
        <v>1628</v>
      </c>
      <c r="F460" t="s">
        <v>1940</v>
      </c>
      <c r="G460" t="b">
        <v>1</v>
      </c>
    </row>
    <row r="461" spans="1:7" x14ac:dyDescent="0.25">
      <c r="A461">
        <v>291</v>
      </c>
      <c r="B461" t="s">
        <v>427</v>
      </c>
      <c r="C461" t="s">
        <v>138</v>
      </c>
      <c r="D461" t="s">
        <v>1471</v>
      </c>
      <c r="E461" t="s">
        <v>1538</v>
      </c>
      <c r="F461" t="s">
        <v>1940</v>
      </c>
      <c r="G461" t="b">
        <v>1</v>
      </c>
    </row>
    <row r="462" spans="1:7" x14ac:dyDescent="0.25">
      <c r="A462">
        <v>292</v>
      </c>
      <c r="B462" t="s">
        <v>428</v>
      </c>
      <c r="C462" t="s">
        <v>136</v>
      </c>
      <c r="D462" t="s">
        <v>1476</v>
      </c>
      <c r="E462" t="s">
        <v>1941</v>
      </c>
      <c r="F462" t="s">
        <v>1940</v>
      </c>
      <c r="G462" t="b">
        <v>1</v>
      </c>
    </row>
    <row r="463" spans="1:7" x14ac:dyDescent="0.25">
      <c r="A463">
        <v>293</v>
      </c>
      <c r="B463" t="s">
        <v>429</v>
      </c>
      <c r="C463" t="s">
        <v>138</v>
      </c>
      <c r="D463" t="s">
        <v>1471</v>
      </c>
      <c r="E463" t="s">
        <v>1942</v>
      </c>
      <c r="F463" t="s">
        <v>1943</v>
      </c>
      <c r="G463" t="b">
        <v>1</v>
      </c>
    </row>
    <row r="464" spans="1:7" x14ac:dyDescent="0.25">
      <c r="A464">
        <v>294</v>
      </c>
      <c r="B464" t="s">
        <v>430</v>
      </c>
      <c r="C464" t="s">
        <v>136</v>
      </c>
      <c r="D464" t="s">
        <v>1476</v>
      </c>
      <c r="E464" t="s">
        <v>1944</v>
      </c>
      <c r="F464" t="s">
        <v>1943</v>
      </c>
      <c r="G464" t="b">
        <v>1</v>
      </c>
    </row>
    <row r="465" spans="1:8" x14ac:dyDescent="0.25">
      <c r="A465">
        <v>295</v>
      </c>
      <c r="B465" t="s">
        <v>431</v>
      </c>
      <c r="C465" t="s">
        <v>138</v>
      </c>
      <c r="D465" t="s">
        <v>1471</v>
      </c>
      <c r="E465" t="s">
        <v>1945</v>
      </c>
      <c r="F465" t="s">
        <v>1946</v>
      </c>
      <c r="G465" t="b">
        <v>1</v>
      </c>
    </row>
    <row r="466" spans="1:8" x14ac:dyDescent="0.25">
      <c r="A466">
        <v>296</v>
      </c>
      <c r="B466" t="s">
        <v>432</v>
      </c>
      <c r="C466" t="s">
        <v>138</v>
      </c>
      <c r="D466" t="s">
        <v>1471</v>
      </c>
      <c r="E466" t="s">
        <v>1945</v>
      </c>
      <c r="F466" t="s">
        <v>1946</v>
      </c>
      <c r="G466" t="b">
        <v>1</v>
      </c>
      <c r="H466" t="b">
        <v>1</v>
      </c>
    </row>
    <row r="467" spans="1:8" x14ac:dyDescent="0.25">
      <c r="A467">
        <v>297</v>
      </c>
      <c r="B467" t="s">
        <v>433</v>
      </c>
      <c r="C467" t="s">
        <v>136</v>
      </c>
      <c r="D467" t="s">
        <v>1476</v>
      </c>
      <c r="E467" t="s">
        <v>1947</v>
      </c>
      <c r="F467" t="s">
        <v>1946</v>
      </c>
      <c r="G467" t="b">
        <v>1</v>
      </c>
    </row>
    <row r="468" spans="1:8" x14ac:dyDescent="0.25">
      <c r="A468">
        <v>298</v>
      </c>
      <c r="B468" t="s">
        <v>434</v>
      </c>
      <c r="C468" t="s">
        <v>136</v>
      </c>
      <c r="D468" t="s">
        <v>1476</v>
      </c>
      <c r="E468" t="s">
        <v>1948</v>
      </c>
      <c r="F468" t="s">
        <v>1949</v>
      </c>
      <c r="G468" t="b">
        <v>1</v>
      </c>
    </row>
    <row r="469" spans="1:8" x14ac:dyDescent="0.25">
      <c r="A469">
        <v>299</v>
      </c>
      <c r="B469" t="s">
        <v>435</v>
      </c>
      <c r="C469" t="s">
        <v>138</v>
      </c>
      <c r="D469" t="s">
        <v>1471</v>
      </c>
      <c r="E469" t="s">
        <v>3386</v>
      </c>
      <c r="F469" t="s">
        <v>1950</v>
      </c>
      <c r="G469" t="b">
        <v>1</v>
      </c>
      <c r="H469" t="b">
        <v>1</v>
      </c>
    </row>
    <row r="470" spans="1:8" x14ac:dyDescent="0.25">
      <c r="A470">
        <v>300</v>
      </c>
      <c r="B470" t="s">
        <v>436</v>
      </c>
      <c r="C470" t="s">
        <v>138</v>
      </c>
      <c r="D470" t="s">
        <v>3413</v>
      </c>
      <c r="E470" t="s">
        <v>1951</v>
      </c>
      <c r="F470" t="s">
        <v>1952</v>
      </c>
      <c r="G470" t="b">
        <v>1</v>
      </c>
    </row>
    <row r="471" spans="1:8" x14ac:dyDescent="0.25">
      <c r="A471">
        <v>301</v>
      </c>
      <c r="B471" t="s">
        <v>437</v>
      </c>
      <c r="C471" t="s">
        <v>138</v>
      </c>
      <c r="D471" t="s">
        <v>1471</v>
      </c>
      <c r="E471" t="s">
        <v>1953</v>
      </c>
      <c r="F471" t="s">
        <v>1954</v>
      </c>
      <c r="G471" t="b">
        <v>1</v>
      </c>
    </row>
    <row r="472" spans="1:8" x14ac:dyDescent="0.25">
      <c r="A472">
        <v>302</v>
      </c>
      <c r="B472" t="s">
        <v>438</v>
      </c>
      <c r="C472" t="s">
        <v>138</v>
      </c>
      <c r="D472" t="s">
        <v>1471</v>
      </c>
      <c r="E472" t="s">
        <v>1955</v>
      </c>
      <c r="F472" t="s">
        <v>1956</v>
      </c>
      <c r="G472" t="b">
        <v>1</v>
      </c>
    </row>
    <row r="473" spans="1:8" x14ac:dyDescent="0.25">
      <c r="A473">
        <v>303</v>
      </c>
      <c r="B473" t="s">
        <v>439</v>
      </c>
      <c r="C473" t="s">
        <v>136</v>
      </c>
      <c r="D473" t="s">
        <v>1474</v>
      </c>
      <c r="E473" t="s">
        <v>1733</v>
      </c>
      <c r="F473" t="s">
        <v>1957</v>
      </c>
      <c r="G473" t="b">
        <v>1</v>
      </c>
    </row>
    <row r="474" spans="1:8" x14ac:dyDescent="0.25">
      <c r="A474">
        <v>304</v>
      </c>
      <c r="B474" t="s">
        <v>440</v>
      </c>
      <c r="C474" t="s">
        <v>138</v>
      </c>
      <c r="D474" t="s">
        <v>1471</v>
      </c>
      <c r="E474" t="s">
        <v>1958</v>
      </c>
      <c r="F474" t="s">
        <v>1959</v>
      </c>
      <c r="G474" t="b">
        <v>1</v>
      </c>
    </row>
    <row r="475" spans="1:8" x14ac:dyDescent="0.25">
      <c r="A475">
        <v>305</v>
      </c>
      <c r="B475" t="s">
        <v>441</v>
      </c>
      <c r="C475" t="s">
        <v>136</v>
      </c>
      <c r="D475" t="s">
        <v>1476</v>
      </c>
      <c r="E475" t="s">
        <v>1960</v>
      </c>
      <c r="F475" t="s">
        <v>1959</v>
      </c>
      <c r="G475" t="b">
        <v>1</v>
      </c>
    </row>
    <row r="476" spans="1:8" x14ac:dyDescent="0.25">
      <c r="A476">
        <v>306</v>
      </c>
      <c r="B476" t="s">
        <v>442</v>
      </c>
      <c r="C476" t="s">
        <v>138</v>
      </c>
      <c r="D476" t="s">
        <v>3412</v>
      </c>
      <c r="E476" t="s">
        <v>1646</v>
      </c>
      <c r="F476" t="s">
        <v>1961</v>
      </c>
      <c r="G476" t="b">
        <v>1</v>
      </c>
    </row>
    <row r="477" spans="1:8" x14ac:dyDescent="0.25">
      <c r="A477">
        <v>307</v>
      </c>
      <c r="B477" t="s">
        <v>443</v>
      </c>
      <c r="C477" t="s">
        <v>138</v>
      </c>
      <c r="D477" t="s">
        <v>1471</v>
      </c>
      <c r="E477" t="s">
        <v>1962</v>
      </c>
      <c r="F477" t="s">
        <v>1963</v>
      </c>
      <c r="G477" t="b">
        <v>1</v>
      </c>
    </row>
    <row r="478" spans="1:8" x14ac:dyDescent="0.25">
      <c r="A478">
        <v>308</v>
      </c>
      <c r="B478" t="s">
        <v>444</v>
      </c>
      <c r="C478" t="s">
        <v>138</v>
      </c>
      <c r="D478" t="s">
        <v>1471</v>
      </c>
      <c r="E478" t="s">
        <v>1964</v>
      </c>
      <c r="F478" t="s">
        <v>1963</v>
      </c>
      <c r="G478" t="b">
        <v>1</v>
      </c>
    </row>
    <row r="479" spans="1:8" x14ac:dyDescent="0.25">
      <c r="A479">
        <v>309</v>
      </c>
      <c r="B479" t="s">
        <v>445</v>
      </c>
      <c r="C479" t="s">
        <v>136</v>
      </c>
      <c r="D479" t="s">
        <v>1476</v>
      </c>
      <c r="E479" t="s">
        <v>1965</v>
      </c>
      <c r="F479" t="s">
        <v>1963</v>
      </c>
      <c r="G479" t="b">
        <v>1</v>
      </c>
    </row>
    <row r="480" spans="1:8" x14ac:dyDescent="0.25">
      <c r="A480">
        <v>310</v>
      </c>
      <c r="B480" t="s">
        <v>446</v>
      </c>
      <c r="C480" t="s">
        <v>136</v>
      </c>
      <c r="D480" t="s">
        <v>1474</v>
      </c>
      <c r="E480" t="s">
        <v>1966</v>
      </c>
      <c r="F480" t="s">
        <v>1967</v>
      </c>
      <c r="G480" t="b">
        <v>1</v>
      </c>
    </row>
    <row r="481" spans="1:7" x14ac:dyDescent="0.25">
      <c r="A481">
        <v>311</v>
      </c>
      <c r="B481" t="s">
        <v>447</v>
      </c>
      <c r="C481" t="s">
        <v>138</v>
      </c>
      <c r="D481" t="s">
        <v>1471</v>
      </c>
      <c r="E481" t="s">
        <v>1968</v>
      </c>
      <c r="F481" t="s">
        <v>1967</v>
      </c>
      <c r="G481" t="b">
        <v>1</v>
      </c>
    </row>
    <row r="482" spans="1:7" x14ac:dyDescent="0.25">
      <c r="A482">
        <v>312</v>
      </c>
      <c r="B482" t="s">
        <v>448</v>
      </c>
      <c r="C482" t="s">
        <v>136</v>
      </c>
      <c r="D482" t="s">
        <v>1476</v>
      </c>
      <c r="E482" t="s">
        <v>1660</v>
      </c>
      <c r="F482" t="s">
        <v>1967</v>
      </c>
      <c r="G482" t="b">
        <v>1</v>
      </c>
    </row>
    <row r="483" spans="1:7" x14ac:dyDescent="0.25">
      <c r="A483">
        <v>313</v>
      </c>
      <c r="B483" t="s">
        <v>449</v>
      </c>
      <c r="C483" t="s">
        <v>138</v>
      </c>
      <c r="D483" t="s">
        <v>1471</v>
      </c>
      <c r="E483" t="s">
        <v>1969</v>
      </c>
      <c r="F483" t="s">
        <v>1970</v>
      </c>
      <c r="G483" t="b">
        <v>1</v>
      </c>
    </row>
    <row r="484" spans="1:7" x14ac:dyDescent="0.25">
      <c r="A484">
        <v>314</v>
      </c>
      <c r="B484" t="s">
        <v>450</v>
      </c>
      <c r="C484" t="s">
        <v>138</v>
      </c>
      <c r="D484" t="s">
        <v>1471</v>
      </c>
      <c r="E484" t="s">
        <v>1971</v>
      </c>
      <c r="F484" t="s">
        <v>1970</v>
      </c>
      <c r="G484" t="b">
        <v>1</v>
      </c>
    </row>
    <row r="485" spans="1:7" x14ac:dyDescent="0.25">
      <c r="A485">
        <v>315</v>
      </c>
      <c r="B485" t="s">
        <v>451</v>
      </c>
      <c r="C485" t="s">
        <v>136</v>
      </c>
      <c r="D485" t="s">
        <v>1476</v>
      </c>
      <c r="E485" t="s">
        <v>1972</v>
      </c>
      <c r="F485" t="s">
        <v>1970</v>
      </c>
      <c r="G485" t="b">
        <v>1</v>
      </c>
    </row>
    <row r="486" spans="1:7" x14ac:dyDescent="0.25">
      <c r="A486">
        <v>316</v>
      </c>
      <c r="B486" t="s">
        <v>452</v>
      </c>
      <c r="C486" t="s">
        <v>136</v>
      </c>
      <c r="D486" t="s">
        <v>1474</v>
      </c>
      <c r="E486" t="s">
        <v>1973</v>
      </c>
      <c r="F486" t="s">
        <v>1974</v>
      </c>
      <c r="G486" t="b">
        <v>1</v>
      </c>
    </row>
    <row r="487" spans="1:7" x14ac:dyDescent="0.25">
      <c r="A487">
        <v>317</v>
      </c>
      <c r="B487" t="s">
        <v>453</v>
      </c>
      <c r="C487" t="s">
        <v>138</v>
      </c>
      <c r="D487" t="s">
        <v>1471</v>
      </c>
      <c r="E487" t="s">
        <v>1975</v>
      </c>
      <c r="F487" t="s">
        <v>1976</v>
      </c>
      <c r="G487" t="b">
        <v>1</v>
      </c>
    </row>
    <row r="488" spans="1:7" x14ac:dyDescent="0.25">
      <c r="A488">
        <v>318</v>
      </c>
      <c r="B488" t="s">
        <v>454</v>
      </c>
      <c r="C488" t="s">
        <v>138</v>
      </c>
      <c r="D488" t="s">
        <v>1471</v>
      </c>
      <c r="E488" t="s">
        <v>1977</v>
      </c>
      <c r="F488" t="s">
        <v>1976</v>
      </c>
      <c r="G488" t="b">
        <v>1</v>
      </c>
    </row>
    <row r="489" spans="1:7" x14ac:dyDescent="0.25">
      <c r="A489">
        <v>319</v>
      </c>
      <c r="B489" t="s">
        <v>455</v>
      </c>
      <c r="C489" t="s">
        <v>138</v>
      </c>
      <c r="D489" t="s">
        <v>1471</v>
      </c>
      <c r="E489" t="s">
        <v>1978</v>
      </c>
      <c r="F489" t="s">
        <v>1979</v>
      </c>
      <c r="G489" t="b">
        <v>1</v>
      </c>
    </row>
    <row r="490" spans="1:7" x14ac:dyDescent="0.25">
      <c r="A490">
        <v>320</v>
      </c>
      <c r="B490" t="s">
        <v>456</v>
      </c>
      <c r="C490" t="s">
        <v>136</v>
      </c>
      <c r="D490" t="s">
        <v>1474</v>
      </c>
      <c r="E490" t="s">
        <v>1980</v>
      </c>
      <c r="F490" t="s">
        <v>1981</v>
      </c>
      <c r="G490" t="b">
        <v>1</v>
      </c>
    </row>
    <row r="491" spans="1:7" x14ac:dyDescent="0.25">
      <c r="A491">
        <v>321</v>
      </c>
      <c r="B491" t="s">
        <v>457</v>
      </c>
      <c r="C491" t="s">
        <v>138</v>
      </c>
      <c r="D491" t="s">
        <v>1471</v>
      </c>
      <c r="E491" t="s">
        <v>1982</v>
      </c>
      <c r="F491" t="s">
        <v>1983</v>
      </c>
      <c r="G491" t="b">
        <v>1</v>
      </c>
    </row>
    <row r="492" spans="1:7" x14ac:dyDescent="0.25">
      <c r="A492">
        <v>322</v>
      </c>
      <c r="B492" t="s">
        <v>458</v>
      </c>
      <c r="C492" t="s">
        <v>138</v>
      </c>
      <c r="D492" t="s">
        <v>1471</v>
      </c>
      <c r="E492" t="s">
        <v>1472</v>
      </c>
      <c r="F492" t="s">
        <v>1984</v>
      </c>
      <c r="G492" t="b">
        <v>1</v>
      </c>
    </row>
    <row r="493" spans="1:7" x14ac:dyDescent="0.25">
      <c r="A493">
        <v>323</v>
      </c>
      <c r="B493" t="s">
        <v>459</v>
      </c>
      <c r="C493" t="s">
        <v>136</v>
      </c>
      <c r="D493" t="s">
        <v>1474</v>
      </c>
      <c r="E493" t="s">
        <v>1985</v>
      </c>
      <c r="F493" t="s">
        <v>1986</v>
      </c>
      <c r="G493" t="b">
        <v>1</v>
      </c>
    </row>
    <row r="494" spans="1:7" x14ac:dyDescent="0.25">
      <c r="A494">
        <v>324</v>
      </c>
      <c r="B494" t="s">
        <v>460</v>
      </c>
      <c r="C494" t="s">
        <v>138</v>
      </c>
      <c r="D494" t="s">
        <v>1471</v>
      </c>
      <c r="E494" t="s">
        <v>1987</v>
      </c>
      <c r="F494" t="s">
        <v>1988</v>
      </c>
      <c r="G494" t="b">
        <v>1</v>
      </c>
    </row>
    <row r="495" spans="1:7" x14ac:dyDescent="0.25">
      <c r="A495">
        <v>325</v>
      </c>
      <c r="B495" t="s">
        <v>461</v>
      </c>
      <c r="C495" t="s">
        <v>136</v>
      </c>
      <c r="D495" t="s">
        <v>1476</v>
      </c>
      <c r="E495" t="s">
        <v>1989</v>
      </c>
      <c r="F495" t="s">
        <v>1988</v>
      </c>
      <c r="G495" t="b">
        <v>1</v>
      </c>
    </row>
    <row r="496" spans="1:7" x14ac:dyDescent="0.25">
      <c r="A496">
        <v>326</v>
      </c>
      <c r="B496" t="s">
        <v>462</v>
      </c>
      <c r="C496" t="s">
        <v>138</v>
      </c>
      <c r="D496" t="s">
        <v>1471</v>
      </c>
      <c r="E496" t="s">
        <v>1990</v>
      </c>
      <c r="F496" t="s">
        <v>1991</v>
      </c>
      <c r="G496" t="b">
        <v>1</v>
      </c>
    </row>
    <row r="497" spans="1:8" x14ac:dyDescent="0.25">
      <c r="A497">
        <v>327</v>
      </c>
      <c r="B497" t="s">
        <v>463</v>
      </c>
      <c r="C497" t="s">
        <v>138</v>
      </c>
      <c r="D497" t="s">
        <v>1471</v>
      </c>
      <c r="E497" t="s">
        <v>1992</v>
      </c>
      <c r="F497" t="s">
        <v>1993</v>
      </c>
      <c r="G497" t="b">
        <v>1</v>
      </c>
    </row>
    <row r="498" spans="1:8" x14ac:dyDescent="0.25">
      <c r="A498">
        <v>328</v>
      </c>
      <c r="B498" t="s">
        <v>464</v>
      </c>
      <c r="C498" t="s">
        <v>138</v>
      </c>
      <c r="D498" t="s">
        <v>1471</v>
      </c>
      <c r="E498" t="s">
        <v>1994</v>
      </c>
      <c r="F498" t="s">
        <v>1993</v>
      </c>
      <c r="G498" t="b">
        <v>1</v>
      </c>
    </row>
    <row r="499" spans="1:8" x14ac:dyDescent="0.25">
      <c r="A499">
        <v>329</v>
      </c>
      <c r="B499" t="s">
        <v>465</v>
      </c>
      <c r="C499" t="s">
        <v>138</v>
      </c>
      <c r="D499" t="s">
        <v>1471</v>
      </c>
      <c r="E499" t="s">
        <v>1995</v>
      </c>
      <c r="F499" t="s">
        <v>1996</v>
      </c>
      <c r="G499" t="b">
        <v>1</v>
      </c>
    </row>
    <row r="500" spans="1:8" x14ac:dyDescent="0.25">
      <c r="A500">
        <v>330</v>
      </c>
      <c r="B500" t="s">
        <v>466</v>
      </c>
      <c r="C500" t="s">
        <v>136</v>
      </c>
      <c r="D500" t="s">
        <v>1476</v>
      </c>
      <c r="E500" t="s">
        <v>3342</v>
      </c>
      <c r="F500" t="s">
        <v>1996</v>
      </c>
      <c r="G500" t="b">
        <v>1</v>
      </c>
      <c r="H500" t="b">
        <v>1</v>
      </c>
    </row>
    <row r="501" spans="1:8" x14ac:dyDescent="0.25">
      <c r="A501">
        <v>331</v>
      </c>
      <c r="B501" t="s">
        <v>467</v>
      </c>
      <c r="C501" t="s">
        <v>138</v>
      </c>
      <c r="D501" t="s">
        <v>1471</v>
      </c>
      <c r="E501" t="s">
        <v>1646</v>
      </c>
      <c r="F501" t="s">
        <v>1997</v>
      </c>
      <c r="G501" t="b">
        <v>1</v>
      </c>
    </row>
    <row r="502" spans="1:8" x14ac:dyDescent="0.25">
      <c r="A502">
        <v>332</v>
      </c>
      <c r="B502" t="s">
        <v>468</v>
      </c>
      <c r="C502" t="s">
        <v>138</v>
      </c>
      <c r="D502" t="s">
        <v>1471</v>
      </c>
      <c r="E502" t="s">
        <v>1998</v>
      </c>
      <c r="F502" t="s">
        <v>1999</v>
      </c>
      <c r="G502" t="b">
        <v>1</v>
      </c>
    </row>
    <row r="503" spans="1:8" x14ac:dyDescent="0.25">
      <c r="A503">
        <v>333</v>
      </c>
      <c r="B503" t="s">
        <v>469</v>
      </c>
      <c r="C503" t="s">
        <v>138</v>
      </c>
      <c r="D503" t="s">
        <v>1471</v>
      </c>
      <c r="E503" t="s">
        <v>2000</v>
      </c>
      <c r="F503" t="s">
        <v>2001</v>
      </c>
      <c r="G503" t="b">
        <v>1</v>
      </c>
    </row>
    <row r="504" spans="1:8" x14ac:dyDescent="0.25">
      <c r="A504">
        <v>334</v>
      </c>
      <c r="B504" t="s">
        <v>470</v>
      </c>
      <c r="C504" t="s">
        <v>136</v>
      </c>
      <c r="D504" t="s">
        <v>1476</v>
      </c>
      <c r="E504" t="s">
        <v>2002</v>
      </c>
      <c r="F504" t="s">
        <v>2003</v>
      </c>
      <c r="G504" t="b">
        <v>1</v>
      </c>
    </row>
    <row r="505" spans="1:8" x14ac:dyDescent="0.25">
      <c r="A505">
        <v>335</v>
      </c>
      <c r="B505" t="s">
        <v>471</v>
      </c>
      <c r="C505" t="s">
        <v>138</v>
      </c>
      <c r="D505" t="s">
        <v>1471</v>
      </c>
      <c r="E505" t="s">
        <v>2004</v>
      </c>
      <c r="F505" t="s">
        <v>2005</v>
      </c>
      <c r="G505" t="b">
        <v>1</v>
      </c>
    </row>
    <row r="506" spans="1:8" x14ac:dyDescent="0.25">
      <c r="A506">
        <v>336</v>
      </c>
      <c r="B506" t="s">
        <v>472</v>
      </c>
      <c r="C506" t="s">
        <v>138</v>
      </c>
      <c r="D506" t="s">
        <v>3416</v>
      </c>
      <c r="E506" t="s">
        <v>2006</v>
      </c>
      <c r="F506" t="s">
        <v>2007</v>
      </c>
      <c r="G506" t="b">
        <v>1</v>
      </c>
    </row>
    <row r="507" spans="1:8" x14ac:dyDescent="0.25">
      <c r="A507">
        <v>337</v>
      </c>
      <c r="B507" t="s">
        <v>473</v>
      </c>
      <c r="C507" t="s">
        <v>138</v>
      </c>
      <c r="D507" t="s">
        <v>1471</v>
      </c>
      <c r="E507" t="s">
        <v>2008</v>
      </c>
      <c r="F507" t="s">
        <v>2009</v>
      </c>
      <c r="G507" t="b">
        <v>1</v>
      </c>
    </row>
    <row r="508" spans="1:8" x14ac:dyDescent="0.25">
      <c r="A508">
        <v>338</v>
      </c>
      <c r="B508" t="s">
        <v>474</v>
      </c>
      <c r="C508" t="s">
        <v>136</v>
      </c>
      <c r="D508" t="s">
        <v>1476</v>
      </c>
      <c r="E508" t="s">
        <v>2010</v>
      </c>
      <c r="F508" t="s">
        <v>2009</v>
      </c>
      <c r="G508" t="b">
        <v>1</v>
      </c>
    </row>
    <row r="509" spans="1:8" x14ac:dyDescent="0.25">
      <c r="A509">
        <v>339</v>
      </c>
      <c r="B509" t="s">
        <v>475</v>
      </c>
      <c r="C509" t="s">
        <v>138</v>
      </c>
      <c r="D509" t="s">
        <v>1471</v>
      </c>
      <c r="E509" t="s">
        <v>2011</v>
      </c>
      <c r="F509" t="s">
        <v>2012</v>
      </c>
      <c r="G509" t="b">
        <v>1</v>
      </c>
    </row>
    <row r="510" spans="1:8" x14ac:dyDescent="0.25">
      <c r="A510">
        <v>340</v>
      </c>
      <c r="B510" t="s">
        <v>476</v>
      </c>
      <c r="C510" t="s">
        <v>138</v>
      </c>
      <c r="D510" t="s">
        <v>1475</v>
      </c>
      <c r="E510" t="s">
        <v>2013</v>
      </c>
      <c r="F510" t="s">
        <v>2014</v>
      </c>
      <c r="G510" t="b">
        <v>1</v>
      </c>
    </row>
    <row r="511" spans="1:8" x14ac:dyDescent="0.25">
      <c r="A511">
        <v>341</v>
      </c>
      <c r="B511" t="s">
        <v>477</v>
      </c>
      <c r="C511" t="s">
        <v>136</v>
      </c>
      <c r="D511" t="s">
        <v>1474</v>
      </c>
      <c r="E511" t="s">
        <v>2015</v>
      </c>
      <c r="F511" t="s">
        <v>2014</v>
      </c>
      <c r="G511" t="b">
        <v>1</v>
      </c>
    </row>
    <row r="512" spans="1:8" x14ac:dyDescent="0.25">
      <c r="A512">
        <v>342</v>
      </c>
      <c r="B512" t="s">
        <v>478</v>
      </c>
      <c r="C512" t="s">
        <v>136</v>
      </c>
      <c r="D512" t="s">
        <v>1474</v>
      </c>
      <c r="E512" t="s">
        <v>2016</v>
      </c>
      <c r="F512" t="s">
        <v>2014</v>
      </c>
      <c r="G512" t="b">
        <v>1</v>
      </c>
    </row>
    <row r="513" spans="1:8" x14ac:dyDescent="0.25">
      <c r="A513">
        <v>343</v>
      </c>
      <c r="B513" t="s">
        <v>479</v>
      </c>
      <c r="C513" t="s">
        <v>136</v>
      </c>
      <c r="D513" t="s">
        <v>1476</v>
      </c>
      <c r="E513" t="s">
        <v>2017</v>
      </c>
      <c r="F513" t="s">
        <v>2014</v>
      </c>
      <c r="G513" t="b">
        <v>1</v>
      </c>
    </row>
    <row r="514" spans="1:8" x14ac:dyDescent="0.25">
      <c r="A514">
        <v>344</v>
      </c>
      <c r="B514" t="s">
        <v>480</v>
      </c>
      <c r="C514" t="s">
        <v>138</v>
      </c>
      <c r="D514" t="s">
        <v>1471</v>
      </c>
      <c r="E514" t="s">
        <v>2018</v>
      </c>
      <c r="F514" t="s">
        <v>2019</v>
      </c>
      <c r="G514" t="b">
        <v>1</v>
      </c>
    </row>
    <row r="515" spans="1:8" x14ac:dyDescent="0.25">
      <c r="A515">
        <v>345</v>
      </c>
      <c r="B515" t="s">
        <v>481</v>
      </c>
      <c r="C515" t="s">
        <v>136</v>
      </c>
      <c r="D515" t="s">
        <v>1474</v>
      </c>
      <c r="E515" t="s">
        <v>2020</v>
      </c>
      <c r="F515" t="s">
        <v>2021</v>
      </c>
      <c r="G515" t="b">
        <v>1</v>
      </c>
    </row>
    <row r="516" spans="1:8" x14ac:dyDescent="0.25">
      <c r="A516">
        <v>346</v>
      </c>
      <c r="B516" t="s">
        <v>482</v>
      </c>
      <c r="C516" t="s">
        <v>138</v>
      </c>
      <c r="D516" t="s">
        <v>1471</v>
      </c>
      <c r="E516" t="s">
        <v>2022</v>
      </c>
      <c r="F516" t="s">
        <v>2023</v>
      </c>
      <c r="G516" t="b">
        <v>1</v>
      </c>
    </row>
    <row r="517" spans="1:8" x14ac:dyDescent="0.25">
      <c r="A517">
        <v>347</v>
      </c>
      <c r="B517" t="s">
        <v>483</v>
      </c>
      <c r="C517" t="s">
        <v>138</v>
      </c>
      <c r="D517" t="s">
        <v>1471</v>
      </c>
      <c r="E517" t="s">
        <v>2024</v>
      </c>
      <c r="F517" t="s">
        <v>2025</v>
      </c>
      <c r="G517" t="b">
        <v>1</v>
      </c>
    </row>
    <row r="518" spans="1:8" x14ac:dyDescent="0.25">
      <c r="A518">
        <v>348</v>
      </c>
      <c r="B518" t="s">
        <v>484</v>
      </c>
      <c r="C518" t="s">
        <v>138</v>
      </c>
      <c r="D518" t="s">
        <v>1471</v>
      </c>
      <c r="E518" t="s">
        <v>2026</v>
      </c>
      <c r="F518" t="s">
        <v>2027</v>
      </c>
      <c r="G518" t="b">
        <v>1</v>
      </c>
    </row>
    <row r="519" spans="1:8" x14ac:dyDescent="0.25">
      <c r="A519">
        <v>349</v>
      </c>
      <c r="B519" t="s">
        <v>485</v>
      </c>
      <c r="C519" t="s">
        <v>138</v>
      </c>
      <c r="D519" t="s">
        <v>1471</v>
      </c>
      <c r="E519" t="s">
        <v>2028</v>
      </c>
      <c r="F519" t="s">
        <v>2029</v>
      </c>
      <c r="G519" t="b">
        <v>1</v>
      </c>
    </row>
    <row r="520" spans="1:8" x14ac:dyDescent="0.25">
      <c r="A520">
        <v>350</v>
      </c>
      <c r="B520" t="s">
        <v>486</v>
      </c>
      <c r="C520" t="s">
        <v>136</v>
      </c>
      <c r="D520" t="s">
        <v>1474</v>
      </c>
      <c r="E520" t="s">
        <v>1519</v>
      </c>
      <c r="F520" t="s">
        <v>1543</v>
      </c>
      <c r="G520" t="b">
        <v>1</v>
      </c>
      <c r="H520" t="b">
        <v>1</v>
      </c>
    </row>
    <row r="521" spans="1:8" x14ac:dyDescent="0.25">
      <c r="A521">
        <v>351</v>
      </c>
      <c r="B521" t="s">
        <v>487</v>
      </c>
      <c r="C521" t="s">
        <v>136</v>
      </c>
      <c r="D521" t="s">
        <v>1474</v>
      </c>
      <c r="E521" t="s">
        <v>2030</v>
      </c>
      <c r="F521" t="s">
        <v>1543</v>
      </c>
      <c r="G521" t="b">
        <v>1</v>
      </c>
    </row>
    <row r="522" spans="1:8" x14ac:dyDescent="0.25">
      <c r="A522">
        <v>352</v>
      </c>
      <c r="B522" t="s">
        <v>488</v>
      </c>
      <c r="C522" t="s">
        <v>138</v>
      </c>
      <c r="D522" t="s">
        <v>1471</v>
      </c>
      <c r="E522" t="s">
        <v>2031</v>
      </c>
      <c r="F522" t="s">
        <v>1543</v>
      </c>
      <c r="G522" t="b">
        <v>1</v>
      </c>
    </row>
    <row r="523" spans="1:8" x14ac:dyDescent="0.25">
      <c r="A523">
        <v>353</v>
      </c>
      <c r="B523" t="s">
        <v>489</v>
      </c>
      <c r="C523" t="s">
        <v>136</v>
      </c>
      <c r="D523" t="s">
        <v>1476</v>
      </c>
      <c r="E523" t="s">
        <v>2032</v>
      </c>
      <c r="F523" t="s">
        <v>1543</v>
      </c>
      <c r="G523" t="b">
        <v>1</v>
      </c>
    </row>
    <row r="524" spans="1:8" x14ac:dyDescent="0.25">
      <c r="A524">
        <v>354</v>
      </c>
      <c r="B524" t="s">
        <v>490</v>
      </c>
      <c r="C524" t="s">
        <v>136</v>
      </c>
      <c r="D524" t="s">
        <v>1474</v>
      </c>
      <c r="E524" t="s">
        <v>2033</v>
      </c>
      <c r="F524" t="s">
        <v>2034</v>
      </c>
      <c r="G524" t="b">
        <v>1</v>
      </c>
    </row>
    <row r="525" spans="1:8" x14ac:dyDescent="0.25">
      <c r="A525">
        <v>355</v>
      </c>
      <c r="B525" t="s">
        <v>491</v>
      </c>
      <c r="C525" t="s">
        <v>138</v>
      </c>
      <c r="D525" t="s">
        <v>1471</v>
      </c>
      <c r="E525" t="s">
        <v>2035</v>
      </c>
      <c r="F525" t="s">
        <v>2034</v>
      </c>
      <c r="G525" t="b">
        <v>1</v>
      </c>
    </row>
    <row r="526" spans="1:8" x14ac:dyDescent="0.25">
      <c r="A526">
        <v>356</v>
      </c>
      <c r="B526" t="s">
        <v>492</v>
      </c>
      <c r="C526" t="s">
        <v>136</v>
      </c>
      <c r="D526" t="s">
        <v>1474</v>
      </c>
      <c r="E526" t="s">
        <v>2036</v>
      </c>
      <c r="F526" t="s">
        <v>2037</v>
      </c>
      <c r="G526" t="b">
        <v>1</v>
      </c>
    </row>
    <row r="527" spans="1:8" x14ac:dyDescent="0.25">
      <c r="A527">
        <v>357</v>
      </c>
      <c r="B527" t="s">
        <v>493</v>
      </c>
      <c r="C527" t="s">
        <v>138</v>
      </c>
      <c r="D527" t="s">
        <v>1471</v>
      </c>
      <c r="E527" t="s">
        <v>2038</v>
      </c>
      <c r="F527" t="s">
        <v>2039</v>
      </c>
      <c r="G527" t="b">
        <v>1</v>
      </c>
    </row>
    <row r="528" spans="1:8" x14ac:dyDescent="0.25">
      <c r="A528">
        <v>358</v>
      </c>
      <c r="B528" t="s">
        <v>494</v>
      </c>
      <c r="C528" t="s">
        <v>138</v>
      </c>
      <c r="D528" t="s">
        <v>3416</v>
      </c>
      <c r="E528" t="s">
        <v>2040</v>
      </c>
      <c r="F528" t="s">
        <v>2041</v>
      </c>
      <c r="G528" t="b">
        <v>1</v>
      </c>
    </row>
    <row r="529" spans="1:7" x14ac:dyDescent="0.25">
      <c r="A529">
        <v>359</v>
      </c>
      <c r="B529" t="s">
        <v>495</v>
      </c>
      <c r="C529" t="s">
        <v>136</v>
      </c>
      <c r="D529" t="s">
        <v>1476</v>
      </c>
      <c r="E529" t="s">
        <v>3343</v>
      </c>
      <c r="F529" t="s">
        <v>2042</v>
      </c>
      <c r="G529" t="b">
        <v>1</v>
      </c>
    </row>
    <row r="530" spans="1:7" x14ac:dyDescent="0.25">
      <c r="A530">
        <v>360</v>
      </c>
      <c r="B530" t="s">
        <v>496</v>
      </c>
      <c r="C530" t="s">
        <v>138</v>
      </c>
      <c r="D530" t="s">
        <v>1475</v>
      </c>
      <c r="E530" t="s">
        <v>2043</v>
      </c>
      <c r="F530" t="s">
        <v>2044</v>
      </c>
      <c r="G530" t="b">
        <v>1</v>
      </c>
    </row>
    <row r="531" spans="1:7" x14ac:dyDescent="0.25">
      <c r="A531">
        <v>361</v>
      </c>
      <c r="B531" t="s">
        <v>497</v>
      </c>
      <c r="C531" t="s">
        <v>138</v>
      </c>
      <c r="D531" t="s">
        <v>1471</v>
      </c>
      <c r="E531" t="s">
        <v>2045</v>
      </c>
      <c r="F531" t="s">
        <v>2044</v>
      </c>
      <c r="G531" t="b">
        <v>1</v>
      </c>
    </row>
    <row r="532" spans="1:7" x14ac:dyDescent="0.25">
      <c r="A532">
        <v>362</v>
      </c>
      <c r="B532" t="s">
        <v>498</v>
      </c>
      <c r="C532" t="s">
        <v>136</v>
      </c>
      <c r="D532" t="s">
        <v>1476</v>
      </c>
      <c r="E532" t="s">
        <v>2046</v>
      </c>
      <c r="F532" t="s">
        <v>2044</v>
      </c>
      <c r="G532" t="b">
        <v>1</v>
      </c>
    </row>
    <row r="533" spans="1:7" x14ac:dyDescent="0.25">
      <c r="A533">
        <v>363</v>
      </c>
      <c r="B533" t="s">
        <v>499</v>
      </c>
      <c r="C533" t="s">
        <v>136</v>
      </c>
      <c r="D533" t="s">
        <v>1474</v>
      </c>
      <c r="E533" t="s">
        <v>2047</v>
      </c>
      <c r="F533" t="s">
        <v>2048</v>
      </c>
      <c r="G533" t="b">
        <v>1</v>
      </c>
    </row>
    <row r="534" spans="1:7" x14ac:dyDescent="0.25">
      <c r="A534">
        <v>364</v>
      </c>
      <c r="B534" t="s">
        <v>500</v>
      </c>
      <c r="C534" t="s">
        <v>138</v>
      </c>
      <c r="D534" t="s">
        <v>1471</v>
      </c>
      <c r="E534" t="s">
        <v>1714</v>
      </c>
      <c r="F534" t="s">
        <v>2049</v>
      </c>
      <c r="G534" t="b">
        <v>1</v>
      </c>
    </row>
    <row r="535" spans="1:7" x14ac:dyDescent="0.25">
      <c r="A535">
        <v>365</v>
      </c>
      <c r="B535" t="s">
        <v>501</v>
      </c>
      <c r="C535" t="s">
        <v>138</v>
      </c>
      <c r="D535" t="s">
        <v>1471</v>
      </c>
      <c r="E535" t="s">
        <v>1714</v>
      </c>
      <c r="F535" t="s">
        <v>2050</v>
      </c>
      <c r="G535" t="b">
        <v>1</v>
      </c>
    </row>
    <row r="536" spans="1:7" x14ac:dyDescent="0.25">
      <c r="A536">
        <v>366</v>
      </c>
      <c r="B536" t="s">
        <v>502</v>
      </c>
      <c r="C536" t="s">
        <v>136</v>
      </c>
      <c r="D536" t="s">
        <v>1476</v>
      </c>
      <c r="E536" t="s">
        <v>2051</v>
      </c>
      <c r="F536" t="s">
        <v>1565</v>
      </c>
      <c r="G536" t="b">
        <v>1</v>
      </c>
    </row>
    <row r="537" spans="1:7" x14ac:dyDescent="0.25">
      <c r="A537">
        <v>367</v>
      </c>
      <c r="B537" t="s">
        <v>503</v>
      </c>
      <c r="C537" t="s">
        <v>138</v>
      </c>
      <c r="D537" t="s">
        <v>3416</v>
      </c>
      <c r="E537" t="s">
        <v>2052</v>
      </c>
      <c r="F537" t="s">
        <v>1565</v>
      </c>
      <c r="G537" t="b">
        <v>1</v>
      </c>
    </row>
    <row r="538" spans="1:7" x14ac:dyDescent="0.25">
      <c r="A538">
        <v>368</v>
      </c>
      <c r="B538" t="s">
        <v>504</v>
      </c>
      <c r="C538" t="s">
        <v>138</v>
      </c>
      <c r="D538" t="s">
        <v>1471</v>
      </c>
      <c r="E538" t="s">
        <v>2053</v>
      </c>
      <c r="F538" t="s">
        <v>2054</v>
      </c>
      <c r="G538" t="b">
        <v>1</v>
      </c>
    </row>
    <row r="539" spans="1:7" x14ac:dyDescent="0.25">
      <c r="A539">
        <v>369</v>
      </c>
      <c r="B539" t="s">
        <v>505</v>
      </c>
      <c r="C539" t="s">
        <v>138</v>
      </c>
      <c r="D539" t="s">
        <v>1471</v>
      </c>
      <c r="E539" t="s">
        <v>2055</v>
      </c>
      <c r="F539" t="s">
        <v>2054</v>
      </c>
      <c r="G539" t="b">
        <v>1</v>
      </c>
    </row>
    <row r="540" spans="1:7" x14ac:dyDescent="0.25">
      <c r="A540">
        <v>370</v>
      </c>
      <c r="B540" t="s">
        <v>506</v>
      </c>
      <c r="C540" t="s">
        <v>136</v>
      </c>
      <c r="D540" t="s">
        <v>1476</v>
      </c>
      <c r="E540" t="s">
        <v>2056</v>
      </c>
      <c r="F540" t="s">
        <v>2054</v>
      </c>
      <c r="G540" t="b">
        <v>1</v>
      </c>
    </row>
    <row r="541" spans="1:7" x14ac:dyDescent="0.25">
      <c r="A541">
        <v>371</v>
      </c>
      <c r="B541" t="s">
        <v>507</v>
      </c>
      <c r="C541" t="s">
        <v>136</v>
      </c>
      <c r="D541" t="s">
        <v>1474</v>
      </c>
      <c r="E541" t="s">
        <v>2057</v>
      </c>
      <c r="F541" t="s">
        <v>2058</v>
      </c>
      <c r="G541" t="b">
        <v>1</v>
      </c>
    </row>
    <row r="542" spans="1:7" x14ac:dyDescent="0.25">
      <c r="A542">
        <v>372</v>
      </c>
      <c r="B542" t="s">
        <v>508</v>
      </c>
      <c r="C542" t="s">
        <v>136</v>
      </c>
      <c r="D542" t="s">
        <v>1476</v>
      </c>
      <c r="E542" t="s">
        <v>1595</v>
      </c>
      <c r="F542" t="s">
        <v>2058</v>
      </c>
      <c r="G542" t="b">
        <v>1</v>
      </c>
    </row>
    <row r="543" spans="1:7" x14ac:dyDescent="0.25">
      <c r="A543">
        <v>373</v>
      </c>
      <c r="B543" t="s">
        <v>509</v>
      </c>
      <c r="C543" t="s">
        <v>138</v>
      </c>
      <c r="D543" t="s">
        <v>1471</v>
      </c>
      <c r="E543" t="s">
        <v>2059</v>
      </c>
      <c r="F543" t="s">
        <v>2060</v>
      </c>
      <c r="G543" t="b">
        <v>1</v>
      </c>
    </row>
    <row r="544" spans="1:7" x14ac:dyDescent="0.25">
      <c r="A544">
        <v>374</v>
      </c>
      <c r="B544" t="s">
        <v>510</v>
      </c>
      <c r="C544" t="s">
        <v>136</v>
      </c>
      <c r="D544" t="s">
        <v>1476</v>
      </c>
      <c r="E544" t="s">
        <v>2061</v>
      </c>
      <c r="F544" t="s">
        <v>2060</v>
      </c>
      <c r="G544" t="b">
        <v>1</v>
      </c>
    </row>
    <row r="545" spans="1:8" x14ac:dyDescent="0.25">
      <c r="A545">
        <v>375</v>
      </c>
      <c r="B545" t="s">
        <v>511</v>
      </c>
      <c r="C545" t="s">
        <v>138</v>
      </c>
      <c r="D545" t="s">
        <v>1471</v>
      </c>
      <c r="E545" t="s">
        <v>2062</v>
      </c>
      <c r="F545" t="s">
        <v>2063</v>
      </c>
      <c r="G545" t="b">
        <v>1</v>
      </c>
    </row>
    <row r="546" spans="1:8" x14ac:dyDescent="0.25">
      <c r="A546">
        <v>376</v>
      </c>
      <c r="B546" t="s">
        <v>512</v>
      </c>
      <c r="C546" t="s">
        <v>138</v>
      </c>
      <c r="D546" t="s">
        <v>1471</v>
      </c>
      <c r="E546" t="s">
        <v>1771</v>
      </c>
      <c r="F546" t="s">
        <v>2064</v>
      </c>
      <c r="G546" t="b">
        <v>1</v>
      </c>
    </row>
    <row r="547" spans="1:8" x14ac:dyDescent="0.25">
      <c r="A547">
        <v>377</v>
      </c>
      <c r="B547" t="s">
        <v>513</v>
      </c>
      <c r="C547" t="s">
        <v>138</v>
      </c>
      <c r="D547" t="s">
        <v>1471</v>
      </c>
      <c r="E547" t="s">
        <v>2065</v>
      </c>
      <c r="F547" t="s">
        <v>2066</v>
      </c>
      <c r="G547" t="b">
        <v>1</v>
      </c>
    </row>
    <row r="548" spans="1:8" x14ac:dyDescent="0.25">
      <c r="A548">
        <v>378</v>
      </c>
      <c r="B548" t="s">
        <v>514</v>
      </c>
      <c r="C548" t="s">
        <v>136</v>
      </c>
      <c r="D548" t="s">
        <v>1474</v>
      </c>
      <c r="E548" t="s">
        <v>1821</v>
      </c>
      <c r="F548" t="s">
        <v>2067</v>
      </c>
      <c r="G548" t="b">
        <v>1</v>
      </c>
      <c r="H548" t="b">
        <v>1</v>
      </c>
    </row>
    <row r="549" spans="1:8" x14ac:dyDescent="0.25">
      <c r="A549">
        <v>379</v>
      </c>
      <c r="B549" t="s">
        <v>515</v>
      </c>
      <c r="C549" t="s">
        <v>138</v>
      </c>
      <c r="D549" t="s">
        <v>1471</v>
      </c>
      <c r="E549" t="s">
        <v>2068</v>
      </c>
      <c r="F549" t="s">
        <v>2067</v>
      </c>
      <c r="G549" t="b">
        <v>1</v>
      </c>
    </row>
    <row r="550" spans="1:8" x14ac:dyDescent="0.25">
      <c r="A550">
        <v>380</v>
      </c>
      <c r="B550" t="s">
        <v>516</v>
      </c>
      <c r="C550" t="s">
        <v>136</v>
      </c>
      <c r="D550" t="s">
        <v>1476</v>
      </c>
      <c r="E550" t="s">
        <v>2069</v>
      </c>
      <c r="F550" t="s">
        <v>2067</v>
      </c>
      <c r="G550" t="b">
        <v>1</v>
      </c>
    </row>
    <row r="551" spans="1:8" x14ac:dyDescent="0.25">
      <c r="A551">
        <v>381</v>
      </c>
      <c r="B551" t="s">
        <v>517</v>
      </c>
      <c r="C551" t="s">
        <v>136</v>
      </c>
      <c r="D551" t="s">
        <v>1476</v>
      </c>
      <c r="E551" t="s">
        <v>2070</v>
      </c>
      <c r="F551" t="s">
        <v>2071</v>
      </c>
      <c r="G551" t="b">
        <v>1</v>
      </c>
    </row>
    <row r="552" spans="1:8" x14ac:dyDescent="0.25">
      <c r="A552">
        <v>382</v>
      </c>
      <c r="B552" t="s">
        <v>518</v>
      </c>
      <c r="C552" t="s">
        <v>136</v>
      </c>
      <c r="D552" t="s">
        <v>1476</v>
      </c>
      <c r="E552" t="s">
        <v>1713</v>
      </c>
      <c r="F552" t="s">
        <v>2072</v>
      </c>
      <c r="G552" t="b">
        <v>1</v>
      </c>
    </row>
    <row r="553" spans="1:8" x14ac:dyDescent="0.25">
      <c r="A553">
        <v>383</v>
      </c>
      <c r="B553" t="s">
        <v>519</v>
      </c>
      <c r="C553" t="s">
        <v>136</v>
      </c>
      <c r="D553" t="s">
        <v>1476</v>
      </c>
      <c r="E553" t="s">
        <v>2073</v>
      </c>
      <c r="F553" t="s">
        <v>2074</v>
      </c>
      <c r="G553" t="b">
        <v>1</v>
      </c>
    </row>
    <row r="554" spans="1:8" x14ac:dyDescent="0.25">
      <c r="A554">
        <v>384</v>
      </c>
      <c r="B554" t="s">
        <v>520</v>
      </c>
      <c r="C554" t="s">
        <v>138</v>
      </c>
      <c r="D554" t="s">
        <v>1471</v>
      </c>
      <c r="E554" t="s">
        <v>1525</v>
      </c>
      <c r="F554" t="s">
        <v>2075</v>
      </c>
      <c r="G554" t="b">
        <v>1</v>
      </c>
      <c r="H554" t="b">
        <v>1</v>
      </c>
    </row>
    <row r="555" spans="1:8" x14ac:dyDescent="0.25">
      <c r="A555">
        <v>385</v>
      </c>
      <c r="B555" t="s">
        <v>521</v>
      </c>
      <c r="C555" t="s">
        <v>138</v>
      </c>
      <c r="D555" t="s">
        <v>1471</v>
      </c>
      <c r="E555" t="s">
        <v>2076</v>
      </c>
      <c r="F555" t="s">
        <v>2077</v>
      </c>
      <c r="G555" t="b">
        <v>1</v>
      </c>
    </row>
    <row r="556" spans="1:8" x14ac:dyDescent="0.25">
      <c r="A556">
        <v>386</v>
      </c>
      <c r="B556" t="s">
        <v>522</v>
      </c>
      <c r="C556" t="s">
        <v>138</v>
      </c>
      <c r="D556" t="s">
        <v>1475</v>
      </c>
      <c r="E556" t="s">
        <v>3387</v>
      </c>
      <c r="F556" t="s">
        <v>2078</v>
      </c>
      <c r="G556" t="b">
        <v>1</v>
      </c>
    </row>
    <row r="557" spans="1:8" x14ac:dyDescent="0.25">
      <c r="A557">
        <v>387</v>
      </c>
      <c r="B557" t="s">
        <v>523</v>
      </c>
      <c r="C557" t="s">
        <v>138</v>
      </c>
      <c r="D557" t="s">
        <v>1471</v>
      </c>
      <c r="E557" t="s">
        <v>2053</v>
      </c>
      <c r="F557" t="s">
        <v>2078</v>
      </c>
      <c r="G557" t="b">
        <v>1</v>
      </c>
    </row>
    <row r="558" spans="1:8" x14ac:dyDescent="0.25">
      <c r="A558">
        <v>388</v>
      </c>
      <c r="B558" t="s">
        <v>524</v>
      </c>
      <c r="C558" t="s">
        <v>136</v>
      </c>
      <c r="D558" t="s">
        <v>1476</v>
      </c>
      <c r="E558" t="s">
        <v>2079</v>
      </c>
      <c r="F558" t="s">
        <v>2078</v>
      </c>
      <c r="G558" t="b">
        <v>1</v>
      </c>
    </row>
    <row r="559" spans="1:8" x14ac:dyDescent="0.25">
      <c r="A559">
        <v>389</v>
      </c>
      <c r="B559" t="s">
        <v>525</v>
      </c>
      <c r="C559" t="s">
        <v>136</v>
      </c>
      <c r="D559" t="s">
        <v>1474</v>
      </c>
      <c r="E559" t="s">
        <v>1660</v>
      </c>
      <c r="F559" t="s">
        <v>2080</v>
      </c>
      <c r="G559" t="b">
        <v>1</v>
      </c>
    </row>
    <row r="560" spans="1:8" x14ac:dyDescent="0.25">
      <c r="A560">
        <v>390</v>
      </c>
      <c r="B560" t="s">
        <v>526</v>
      </c>
      <c r="C560" t="s">
        <v>138</v>
      </c>
      <c r="D560" t="s">
        <v>1471</v>
      </c>
      <c r="E560" t="s">
        <v>2081</v>
      </c>
      <c r="F560" t="s">
        <v>2082</v>
      </c>
      <c r="G560" t="b">
        <v>1</v>
      </c>
    </row>
    <row r="561" spans="1:7" x14ac:dyDescent="0.25">
      <c r="A561">
        <v>391</v>
      </c>
      <c r="B561" t="s">
        <v>527</v>
      </c>
      <c r="C561" t="s">
        <v>138</v>
      </c>
      <c r="D561" t="s">
        <v>1471</v>
      </c>
      <c r="E561" t="s">
        <v>2083</v>
      </c>
      <c r="F561" t="s">
        <v>2084</v>
      </c>
      <c r="G561" t="b">
        <v>1</v>
      </c>
    </row>
    <row r="562" spans="1:7" x14ac:dyDescent="0.25">
      <c r="A562">
        <v>392</v>
      </c>
      <c r="B562" t="s">
        <v>528</v>
      </c>
      <c r="C562" t="s">
        <v>138</v>
      </c>
      <c r="D562" t="s">
        <v>1471</v>
      </c>
      <c r="E562" t="s">
        <v>2085</v>
      </c>
      <c r="F562" t="s">
        <v>2086</v>
      </c>
      <c r="G562" t="b">
        <v>1</v>
      </c>
    </row>
    <row r="563" spans="1:7" x14ac:dyDescent="0.25">
      <c r="A563">
        <v>393</v>
      </c>
      <c r="B563" t="s">
        <v>529</v>
      </c>
      <c r="C563" t="s">
        <v>136</v>
      </c>
      <c r="D563" t="s">
        <v>1476</v>
      </c>
      <c r="E563" t="s">
        <v>2087</v>
      </c>
      <c r="F563" t="s">
        <v>2086</v>
      </c>
      <c r="G563" t="b">
        <v>1</v>
      </c>
    </row>
    <row r="564" spans="1:7" x14ac:dyDescent="0.25">
      <c r="A564">
        <v>394</v>
      </c>
      <c r="B564" t="s">
        <v>530</v>
      </c>
      <c r="C564" t="s">
        <v>138</v>
      </c>
      <c r="D564" t="s">
        <v>1471</v>
      </c>
      <c r="E564" t="s">
        <v>2088</v>
      </c>
      <c r="F564" t="s">
        <v>2089</v>
      </c>
      <c r="G564" t="b">
        <v>1</v>
      </c>
    </row>
    <row r="565" spans="1:7" x14ac:dyDescent="0.25">
      <c r="A565">
        <v>395</v>
      </c>
      <c r="B565" t="s">
        <v>531</v>
      </c>
      <c r="C565" t="s">
        <v>138</v>
      </c>
      <c r="D565" t="s">
        <v>1471</v>
      </c>
      <c r="E565" t="s">
        <v>1714</v>
      </c>
      <c r="F565" t="s">
        <v>2090</v>
      </c>
      <c r="G565" t="b">
        <v>1</v>
      </c>
    </row>
    <row r="566" spans="1:7" x14ac:dyDescent="0.25">
      <c r="A566">
        <v>396</v>
      </c>
      <c r="B566" t="s">
        <v>532</v>
      </c>
      <c r="C566" t="s">
        <v>136</v>
      </c>
      <c r="D566" t="s">
        <v>1474</v>
      </c>
      <c r="E566" t="s">
        <v>2091</v>
      </c>
      <c r="F566" t="s">
        <v>2092</v>
      </c>
      <c r="G566" t="b">
        <v>1</v>
      </c>
    </row>
    <row r="567" spans="1:7" x14ac:dyDescent="0.25">
      <c r="A567">
        <v>397</v>
      </c>
      <c r="B567" t="s">
        <v>533</v>
      </c>
      <c r="C567" t="s">
        <v>136</v>
      </c>
      <c r="D567" t="s">
        <v>1476</v>
      </c>
      <c r="E567" t="s">
        <v>2093</v>
      </c>
      <c r="F567" t="s">
        <v>2092</v>
      </c>
      <c r="G567" t="b">
        <v>1</v>
      </c>
    </row>
    <row r="568" spans="1:7" x14ac:dyDescent="0.25">
      <c r="A568">
        <v>398</v>
      </c>
      <c r="B568" t="s">
        <v>534</v>
      </c>
      <c r="C568" t="s">
        <v>138</v>
      </c>
      <c r="D568" t="s">
        <v>1471</v>
      </c>
      <c r="E568" t="s">
        <v>2094</v>
      </c>
      <c r="F568" t="s">
        <v>2095</v>
      </c>
      <c r="G568" t="b">
        <v>1</v>
      </c>
    </row>
    <row r="569" spans="1:7" x14ac:dyDescent="0.25">
      <c r="A569">
        <v>399</v>
      </c>
      <c r="B569" t="s">
        <v>535</v>
      </c>
      <c r="C569" t="s">
        <v>138</v>
      </c>
      <c r="D569" t="s">
        <v>1475</v>
      </c>
      <c r="E569" t="s">
        <v>2096</v>
      </c>
      <c r="F569" t="s">
        <v>2097</v>
      </c>
      <c r="G569" t="b">
        <v>1</v>
      </c>
    </row>
    <row r="570" spans="1:7" x14ac:dyDescent="0.25">
      <c r="A570">
        <v>400</v>
      </c>
      <c r="B570" t="s">
        <v>536</v>
      </c>
      <c r="C570" t="s">
        <v>138</v>
      </c>
      <c r="D570" t="s">
        <v>1471</v>
      </c>
      <c r="E570" t="s">
        <v>2098</v>
      </c>
      <c r="F570" t="s">
        <v>2097</v>
      </c>
      <c r="G570" t="b">
        <v>1</v>
      </c>
    </row>
    <row r="571" spans="1:7" x14ac:dyDescent="0.25">
      <c r="A571">
        <v>401</v>
      </c>
      <c r="B571" t="s">
        <v>537</v>
      </c>
      <c r="C571" t="s">
        <v>136</v>
      </c>
      <c r="D571" t="s">
        <v>1476</v>
      </c>
      <c r="E571" t="s">
        <v>2099</v>
      </c>
      <c r="F571" t="s">
        <v>2097</v>
      </c>
      <c r="G571" t="b">
        <v>1</v>
      </c>
    </row>
    <row r="572" spans="1:7" x14ac:dyDescent="0.25">
      <c r="A572">
        <v>402</v>
      </c>
      <c r="B572" t="s">
        <v>538</v>
      </c>
      <c r="C572" t="s">
        <v>136</v>
      </c>
      <c r="D572" t="s">
        <v>1474</v>
      </c>
      <c r="E572" t="s">
        <v>2100</v>
      </c>
      <c r="F572" t="s">
        <v>2101</v>
      </c>
      <c r="G572" t="b">
        <v>1</v>
      </c>
    </row>
    <row r="573" spans="1:7" x14ac:dyDescent="0.25">
      <c r="A573">
        <v>403</v>
      </c>
      <c r="B573" t="s">
        <v>539</v>
      </c>
      <c r="C573" t="s">
        <v>136</v>
      </c>
      <c r="D573" t="s">
        <v>1474</v>
      </c>
      <c r="E573" t="s">
        <v>2102</v>
      </c>
      <c r="F573" t="s">
        <v>2101</v>
      </c>
      <c r="G573" t="b">
        <v>1</v>
      </c>
    </row>
    <row r="574" spans="1:7" x14ac:dyDescent="0.25">
      <c r="A574">
        <v>404</v>
      </c>
      <c r="B574" t="s">
        <v>540</v>
      </c>
      <c r="C574" t="s">
        <v>138</v>
      </c>
      <c r="D574" t="s">
        <v>1471</v>
      </c>
      <c r="E574" t="s">
        <v>2103</v>
      </c>
      <c r="F574" t="s">
        <v>2104</v>
      </c>
      <c r="G574" t="b">
        <v>1</v>
      </c>
    </row>
    <row r="575" spans="1:7" x14ac:dyDescent="0.25">
      <c r="A575">
        <v>405</v>
      </c>
      <c r="B575" t="s">
        <v>541</v>
      </c>
      <c r="C575" t="s">
        <v>138</v>
      </c>
      <c r="D575" t="s">
        <v>1471</v>
      </c>
      <c r="E575" t="s">
        <v>2105</v>
      </c>
      <c r="F575" t="s">
        <v>2106</v>
      </c>
      <c r="G575" t="b">
        <v>1</v>
      </c>
    </row>
    <row r="576" spans="1:7" x14ac:dyDescent="0.25">
      <c r="A576">
        <v>406</v>
      </c>
      <c r="B576" t="s">
        <v>542</v>
      </c>
      <c r="C576" t="s">
        <v>138</v>
      </c>
      <c r="D576" t="s">
        <v>1471</v>
      </c>
      <c r="E576" t="s">
        <v>2107</v>
      </c>
      <c r="F576" t="s">
        <v>2108</v>
      </c>
      <c r="G576" t="b">
        <v>1</v>
      </c>
    </row>
    <row r="577" spans="1:8" x14ac:dyDescent="0.25">
      <c r="A577">
        <v>407</v>
      </c>
      <c r="B577" t="s">
        <v>543</v>
      </c>
      <c r="C577" t="s">
        <v>138</v>
      </c>
      <c r="D577" t="s">
        <v>1471</v>
      </c>
      <c r="E577" t="s">
        <v>1480</v>
      </c>
      <c r="F577" t="s">
        <v>2109</v>
      </c>
      <c r="G577" t="b">
        <v>1</v>
      </c>
    </row>
    <row r="578" spans="1:8" x14ac:dyDescent="0.25">
      <c r="A578">
        <v>408</v>
      </c>
      <c r="B578" t="s">
        <v>544</v>
      </c>
      <c r="C578" t="s">
        <v>136</v>
      </c>
      <c r="D578" t="s">
        <v>1476</v>
      </c>
      <c r="E578" t="s">
        <v>2110</v>
      </c>
      <c r="F578" t="s">
        <v>2109</v>
      </c>
      <c r="G578" t="b">
        <v>1</v>
      </c>
    </row>
    <row r="579" spans="1:8" x14ac:dyDescent="0.25">
      <c r="A579">
        <v>409</v>
      </c>
      <c r="B579" t="s">
        <v>545</v>
      </c>
      <c r="C579" t="s">
        <v>138</v>
      </c>
      <c r="D579" t="s">
        <v>1471</v>
      </c>
      <c r="E579" t="s">
        <v>2111</v>
      </c>
      <c r="F579" t="s">
        <v>2112</v>
      </c>
      <c r="G579" t="b">
        <v>1</v>
      </c>
    </row>
    <row r="580" spans="1:8" x14ac:dyDescent="0.25">
      <c r="A580">
        <v>410</v>
      </c>
      <c r="B580" t="s">
        <v>546</v>
      </c>
      <c r="C580" t="s">
        <v>138</v>
      </c>
      <c r="D580" t="s">
        <v>1471</v>
      </c>
      <c r="E580" t="s">
        <v>2113</v>
      </c>
      <c r="F580" t="s">
        <v>2114</v>
      </c>
      <c r="G580" t="b">
        <v>1</v>
      </c>
    </row>
    <row r="581" spans="1:8" x14ac:dyDescent="0.25">
      <c r="A581">
        <v>411</v>
      </c>
      <c r="B581" t="s">
        <v>547</v>
      </c>
      <c r="C581" t="s">
        <v>138</v>
      </c>
      <c r="D581" t="s">
        <v>1471</v>
      </c>
      <c r="E581" t="s">
        <v>3374</v>
      </c>
      <c r="F581" t="s">
        <v>2115</v>
      </c>
      <c r="G581" t="b">
        <v>1</v>
      </c>
      <c r="H581" t="b">
        <v>1</v>
      </c>
    </row>
    <row r="582" spans="1:8" x14ac:dyDescent="0.25">
      <c r="A582">
        <v>412</v>
      </c>
      <c r="B582" t="s">
        <v>548</v>
      </c>
      <c r="C582" t="s">
        <v>136</v>
      </c>
      <c r="D582" t="s">
        <v>1474</v>
      </c>
      <c r="E582" t="s">
        <v>2116</v>
      </c>
      <c r="F582" t="s">
        <v>2117</v>
      </c>
      <c r="G582" t="b">
        <v>1</v>
      </c>
    </row>
    <row r="583" spans="1:8" x14ac:dyDescent="0.25">
      <c r="A583">
        <v>413</v>
      </c>
      <c r="B583" t="s">
        <v>549</v>
      </c>
      <c r="C583" t="s">
        <v>138</v>
      </c>
      <c r="D583" t="s">
        <v>1471</v>
      </c>
      <c r="E583" t="s">
        <v>2118</v>
      </c>
      <c r="F583" t="s">
        <v>2119</v>
      </c>
      <c r="G583" t="b">
        <v>1</v>
      </c>
    </row>
    <row r="584" spans="1:8" x14ac:dyDescent="0.25">
      <c r="A584">
        <v>414</v>
      </c>
      <c r="B584" t="s">
        <v>550</v>
      </c>
      <c r="C584" t="s">
        <v>138</v>
      </c>
      <c r="D584" t="s">
        <v>1471</v>
      </c>
      <c r="E584" t="s">
        <v>1480</v>
      </c>
      <c r="F584" t="s">
        <v>2120</v>
      </c>
      <c r="G584" t="b">
        <v>1</v>
      </c>
    </row>
    <row r="585" spans="1:8" x14ac:dyDescent="0.25">
      <c r="A585">
        <v>415</v>
      </c>
      <c r="B585" t="s">
        <v>551</v>
      </c>
      <c r="C585" t="s">
        <v>138</v>
      </c>
      <c r="D585" t="s">
        <v>1471</v>
      </c>
      <c r="E585" t="s">
        <v>2121</v>
      </c>
      <c r="F585" t="s">
        <v>2120</v>
      </c>
      <c r="G585" t="b">
        <v>1</v>
      </c>
    </row>
    <row r="586" spans="1:8" x14ac:dyDescent="0.25">
      <c r="A586">
        <v>416</v>
      </c>
      <c r="B586" t="s">
        <v>552</v>
      </c>
      <c r="C586" t="s">
        <v>136</v>
      </c>
      <c r="D586" t="s">
        <v>1474</v>
      </c>
      <c r="E586" t="s">
        <v>2010</v>
      </c>
      <c r="F586" t="s">
        <v>2122</v>
      </c>
      <c r="G586" t="b">
        <v>1</v>
      </c>
    </row>
    <row r="587" spans="1:8" x14ac:dyDescent="0.25">
      <c r="A587">
        <v>417</v>
      </c>
      <c r="B587" t="s">
        <v>553</v>
      </c>
      <c r="C587" t="s">
        <v>138</v>
      </c>
      <c r="D587" t="s">
        <v>1471</v>
      </c>
      <c r="E587" t="s">
        <v>2123</v>
      </c>
      <c r="F587" t="s">
        <v>2124</v>
      </c>
      <c r="G587" t="b">
        <v>1</v>
      </c>
    </row>
    <row r="588" spans="1:8" x14ac:dyDescent="0.25">
      <c r="A588">
        <v>418</v>
      </c>
      <c r="B588" t="s">
        <v>554</v>
      </c>
      <c r="C588" t="s">
        <v>138</v>
      </c>
      <c r="D588" t="s">
        <v>1471</v>
      </c>
      <c r="E588" t="s">
        <v>2018</v>
      </c>
      <c r="F588" t="s">
        <v>2125</v>
      </c>
      <c r="G588" t="b">
        <v>1</v>
      </c>
    </row>
    <row r="589" spans="1:8" x14ac:dyDescent="0.25">
      <c r="A589">
        <v>419</v>
      </c>
      <c r="B589" t="s">
        <v>555</v>
      </c>
      <c r="C589" t="s">
        <v>138</v>
      </c>
      <c r="D589" t="s">
        <v>1471</v>
      </c>
      <c r="E589" t="s">
        <v>1714</v>
      </c>
      <c r="F589" t="s">
        <v>2126</v>
      </c>
      <c r="G589" t="b">
        <v>1</v>
      </c>
    </row>
    <row r="590" spans="1:8" x14ac:dyDescent="0.25">
      <c r="A590">
        <v>420</v>
      </c>
      <c r="B590" t="s">
        <v>556</v>
      </c>
      <c r="C590" t="s">
        <v>138</v>
      </c>
      <c r="D590" t="s">
        <v>1471</v>
      </c>
      <c r="E590" t="s">
        <v>2127</v>
      </c>
      <c r="F590" t="s">
        <v>2128</v>
      </c>
      <c r="G590" t="b">
        <v>1</v>
      </c>
    </row>
    <row r="591" spans="1:8" x14ac:dyDescent="0.25">
      <c r="A591">
        <v>421</v>
      </c>
      <c r="B591" t="s">
        <v>557</v>
      </c>
      <c r="C591" t="s">
        <v>138</v>
      </c>
      <c r="D591" t="s">
        <v>1471</v>
      </c>
      <c r="E591" t="s">
        <v>2129</v>
      </c>
      <c r="F591" t="s">
        <v>2128</v>
      </c>
      <c r="G591" t="b">
        <v>1</v>
      </c>
    </row>
    <row r="592" spans="1:8" x14ac:dyDescent="0.25">
      <c r="A592">
        <v>422</v>
      </c>
      <c r="B592" t="s">
        <v>558</v>
      </c>
      <c r="C592" t="s">
        <v>138</v>
      </c>
      <c r="D592" t="s">
        <v>1471</v>
      </c>
      <c r="E592" t="s">
        <v>2130</v>
      </c>
      <c r="F592" t="s">
        <v>2128</v>
      </c>
      <c r="G592" t="b">
        <v>1</v>
      </c>
    </row>
    <row r="593" spans="1:8" x14ac:dyDescent="0.25">
      <c r="A593">
        <v>423</v>
      </c>
      <c r="B593" t="s">
        <v>559</v>
      </c>
      <c r="C593" t="s">
        <v>138</v>
      </c>
      <c r="D593" t="s">
        <v>1471</v>
      </c>
      <c r="E593" t="s">
        <v>2131</v>
      </c>
      <c r="F593" t="s">
        <v>2132</v>
      </c>
      <c r="G593" t="b">
        <v>1</v>
      </c>
    </row>
    <row r="594" spans="1:8" x14ac:dyDescent="0.25">
      <c r="A594">
        <v>424</v>
      </c>
      <c r="B594" t="s">
        <v>560</v>
      </c>
      <c r="C594" t="s">
        <v>138</v>
      </c>
      <c r="D594" t="s">
        <v>1471</v>
      </c>
      <c r="E594" t="s">
        <v>2133</v>
      </c>
      <c r="F594" t="s">
        <v>2134</v>
      </c>
      <c r="G594" t="b">
        <v>1</v>
      </c>
    </row>
    <row r="595" spans="1:8" x14ac:dyDescent="0.25">
      <c r="A595">
        <v>425</v>
      </c>
      <c r="B595" t="s">
        <v>561</v>
      </c>
      <c r="C595" t="s">
        <v>138</v>
      </c>
      <c r="D595" t="s">
        <v>1471</v>
      </c>
      <c r="E595" t="s">
        <v>2135</v>
      </c>
      <c r="F595" t="s">
        <v>2136</v>
      </c>
      <c r="G595" t="b">
        <v>1</v>
      </c>
    </row>
    <row r="596" spans="1:8" x14ac:dyDescent="0.25">
      <c r="A596">
        <v>426</v>
      </c>
      <c r="B596" t="s">
        <v>562</v>
      </c>
      <c r="C596" t="s">
        <v>138</v>
      </c>
      <c r="D596" t="s">
        <v>1471</v>
      </c>
      <c r="E596" t="s">
        <v>1987</v>
      </c>
      <c r="F596" t="s">
        <v>2137</v>
      </c>
      <c r="G596" t="b">
        <v>1</v>
      </c>
    </row>
    <row r="597" spans="1:8" x14ac:dyDescent="0.25">
      <c r="A597">
        <v>427</v>
      </c>
      <c r="B597" t="s">
        <v>563</v>
      </c>
      <c r="C597" t="s">
        <v>138</v>
      </c>
      <c r="D597" t="s">
        <v>1471</v>
      </c>
      <c r="E597" t="s">
        <v>2138</v>
      </c>
      <c r="F597" t="s">
        <v>2139</v>
      </c>
      <c r="G597" t="b">
        <v>1</v>
      </c>
    </row>
    <row r="598" spans="1:8" x14ac:dyDescent="0.25">
      <c r="A598">
        <v>428</v>
      </c>
      <c r="B598" t="s">
        <v>564</v>
      </c>
      <c r="C598" t="s">
        <v>138</v>
      </c>
      <c r="D598" t="s">
        <v>1475</v>
      </c>
      <c r="E598" t="s">
        <v>2140</v>
      </c>
      <c r="F598" t="s">
        <v>2141</v>
      </c>
      <c r="G598" t="b">
        <v>1</v>
      </c>
    </row>
    <row r="599" spans="1:8" x14ac:dyDescent="0.25">
      <c r="A599">
        <v>429</v>
      </c>
      <c r="B599" t="s">
        <v>565</v>
      </c>
      <c r="C599" t="s">
        <v>136</v>
      </c>
      <c r="D599" t="s">
        <v>1476</v>
      </c>
      <c r="E599" t="s">
        <v>1733</v>
      </c>
      <c r="F599" t="s">
        <v>2141</v>
      </c>
      <c r="G599" t="b">
        <v>1</v>
      </c>
    </row>
    <row r="600" spans="1:8" x14ac:dyDescent="0.25">
      <c r="A600">
        <v>430</v>
      </c>
      <c r="B600" t="s">
        <v>566</v>
      </c>
      <c r="C600" t="s">
        <v>138</v>
      </c>
      <c r="D600" t="s">
        <v>1471</v>
      </c>
      <c r="E600" t="s">
        <v>2142</v>
      </c>
      <c r="F600" t="s">
        <v>2143</v>
      </c>
      <c r="G600" t="b">
        <v>1</v>
      </c>
    </row>
    <row r="601" spans="1:8" x14ac:dyDescent="0.25">
      <c r="A601">
        <v>431</v>
      </c>
      <c r="B601" t="s">
        <v>567</v>
      </c>
      <c r="C601" t="s">
        <v>136</v>
      </c>
      <c r="D601" t="s">
        <v>1474</v>
      </c>
      <c r="E601" t="s">
        <v>3360</v>
      </c>
      <c r="F601" t="s">
        <v>1707</v>
      </c>
      <c r="G601" t="b">
        <v>1</v>
      </c>
      <c r="H601" t="b">
        <v>1</v>
      </c>
    </row>
    <row r="602" spans="1:8" x14ac:dyDescent="0.25">
      <c r="A602">
        <v>432</v>
      </c>
      <c r="B602" t="s">
        <v>568</v>
      </c>
      <c r="C602" t="s">
        <v>138</v>
      </c>
      <c r="D602" t="s">
        <v>3416</v>
      </c>
      <c r="E602" t="s">
        <v>1646</v>
      </c>
      <c r="F602" t="s">
        <v>1707</v>
      </c>
      <c r="G602" t="b">
        <v>1</v>
      </c>
    </row>
    <row r="603" spans="1:8" x14ac:dyDescent="0.25">
      <c r="A603">
        <v>433</v>
      </c>
      <c r="B603" t="s">
        <v>569</v>
      </c>
      <c r="C603" t="s">
        <v>138</v>
      </c>
      <c r="D603" t="s">
        <v>1471</v>
      </c>
      <c r="E603" t="s">
        <v>1472</v>
      </c>
      <c r="F603" t="s">
        <v>1712</v>
      </c>
      <c r="G603" t="b">
        <v>1</v>
      </c>
    </row>
    <row r="604" spans="1:8" x14ac:dyDescent="0.25">
      <c r="A604">
        <v>434</v>
      </c>
      <c r="B604" t="s">
        <v>570</v>
      </c>
      <c r="C604" t="s">
        <v>138</v>
      </c>
      <c r="D604" t="s">
        <v>1471</v>
      </c>
      <c r="E604" t="s">
        <v>2144</v>
      </c>
      <c r="F604" t="s">
        <v>1712</v>
      </c>
      <c r="G604" t="b">
        <v>1</v>
      </c>
    </row>
    <row r="605" spans="1:8" x14ac:dyDescent="0.25">
      <c r="A605">
        <v>435</v>
      </c>
      <c r="B605" t="s">
        <v>571</v>
      </c>
      <c r="C605" t="s">
        <v>136</v>
      </c>
      <c r="D605" t="s">
        <v>1474</v>
      </c>
      <c r="E605" t="s">
        <v>2145</v>
      </c>
      <c r="F605" t="s">
        <v>2146</v>
      </c>
      <c r="G605" t="b">
        <v>1</v>
      </c>
    </row>
    <row r="606" spans="1:8" x14ac:dyDescent="0.25">
      <c r="A606">
        <v>436</v>
      </c>
      <c r="B606" t="s">
        <v>572</v>
      </c>
      <c r="C606" t="s">
        <v>138</v>
      </c>
      <c r="D606" t="s">
        <v>1471</v>
      </c>
      <c r="E606" t="s">
        <v>1701</v>
      </c>
      <c r="F606" t="s">
        <v>2146</v>
      </c>
      <c r="G606" t="b">
        <v>1</v>
      </c>
    </row>
    <row r="607" spans="1:8" x14ac:dyDescent="0.25">
      <c r="A607">
        <v>437</v>
      </c>
      <c r="B607" t="s">
        <v>573</v>
      </c>
      <c r="C607" t="s">
        <v>136</v>
      </c>
      <c r="D607" t="s">
        <v>1476</v>
      </c>
      <c r="E607" t="s">
        <v>2147</v>
      </c>
      <c r="F607" t="s">
        <v>2146</v>
      </c>
      <c r="G607" t="b">
        <v>1</v>
      </c>
    </row>
    <row r="608" spans="1:8" x14ac:dyDescent="0.25">
      <c r="A608">
        <v>438</v>
      </c>
      <c r="B608" t="s">
        <v>574</v>
      </c>
      <c r="C608" t="s">
        <v>136</v>
      </c>
      <c r="D608" t="s">
        <v>1474</v>
      </c>
      <c r="E608" t="s">
        <v>1595</v>
      </c>
      <c r="F608" t="s">
        <v>1761</v>
      </c>
      <c r="G608" t="b">
        <v>1</v>
      </c>
    </row>
    <row r="609" spans="1:8" x14ac:dyDescent="0.25">
      <c r="A609">
        <v>439</v>
      </c>
      <c r="B609" t="s">
        <v>575</v>
      </c>
      <c r="C609" t="s">
        <v>136</v>
      </c>
      <c r="D609" t="s">
        <v>1474</v>
      </c>
      <c r="E609" t="s">
        <v>2036</v>
      </c>
      <c r="F609" t="s">
        <v>1761</v>
      </c>
      <c r="G609" t="b">
        <v>1</v>
      </c>
    </row>
    <row r="610" spans="1:8" x14ac:dyDescent="0.25">
      <c r="A610">
        <v>440</v>
      </c>
      <c r="B610" t="s">
        <v>576</v>
      </c>
      <c r="C610" t="s">
        <v>138</v>
      </c>
      <c r="D610" t="s">
        <v>1471</v>
      </c>
      <c r="E610" t="s">
        <v>1987</v>
      </c>
      <c r="F610" t="s">
        <v>1761</v>
      </c>
      <c r="G610" t="b">
        <v>1</v>
      </c>
    </row>
    <row r="611" spans="1:8" x14ac:dyDescent="0.25">
      <c r="A611">
        <v>441</v>
      </c>
      <c r="B611" t="s">
        <v>577</v>
      </c>
      <c r="C611" t="s">
        <v>136</v>
      </c>
      <c r="D611" t="s">
        <v>1476</v>
      </c>
      <c r="E611" t="s">
        <v>2148</v>
      </c>
      <c r="F611" t="s">
        <v>1761</v>
      </c>
      <c r="G611" t="b">
        <v>1</v>
      </c>
    </row>
    <row r="612" spans="1:8" x14ac:dyDescent="0.25">
      <c r="A612">
        <v>442</v>
      </c>
      <c r="B612" t="s">
        <v>578</v>
      </c>
      <c r="C612" t="s">
        <v>136</v>
      </c>
      <c r="D612" t="s">
        <v>1476</v>
      </c>
      <c r="E612" t="s">
        <v>2149</v>
      </c>
      <c r="F612" t="s">
        <v>2150</v>
      </c>
      <c r="G612" t="b">
        <v>1</v>
      </c>
    </row>
    <row r="613" spans="1:8" x14ac:dyDescent="0.25">
      <c r="A613">
        <v>443</v>
      </c>
      <c r="B613" t="s">
        <v>579</v>
      </c>
      <c r="C613" t="s">
        <v>138</v>
      </c>
      <c r="D613" t="s">
        <v>1471</v>
      </c>
      <c r="E613" t="s">
        <v>2151</v>
      </c>
      <c r="F613" t="s">
        <v>2152</v>
      </c>
      <c r="G613" t="b">
        <v>1</v>
      </c>
    </row>
    <row r="614" spans="1:8" x14ac:dyDescent="0.25">
      <c r="A614">
        <v>444</v>
      </c>
      <c r="B614" t="s">
        <v>580</v>
      </c>
      <c r="C614" t="s">
        <v>138</v>
      </c>
      <c r="D614" t="s">
        <v>1471</v>
      </c>
      <c r="E614" t="s">
        <v>2153</v>
      </c>
      <c r="F614" t="s">
        <v>2152</v>
      </c>
      <c r="G614" t="b">
        <v>1</v>
      </c>
    </row>
    <row r="615" spans="1:8" x14ac:dyDescent="0.25">
      <c r="A615">
        <v>445</v>
      </c>
      <c r="B615" t="s">
        <v>581</v>
      </c>
      <c r="C615" t="s">
        <v>138</v>
      </c>
      <c r="D615" t="s">
        <v>1471</v>
      </c>
      <c r="E615" t="s">
        <v>2154</v>
      </c>
      <c r="F615" t="s">
        <v>2152</v>
      </c>
      <c r="G615" t="b">
        <v>1</v>
      </c>
    </row>
    <row r="616" spans="1:8" x14ac:dyDescent="0.25">
      <c r="A616">
        <v>446</v>
      </c>
      <c r="B616" t="s">
        <v>582</v>
      </c>
      <c r="C616" t="s">
        <v>136</v>
      </c>
      <c r="D616" t="s">
        <v>1474</v>
      </c>
      <c r="E616" t="s">
        <v>2155</v>
      </c>
      <c r="F616" t="s">
        <v>2156</v>
      </c>
      <c r="G616" t="b">
        <v>1</v>
      </c>
    </row>
    <row r="617" spans="1:8" x14ac:dyDescent="0.25">
      <c r="A617">
        <v>447</v>
      </c>
      <c r="B617" t="s">
        <v>583</v>
      </c>
      <c r="C617" t="s">
        <v>136</v>
      </c>
      <c r="D617" t="s">
        <v>1474</v>
      </c>
      <c r="E617" t="s">
        <v>1512</v>
      </c>
      <c r="F617" t="s">
        <v>2157</v>
      </c>
      <c r="G617" t="b">
        <v>1</v>
      </c>
      <c r="H617" t="b">
        <v>1</v>
      </c>
    </row>
    <row r="618" spans="1:8" x14ac:dyDescent="0.25">
      <c r="A618">
        <v>448</v>
      </c>
      <c r="B618" t="s">
        <v>584</v>
      </c>
      <c r="C618" t="s">
        <v>138</v>
      </c>
      <c r="D618" t="s">
        <v>1471</v>
      </c>
      <c r="E618" t="s">
        <v>2158</v>
      </c>
      <c r="F618" t="s">
        <v>2157</v>
      </c>
      <c r="G618" t="b">
        <v>1</v>
      </c>
    </row>
    <row r="619" spans="1:8" x14ac:dyDescent="0.25">
      <c r="A619">
        <v>449</v>
      </c>
      <c r="B619" t="s">
        <v>585</v>
      </c>
      <c r="C619" t="s">
        <v>138</v>
      </c>
      <c r="D619" t="s">
        <v>1471</v>
      </c>
      <c r="E619" t="s">
        <v>2159</v>
      </c>
      <c r="F619" t="s">
        <v>2157</v>
      </c>
      <c r="G619" t="b">
        <v>1</v>
      </c>
    </row>
    <row r="620" spans="1:8" x14ac:dyDescent="0.25">
      <c r="A620">
        <v>450</v>
      </c>
      <c r="B620" t="s">
        <v>586</v>
      </c>
      <c r="C620" t="s">
        <v>136</v>
      </c>
      <c r="D620" t="s">
        <v>1476</v>
      </c>
      <c r="E620" t="s">
        <v>2160</v>
      </c>
      <c r="F620" t="s">
        <v>2157</v>
      </c>
      <c r="G620" t="b">
        <v>1</v>
      </c>
      <c r="H620" t="b">
        <v>1</v>
      </c>
    </row>
    <row r="621" spans="1:8" x14ac:dyDescent="0.25">
      <c r="A621">
        <v>451</v>
      </c>
      <c r="B621" t="s">
        <v>587</v>
      </c>
      <c r="C621" t="s">
        <v>138</v>
      </c>
      <c r="D621" t="s">
        <v>1471</v>
      </c>
      <c r="E621" t="s">
        <v>2161</v>
      </c>
      <c r="F621" t="s">
        <v>2162</v>
      </c>
      <c r="G621" t="b">
        <v>1</v>
      </c>
    </row>
    <row r="622" spans="1:8" x14ac:dyDescent="0.25">
      <c r="A622">
        <v>452</v>
      </c>
      <c r="B622" t="s">
        <v>588</v>
      </c>
      <c r="C622" t="s">
        <v>138</v>
      </c>
      <c r="D622" t="s">
        <v>1471</v>
      </c>
      <c r="E622" t="s">
        <v>2163</v>
      </c>
      <c r="F622" t="s">
        <v>2164</v>
      </c>
      <c r="G622" t="b">
        <v>1</v>
      </c>
    </row>
    <row r="623" spans="1:8" x14ac:dyDescent="0.25">
      <c r="A623">
        <v>453</v>
      </c>
      <c r="B623" t="s">
        <v>589</v>
      </c>
      <c r="C623" t="s">
        <v>136</v>
      </c>
      <c r="D623" t="s">
        <v>1476</v>
      </c>
      <c r="E623" t="s">
        <v>2165</v>
      </c>
      <c r="F623" t="s">
        <v>2164</v>
      </c>
      <c r="G623" t="b">
        <v>1</v>
      </c>
    </row>
    <row r="624" spans="1:8" x14ac:dyDescent="0.25">
      <c r="A624">
        <v>454</v>
      </c>
      <c r="B624" t="s">
        <v>590</v>
      </c>
      <c r="C624" t="s">
        <v>138</v>
      </c>
      <c r="D624" t="s">
        <v>1471</v>
      </c>
      <c r="E624" t="s">
        <v>3388</v>
      </c>
      <c r="F624" t="s">
        <v>2166</v>
      </c>
      <c r="G624" t="b">
        <v>1</v>
      </c>
    </row>
    <row r="625" spans="1:7" x14ac:dyDescent="0.25">
      <c r="A625">
        <v>455</v>
      </c>
      <c r="B625" t="s">
        <v>591</v>
      </c>
      <c r="C625" t="s">
        <v>138</v>
      </c>
      <c r="D625" t="s">
        <v>1471</v>
      </c>
      <c r="E625" t="s">
        <v>2167</v>
      </c>
      <c r="F625" t="s">
        <v>2168</v>
      </c>
      <c r="G625" t="b">
        <v>1</v>
      </c>
    </row>
    <row r="626" spans="1:7" x14ac:dyDescent="0.25">
      <c r="A626">
        <v>456</v>
      </c>
      <c r="B626" t="s">
        <v>592</v>
      </c>
      <c r="C626" t="s">
        <v>138</v>
      </c>
      <c r="D626" t="s">
        <v>1471</v>
      </c>
      <c r="E626" t="s">
        <v>1701</v>
      </c>
      <c r="F626" t="s">
        <v>2169</v>
      </c>
      <c r="G626" t="b">
        <v>1</v>
      </c>
    </row>
    <row r="627" spans="1:7" x14ac:dyDescent="0.25">
      <c r="A627">
        <v>457</v>
      </c>
      <c r="B627" t="s">
        <v>593</v>
      </c>
      <c r="C627" t="s">
        <v>136</v>
      </c>
      <c r="D627" t="s">
        <v>1476</v>
      </c>
      <c r="E627" t="s">
        <v>2170</v>
      </c>
      <c r="F627" t="s">
        <v>2169</v>
      </c>
      <c r="G627" t="b">
        <v>1</v>
      </c>
    </row>
    <row r="628" spans="1:7" x14ac:dyDescent="0.25">
      <c r="A628">
        <v>458</v>
      </c>
      <c r="B628" t="s">
        <v>594</v>
      </c>
      <c r="C628" t="s">
        <v>138</v>
      </c>
      <c r="D628" t="s">
        <v>1471</v>
      </c>
      <c r="E628" t="s">
        <v>2171</v>
      </c>
      <c r="F628" t="s">
        <v>2172</v>
      </c>
      <c r="G628" t="b">
        <v>1</v>
      </c>
    </row>
    <row r="629" spans="1:7" x14ac:dyDescent="0.25">
      <c r="A629">
        <v>459</v>
      </c>
      <c r="B629" t="s">
        <v>595</v>
      </c>
      <c r="C629" t="s">
        <v>136</v>
      </c>
      <c r="D629" t="s">
        <v>1474</v>
      </c>
      <c r="E629" t="s">
        <v>1581</v>
      </c>
      <c r="F629" t="s">
        <v>2173</v>
      </c>
      <c r="G629" t="b">
        <v>1</v>
      </c>
    </row>
    <row r="630" spans="1:7" x14ac:dyDescent="0.25">
      <c r="A630">
        <v>460</v>
      </c>
      <c r="B630" t="s">
        <v>596</v>
      </c>
      <c r="C630" t="s">
        <v>138</v>
      </c>
      <c r="D630" t="s">
        <v>1471</v>
      </c>
      <c r="E630" t="s">
        <v>2174</v>
      </c>
      <c r="F630" t="s">
        <v>2175</v>
      </c>
      <c r="G630" t="b">
        <v>1</v>
      </c>
    </row>
    <row r="631" spans="1:7" x14ac:dyDescent="0.25">
      <c r="A631">
        <v>461</v>
      </c>
      <c r="B631" t="s">
        <v>597</v>
      </c>
      <c r="C631" t="s">
        <v>136</v>
      </c>
      <c r="D631" t="s">
        <v>1476</v>
      </c>
      <c r="E631" t="s">
        <v>2176</v>
      </c>
      <c r="F631" t="s">
        <v>2175</v>
      </c>
      <c r="G631" t="b">
        <v>1</v>
      </c>
    </row>
    <row r="632" spans="1:7" x14ac:dyDescent="0.25">
      <c r="A632">
        <v>462</v>
      </c>
      <c r="B632" t="s">
        <v>598</v>
      </c>
      <c r="C632" t="s">
        <v>138</v>
      </c>
      <c r="D632" t="s">
        <v>1471</v>
      </c>
      <c r="E632" t="s">
        <v>2177</v>
      </c>
      <c r="F632" t="s">
        <v>2178</v>
      </c>
      <c r="G632" t="b">
        <v>1</v>
      </c>
    </row>
    <row r="633" spans="1:7" x14ac:dyDescent="0.25">
      <c r="A633">
        <v>463</v>
      </c>
      <c r="B633" t="s">
        <v>599</v>
      </c>
      <c r="C633" t="s">
        <v>138</v>
      </c>
      <c r="D633" t="s">
        <v>1471</v>
      </c>
      <c r="E633" t="s">
        <v>2179</v>
      </c>
      <c r="F633" t="s">
        <v>2180</v>
      </c>
      <c r="G633" t="b">
        <v>1</v>
      </c>
    </row>
    <row r="634" spans="1:7" x14ac:dyDescent="0.25">
      <c r="A634">
        <v>464</v>
      </c>
      <c r="B634" t="s">
        <v>600</v>
      </c>
      <c r="C634" t="s">
        <v>138</v>
      </c>
      <c r="D634" t="s">
        <v>1471</v>
      </c>
      <c r="E634" t="s">
        <v>2181</v>
      </c>
      <c r="F634" t="s">
        <v>2180</v>
      </c>
      <c r="G634" t="b">
        <v>1</v>
      </c>
    </row>
    <row r="635" spans="1:7" x14ac:dyDescent="0.25">
      <c r="A635">
        <v>465</v>
      </c>
      <c r="B635" t="s">
        <v>601</v>
      </c>
      <c r="C635" t="s">
        <v>138</v>
      </c>
      <c r="D635" t="s">
        <v>1471</v>
      </c>
      <c r="E635" t="s">
        <v>2182</v>
      </c>
      <c r="F635" t="s">
        <v>2183</v>
      </c>
      <c r="G635" t="b">
        <v>1</v>
      </c>
    </row>
    <row r="636" spans="1:7" x14ac:dyDescent="0.25">
      <c r="A636">
        <v>466</v>
      </c>
      <c r="B636" t="s">
        <v>602</v>
      </c>
      <c r="C636" t="s">
        <v>136</v>
      </c>
      <c r="D636" t="s">
        <v>1476</v>
      </c>
      <c r="E636" t="s">
        <v>2184</v>
      </c>
      <c r="F636" t="s">
        <v>2185</v>
      </c>
      <c r="G636" t="b">
        <v>1</v>
      </c>
    </row>
    <row r="637" spans="1:7" x14ac:dyDescent="0.25">
      <c r="A637">
        <v>467</v>
      </c>
      <c r="B637" t="s">
        <v>603</v>
      </c>
      <c r="C637" t="s">
        <v>138</v>
      </c>
      <c r="D637" t="s">
        <v>1471</v>
      </c>
      <c r="E637" t="s">
        <v>2186</v>
      </c>
      <c r="F637" t="s">
        <v>2187</v>
      </c>
      <c r="G637" t="b">
        <v>1</v>
      </c>
    </row>
    <row r="638" spans="1:7" x14ac:dyDescent="0.25">
      <c r="A638">
        <v>468</v>
      </c>
      <c r="B638" t="s">
        <v>604</v>
      </c>
      <c r="C638" t="s">
        <v>136</v>
      </c>
      <c r="D638" t="s">
        <v>1476</v>
      </c>
      <c r="E638" t="s">
        <v>2188</v>
      </c>
      <c r="F638" t="s">
        <v>2187</v>
      </c>
      <c r="G638" t="b">
        <v>1</v>
      </c>
    </row>
    <row r="639" spans="1:7" x14ac:dyDescent="0.25">
      <c r="A639">
        <v>469</v>
      </c>
      <c r="B639" t="s">
        <v>605</v>
      </c>
      <c r="C639" t="s">
        <v>136</v>
      </c>
      <c r="D639" t="s">
        <v>1476</v>
      </c>
      <c r="E639" t="s">
        <v>2189</v>
      </c>
      <c r="F639" t="s">
        <v>2190</v>
      </c>
      <c r="G639" t="b">
        <v>1</v>
      </c>
    </row>
    <row r="640" spans="1:7" x14ac:dyDescent="0.25">
      <c r="A640">
        <v>470</v>
      </c>
      <c r="B640" t="s">
        <v>606</v>
      </c>
      <c r="C640" t="s">
        <v>136</v>
      </c>
      <c r="D640" t="s">
        <v>1474</v>
      </c>
      <c r="E640" t="s">
        <v>2191</v>
      </c>
      <c r="F640" t="s">
        <v>2192</v>
      </c>
      <c r="G640" t="b">
        <v>1</v>
      </c>
    </row>
    <row r="641" spans="1:8" x14ac:dyDescent="0.25">
      <c r="A641">
        <v>471</v>
      </c>
      <c r="B641" t="s">
        <v>607</v>
      </c>
      <c r="C641" t="s">
        <v>138</v>
      </c>
      <c r="D641" t="s">
        <v>1471</v>
      </c>
      <c r="E641" t="s">
        <v>1617</v>
      </c>
      <c r="F641" t="s">
        <v>2192</v>
      </c>
      <c r="G641" t="b">
        <v>1</v>
      </c>
    </row>
    <row r="642" spans="1:8" x14ac:dyDescent="0.25">
      <c r="A642">
        <v>472</v>
      </c>
      <c r="B642" t="s">
        <v>608</v>
      </c>
      <c r="C642" t="s">
        <v>136</v>
      </c>
      <c r="D642" t="s">
        <v>1476</v>
      </c>
      <c r="E642" t="s">
        <v>3361</v>
      </c>
      <c r="F642" t="s">
        <v>2193</v>
      </c>
      <c r="G642" t="b">
        <v>1</v>
      </c>
      <c r="H642" t="b">
        <v>1</v>
      </c>
    </row>
    <row r="643" spans="1:8" x14ac:dyDescent="0.25">
      <c r="A643">
        <v>473</v>
      </c>
      <c r="B643" t="s">
        <v>609</v>
      </c>
      <c r="C643" t="s">
        <v>138</v>
      </c>
      <c r="D643" t="s">
        <v>3416</v>
      </c>
      <c r="E643" t="s">
        <v>2194</v>
      </c>
      <c r="F643" t="s">
        <v>2195</v>
      </c>
      <c r="G643" t="b">
        <v>1</v>
      </c>
    </row>
    <row r="644" spans="1:8" x14ac:dyDescent="0.25">
      <c r="A644">
        <v>474</v>
      </c>
      <c r="B644" t="s">
        <v>610</v>
      </c>
      <c r="C644" t="s">
        <v>138</v>
      </c>
      <c r="D644" t="s">
        <v>1471</v>
      </c>
      <c r="E644" t="s">
        <v>2196</v>
      </c>
      <c r="F644" t="s">
        <v>2197</v>
      </c>
      <c r="G644" t="b">
        <v>1</v>
      </c>
    </row>
    <row r="645" spans="1:8" x14ac:dyDescent="0.25">
      <c r="A645">
        <v>475</v>
      </c>
      <c r="B645" t="s">
        <v>611</v>
      </c>
      <c r="C645" t="s">
        <v>138</v>
      </c>
      <c r="D645" t="s">
        <v>1471</v>
      </c>
      <c r="E645" t="s">
        <v>2198</v>
      </c>
      <c r="F645" t="s">
        <v>2199</v>
      </c>
      <c r="G645" t="b">
        <v>1</v>
      </c>
    </row>
    <row r="646" spans="1:8" x14ac:dyDescent="0.25">
      <c r="A646">
        <v>476</v>
      </c>
      <c r="B646" t="s">
        <v>612</v>
      </c>
      <c r="C646" t="s">
        <v>136</v>
      </c>
      <c r="D646" t="s">
        <v>1476</v>
      </c>
      <c r="E646" t="s">
        <v>1733</v>
      </c>
      <c r="F646" t="s">
        <v>2200</v>
      </c>
      <c r="G646" t="b">
        <v>1</v>
      </c>
    </row>
    <row r="647" spans="1:8" x14ac:dyDescent="0.25">
      <c r="A647">
        <v>477</v>
      </c>
      <c r="B647" t="s">
        <v>613</v>
      </c>
      <c r="C647" t="s">
        <v>138</v>
      </c>
      <c r="D647" t="s">
        <v>3416</v>
      </c>
      <c r="E647" t="s">
        <v>1714</v>
      </c>
      <c r="F647" t="s">
        <v>2200</v>
      </c>
      <c r="G647" t="b">
        <v>1</v>
      </c>
    </row>
    <row r="648" spans="1:8" x14ac:dyDescent="0.25">
      <c r="A648">
        <v>478</v>
      </c>
      <c r="B648" t="s">
        <v>614</v>
      </c>
      <c r="C648" t="s">
        <v>138</v>
      </c>
      <c r="D648" t="s">
        <v>1471</v>
      </c>
      <c r="E648" t="s">
        <v>2201</v>
      </c>
      <c r="F648" t="s">
        <v>2202</v>
      </c>
      <c r="G648" t="b">
        <v>1</v>
      </c>
    </row>
    <row r="649" spans="1:8" x14ac:dyDescent="0.25">
      <c r="A649">
        <v>479</v>
      </c>
      <c r="B649" t="s">
        <v>615</v>
      </c>
      <c r="C649" t="s">
        <v>136</v>
      </c>
      <c r="D649" t="s">
        <v>1474</v>
      </c>
      <c r="E649" t="s">
        <v>2203</v>
      </c>
      <c r="F649" t="s">
        <v>2204</v>
      </c>
      <c r="G649" t="b">
        <v>1</v>
      </c>
    </row>
    <row r="650" spans="1:8" x14ac:dyDescent="0.25">
      <c r="A650">
        <v>480</v>
      </c>
      <c r="B650" t="s">
        <v>616</v>
      </c>
      <c r="C650" t="s">
        <v>136</v>
      </c>
      <c r="D650" t="s">
        <v>1474</v>
      </c>
      <c r="E650" t="s">
        <v>2205</v>
      </c>
      <c r="F650" t="s">
        <v>2204</v>
      </c>
      <c r="G650" t="b">
        <v>1</v>
      </c>
    </row>
    <row r="651" spans="1:8" x14ac:dyDescent="0.25">
      <c r="A651">
        <v>481</v>
      </c>
      <c r="B651" t="s">
        <v>617</v>
      </c>
      <c r="C651" t="s">
        <v>138</v>
      </c>
      <c r="D651" t="s">
        <v>1471</v>
      </c>
      <c r="E651" t="s">
        <v>2206</v>
      </c>
      <c r="F651" t="s">
        <v>2204</v>
      </c>
      <c r="G651" t="b">
        <v>1</v>
      </c>
    </row>
    <row r="652" spans="1:8" x14ac:dyDescent="0.25">
      <c r="A652">
        <v>482</v>
      </c>
      <c r="B652" t="s">
        <v>618</v>
      </c>
      <c r="C652" t="s">
        <v>136</v>
      </c>
      <c r="D652" t="s">
        <v>1476</v>
      </c>
      <c r="E652" t="s">
        <v>2207</v>
      </c>
      <c r="F652" t="s">
        <v>2204</v>
      </c>
      <c r="G652" t="b">
        <v>1</v>
      </c>
    </row>
    <row r="653" spans="1:8" x14ac:dyDescent="0.25">
      <c r="A653">
        <v>483</v>
      </c>
      <c r="B653" t="s">
        <v>619</v>
      </c>
      <c r="C653" t="s">
        <v>136</v>
      </c>
      <c r="D653" t="s">
        <v>1474</v>
      </c>
      <c r="E653" t="s">
        <v>1581</v>
      </c>
      <c r="F653" t="s">
        <v>2208</v>
      </c>
      <c r="G653" t="b">
        <v>1</v>
      </c>
    </row>
    <row r="654" spans="1:8" x14ac:dyDescent="0.25">
      <c r="A654">
        <v>484</v>
      </c>
      <c r="B654" t="s">
        <v>620</v>
      </c>
      <c r="C654" t="s">
        <v>136</v>
      </c>
      <c r="D654" t="s">
        <v>1474</v>
      </c>
      <c r="E654" t="s">
        <v>2209</v>
      </c>
      <c r="F654" t="s">
        <v>2210</v>
      </c>
      <c r="G654" t="b">
        <v>1</v>
      </c>
    </row>
    <row r="655" spans="1:8" x14ac:dyDescent="0.25">
      <c r="A655">
        <v>485</v>
      </c>
      <c r="B655" t="s">
        <v>621</v>
      </c>
      <c r="C655" t="s">
        <v>136</v>
      </c>
      <c r="D655" t="s">
        <v>1476</v>
      </c>
      <c r="E655" t="s">
        <v>1519</v>
      </c>
      <c r="F655" t="s">
        <v>2211</v>
      </c>
      <c r="G655" t="b">
        <v>1</v>
      </c>
    </row>
    <row r="656" spans="1:8" x14ac:dyDescent="0.25">
      <c r="A656">
        <v>486</v>
      </c>
      <c r="B656" t="s">
        <v>622</v>
      </c>
      <c r="C656" t="s">
        <v>138</v>
      </c>
      <c r="D656" t="s">
        <v>1471</v>
      </c>
      <c r="E656" t="s">
        <v>2212</v>
      </c>
      <c r="F656" t="s">
        <v>2213</v>
      </c>
      <c r="G656" t="b">
        <v>1</v>
      </c>
    </row>
    <row r="657" spans="1:8" x14ac:dyDescent="0.25">
      <c r="A657">
        <v>487</v>
      </c>
      <c r="B657" t="s">
        <v>623</v>
      </c>
      <c r="C657" t="s">
        <v>138</v>
      </c>
      <c r="D657" t="s">
        <v>1471</v>
      </c>
      <c r="E657" t="s">
        <v>2214</v>
      </c>
      <c r="F657" t="s">
        <v>2215</v>
      </c>
      <c r="G657" t="b">
        <v>1</v>
      </c>
    </row>
    <row r="658" spans="1:8" x14ac:dyDescent="0.25">
      <c r="A658">
        <v>488</v>
      </c>
      <c r="B658" t="s">
        <v>624</v>
      </c>
      <c r="C658" t="s">
        <v>138</v>
      </c>
      <c r="D658" t="s">
        <v>1471</v>
      </c>
      <c r="E658" t="s">
        <v>1646</v>
      </c>
      <c r="F658" t="s">
        <v>2216</v>
      </c>
      <c r="G658" t="b">
        <v>1</v>
      </c>
    </row>
    <row r="659" spans="1:8" x14ac:dyDescent="0.25">
      <c r="A659">
        <v>489</v>
      </c>
      <c r="B659" t="s">
        <v>625</v>
      </c>
      <c r="C659" t="s">
        <v>138</v>
      </c>
      <c r="D659" t="s">
        <v>1471</v>
      </c>
      <c r="E659" t="s">
        <v>1658</v>
      </c>
      <c r="F659" t="s">
        <v>2217</v>
      </c>
      <c r="G659" t="b">
        <v>1</v>
      </c>
    </row>
    <row r="660" spans="1:8" x14ac:dyDescent="0.25">
      <c r="A660">
        <v>490</v>
      </c>
      <c r="B660" t="s">
        <v>626</v>
      </c>
      <c r="C660" t="s">
        <v>136</v>
      </c>
      <c r="D660" t="s">
        <v>1476</v>
      </c>
      <c r="E660" t="s">
        <v>2218</v>
      </c>
      <c r="F660" t="s">
        <v>2217</v>
      </c>
      <c r="G660" t="b">
        <v>1</v>
      </c>
    </row>
    <row r="661" spans="1:8" x14ac:dyDescent="0.25">
      <c r="A661">
        <v>491</v>
      </c>
      <c r="B661" t="s">
        <v>627</v>
      </c>
      <c r="C661" t="s">
        <v>136</v>
      </c>
      <c r="D661" t="s">
        <v>1476</v>
      </c>
      <c r="E661" t="s">
        <v>1660</v>
      </c>
      <c r="F661" t="s">
        <v>2219</v>
      </c>
      <c r="G661" t="b">
        <v>1</v>
      </c>
      <c r="H661" t="b">
        <v>1</v>
      </c>
    </row>
    <row r="662" spans="1:8" x14ac:dyDescent="0.25">
      <c r="A662">
        <v>492</v>
      </c>
      <c r="B662" t="s">
        <v>628</v>
      </c>
      <c r="C662" t="s">
        <v>138</v>
      </c>
      <c r="D662" t="s">
        <v>1471</v>
      </c>
      <c r="E662" t="s">
        <v>2220</v>
      </c>
      <c r="F662" t="s">
        <v>2221</v>
      </c>
      <c r="G662" t="b">
        <v>1</v>
      </c>
    </row>
    <row r="663" spans="1:8" x14ac:dyDescent="0.25">
      <c r="A663">
        <v>493</v>
      </c>
      <c r="B663" t="s">
        <v>629</v>
      </c>
      <c r="C663" t="s">
        <v>138</v>
      </c>
      <c r="D663" t="s">
        <v>1475</v>
      </c>
      <c r="E663" t="s">
        <v>2222</v>
      </c>
      <c r="F663" t="s">
        <v>2223</v>
      </c>
      <c r="G663" t="b">
        <v>1</v>
      </c>
    </row>
    <row r="664" spans="1:8" x14ac:dyDescent="0.25">
      <c r="A664">
        <v>494</v>
      </c>
      <c r="B664" t="s">
        <v>630</v>
      </c>
      <c r="C664" t="s">
        <v>138</v>
      </c>
      <c r="D664" t="s">
        <v>1471</v>
      </c>
      <c r="E664" t="s">
        <v>2224</v>
      </c>
      <c r="F664" t="s">
        <v>2223</v>
      </c>
      <c r="G664" t="b">
        <v>1</v>
      </c>
    </row>
    <row r="665" spans="1:8" x14ac:dyDescent="0.25">
      <c r="A665">
        <v>495</v>
      </c>
      <c r="B665" t="s">
        <v>631</v>
      </c>
      <c r="C665" t="s">
        <v>136</v>
      </c>
      <c r="D665" t="s">
        <v>1476</v>
      </c>
      <c r="E665" t="s">
        <v>2225</v>
      </c>
      <c r="F665" t="s">
        <v>2223</v>
      </c>
      <c r="G665" t="b">
        <v>1</v>
      </c>
    </row>
    <row r="666" spans="1:8" x14ac:dyDescent="0.25">
      <c r="A666">
        <v>496</v>
      </c>
      <c r="B666" t="s">
        <v>632</v>
      </c>
      <c r="C666" t="s">
        <v>138</v>
      </c>
      <c r="D666" t="s">
        <v>1471</v>
      </c>
      <c r="E666" t="s">
        <v>2226</v>
      </c>
      <c r="F666" t="s">
        <v>2227</v>
      </c>
      <c r="G666" t="b">
        <v>1</v>
      </c>
    </row>
    <row r="667" spans="1:8" x14ac:dyDescent="0.25">
      <c r="A667">
        <v>497</v>
      </c>
      <c r="B667" t="s">
        <v>633</v>
      </c>
      <c r="C667" t="s">
        <v>138</v>
      </c>
      <c r="D667" t="s">
        <v>1471</v>
      </c>
      <c r="E667" t="s">
        <v>2022</v>
      </c>
      <c r="F667" t="s">
        <v>2228</v>
      </c>
      <c r="G667" t="b">
        <v>1</v>
      </c>
    </row>
    <row r="668" spans="1:8" x14ac:dyDescent="0.25">
      <c r="A668">
        <v>498</v>
      </c>
      <c r="B668" t="s">
        <v>634</v>
      </c>
      <c r="C668" t="s">
        <v>138</v>
      </c>
      <c r="D668" t="s">
        <v>1471</v>
      </c>
      <c r="E668" t="s">
        <v>2229</v>
      </c>
      <c r="F668" t="s">
        <v>2230</v>
      </c>
      <c r="G668" t="b">
        <v>1</v>
      </c>
    </row>
    <row r="669" spans="1:8" x14ac:dyDescent="0.25">
      <c r="A669">
        <v>499</v>
      </c>
      <c r="B669" t="s">
        <v>635</v>
      </c>
      <c r="C669" t="s">
        <v>138</v>
      </c>
      <c r="D669" t="s">
        <v>1471</v>
      </c>
      <c r="E669" t="s">
        <v>2231</v>
      </c>
      <c r="F669" t="s">
        <v>2232</v>
      </c>
      <c r="G669" t="b">
        <v>1</v>
      </c>
    </row>
    <row r="670" spans="1:8" x14ac:dyDescent="0.25">
      <c r="A670">
        <v>500</v>
      </c>
      <c r="B670" t="s">
        <v>636</v>
      </c>
      <c r="C670" t="s">
        <v>138</v>
      </c>
      <c r="D670" t="s">
        <v>1471</v>
      </c>
      <c r="E670" t="s">
        <v>2233</v>
      </c>
      <c r="F670" t="s">
        <v>2234</v>
      </c>
      <c r="G670" t="b">
        <v>1</v>
      </c>
    </row>
    <row r="671" spans="1:8" x14ac:dyDescent="0.25">
      <c r="A671">
        <v>501</v>
      </c>
      <c r="B671" t="s">
        <v>637</v>
      </c>
      <c r="C671" t="s">
        <v>138</v>
      </c>
      <c r="D671" t="s">
        <v>1471</v>
      </c>
      <c r="E671" t="s">
        <v>2235</v>
      </c>
      <c r="F671" t="s">
        <v>2236</v>
      </c>
      <c r="G671" t="b">
        <v>1</v>
      </c>
    </row>
    <row r="672" spans="1:8" x14ac:dyDescent="0.25">
      <c r="A672">
        <v>502</v>
      </c>
      <c r="B672" t="s">
        <v>638</v>
      </c>
      <c r="C672" t="s">
        <v>136</v>
      </c>
      <c r="D672" t="s">
        <v>1474</v>
      </c>
      <c r="E672" t="s">
        <v>2237</v>
      </c>
      <c r="F672" t="s">
        <v>2238</v>
      </c>
      <c r="G672" t="b">
        <v>1</v>
      </c>
    </row>
    <row r="673" spans="1:7" x14ac:dyDescent="0.25">
      <c r="A673">
        <v>503</v>
      </c>
      <c r="B673" t="s">
        <v>639</v>
      </c>
      <c r="C673" t="s">
        <v>136</v>
      </c>
      <c r="D673" t="s">
        <v>1476</v>
      </c>
      <c r="E673" t="s">
        <v>2110</v>
      </c>
      <c r="F673" t="s">
        <v>2238</v>
      </c>
      <c r="G673" t="b">
        <v>1</v>
      </c>
    </row>
    <row r="674" spans="1:7" x14ac:dyDescent="0.25">
      <c r="A674">
        <v>504</v>
      </c>
      <c r="B674" t="s">
        <v>640</v>
      </c>
      <c r="C674" t="s">
        <v>138</v>
      </c>
      <c r="D674" t="s">
        <v>1471</v>
      </c>
      <c r="E674" t="s">
        <v>2022</v>
      </c>
      <c r="F674" t="s">
        <v>2239</v>
      </c>
      <c r="G674" t="b">
        <v>1</v>
      </c>
    </row>
    <row r="675" spans="1:7" x14ac:dyDescent="0.25">
      <c r="A675">
        <v>505</v>
      </c>
      <c r="B675" t="s">
        <v>641</v>
      </c>
      <c r="C675" t="s">
        <v>138</v>
      </c>
      <c r="D675" t="s">
        <v>1471</v>
      </c>
      <c r="E675" t="s">
        <v>2240</v>
      </c>
      <c r="F675" t="s">
        <v>1805</v>
      </c>
      <c r="G675" t="b">
        <v>1</v>
      </c>
    </row>
    <row r="676" spans="1:7" x14ac:dyDescent="0.25">
      <c r="A676">
        <v>506</v>
      </c>
      <c r="B676" t="s">
        <v>642</v>
      </c>
      <c r="C676" t="s">
        <v>138</v>
      </c>
      <c r="D676" t="s">
        <v>1471</v>
      </c>
      <c r="E676" t="s">
        <v>2241</v>
      </c>
      <c r="F676" t="s">
        <v>2242</v>
      </c>
      <c r="G676" t="b">
        <v>1</v>
      </c>
    </row>
    <row r="677" spans="1:7" x14ac:dyDescent="0.25">
      <c r="A677">
        <v>507</v>
      </c>
      <c r="B677" t="s">
        <v>643</v>
      </c>
      <c r="C677" t="s">
        <v>138</v>
      </c>
      <c r="D677" t="s">
        <v>1471</v>
      </c>
      <c r="E677" t="s">
        <v>2243</v>
      </c>
      <c r="F677" t="s">
        <v>2244</v>
      </c>
      <c r="G677" t="b">
        <v>1</v>
      </c>
    </row>
    <row r="678" spans="1:7" x14ac:dyDescent="0.25">
      <c r="A678">
        <v>508</v>
      </c>
      <c r="B678" t="s">
        <v>644</v>
      </c>
      <c r="C678" t="s">
        <v>138</v>
      </c>
      <c r="D678" t="s">
        <v>3416</v>
      </c>
      <c r="E678" t="s">
        <v>2245</v>
      </c>
      <c r="F678" t="s">
        <v>2246</v>
      </c>
      <c r="G678" t="b">
        <v>1</v>
      </c>
    </row>
    <row r="679" spans="1:7" x14ac:dyDescent="0.25">
      <c r="A679">
        <v>509</v>
      </c>
      <c r="B679" t="s">
        <v>645</v>
      </c>
      <c r="C679" t="s">
        <v>138</v>
      </c>
      <c r="D679" t="s">
        <v>3409</v>
      </c>
      <c r="E679" t="s">
        <v>2247</v>
      </c>
      <c r="F679" t="s">
        <v>2248</v>
      </c>
      <c r="G679" t="b">
        <v>1</v>
      </c>
    </row>
    <row r="680" spans="1:7" x14ac:dyDescent="0.25">
      <c r="A680">
        <v>510</v>
      </c>
      <c r="B680" t="s">
        <v>646</v>
      </c>
      <c r="C680" t="s">
        <v>138</v>
      </c>
      <c r="D680" t="s">
        <v>1471</v>
      </c>
      <c r="E680" t="s">
        <v>2249</v>
      </c>
      <c r="F680" t="s">
        <v>2250</v>
      </c>
      <c r="G680" t="b">
        <v>1</v>
      </c>
    </row>
    <row r="681" spans="1:7" x14ac:dyDescent="0.25">
      <c r="A681">
        <v>511</v>
      </c>
      <c r="B681" t="s">
        <v>647</v>
      </c>
      <c r="C681" t="s">
        <v>138</v>
      </c>
      <c r="D681" t="s">
        <v>1471</v>
      </c>
      <c r="E681" t="s">
        <v>2251</v>
      </c>
      <c r="F681" t="s">
        <v>2252</v>
      </c>
      <c r="G681" t="b">
        <v>1</v>
      </c>
    </row>
    <row r="682" spans="1:7" x14ac:dyDescent="0.25">
      <c r="A682">
        <v>512</v>
      </c>
      <c r="B682" t="s">
        <v>648</v>
      </c>
      <c r="C682" t="s">
        <v>138</v>
      </c>
      <c r="D682" t="s">
        <v>1471</v>
      </c>
      <c r="E682" t="s">
        <v>1798</v>
      </c>
      <c r="F682" t="s">
        <v>2253</v>
      </c>
      <c r="G682" t="b">
        <v>1</v>
      </c>
    </row>
    <row r="683" spans="1:7" x14ac:dyDescent="0.25">
      <c r="A683">
        <v>513</v>
      </c>
      <c r="B683" t="s">
        <v>649</v>
      </c>
      <c r="C683" t="s">
        <v>138</v>
      </c>
      <c r="D683" t="s">
        <v>1471</v>
      </c>
      <c r="E683" t="s">
        <v>2254</v>
      </c>
      <c r="F683" t="s">
        <v>2255</v>
      </c>
      <c r="G683" t="b">
        <v>1</v>
      </c>
    </row>
    <row r="684" spans="1:7" x14ac:dyDescent="0.25">
      <c r="A684">
        <v>514</v>
      </c>
      <c r="B684" t="s">
        <v>650</v>
      </c>
      <c r="C684" t="s">
        <v>136</v>
      </c>
      <c r="D684" t="s">
        <v>1476</v>
      </c>
      <c r="E684" t="s">
        <v>2256</v>
      </c>
      <c r="F684" t="s">
        <v>2255</v>
      </c>
      <c r="G684" t="b">
        <v>1</v>
      </c>
    </row>
    <row r="685" spans="1:7" x14ac:dyDescent="0.25">
      <c r="A685">
        <v>515</v>
      </c>
      <c r="B685" t="s">
        <v>651</v>
      </c>
      <c r="C685" t="s">
        <v>138</v>
      </c>
      <c r="D685" t="s">
        <v>1475</v>
      </c>
      <c r="E685" t="s">
        <v>2257</v>
      </c>
      <c r="F685" t="s">
        <v>2258</v>
      </c>
      <c r="G685" t="b">
        <v>1</v>
      </c>
    </row>
    <row r="686" spans="1:7" x14ac:dyDescent="0.25">
      <c r="A686">
        <v>516</v>
      </c>
      <c r="B686" t="s">
        <v>652</v>
      </c>
      <c r="C686" t="s">
        <v>138</v>
      </c>
      <c r="D686" t="s">
        <v>1475</v>
      </c>
      <c r="E686" t="s">
        <v>2259</v>
      </c>
      <c r="F686" t="s">
        <v>2258</v>
      </c>
      <c r="G686" t="b">
        <v>1</v>
      </c>
    </row>
    <row r="687" spans="1:7" x14ac:dyDescent="0.25">
      <c r="A687">
        <v>517</v>
      </c>
      <c r="B687" t="s">
        <v>653</v>
      </c>
      <c r="C687" t="s">
        <v>138</v>
      </c>
      <c r="D687" t="s">
        <v>1471</v>
      </c>
      <c r="E687" t="s">
        <v>2260</v>
      </c>
      <c r="F687" t="s">
        <v>2258</v>
      </c>
      <c r="G687" t="b">
        <v>1</v>
      </c>
    </row>
    <row r="688" spans="1:7" x14ac:dyDescent="0.25">
      <c r="A688">
        <v>518</v>
      </c>
      <c r="B688" t="s">
        <v>654</v>
      </c>
      <c r="C688" t="s">
        <v>138</v>
      </c>
      <c r="D688" t="s">
        <v>1471</v>
      </c>
      <c r="E688" t="s">
        <v>2261</v>
      </c>
      <c r="F688" t="s">
        <v>2262</v>
      </c>
      <c r="G688" t="b">
        <v>1</v>
      </c>
    </row>
    <row r="689" spans="1:8" x14ac:dyDescent="0.25">
      <c r="A689">
        <v>519</v>
      </c>
      <c r="B689" t="s">
        <v>655</v>
      </c>
      <c r="C689" t="s">
        <v>138</v>
      </c>
      <c r="D689" t="s">
        <v>1471</v>
      </c>
      <c r="E689" t="s">
        <v>2111</v>
      </c>
      <c r="F689" t="s">
        <v>2263</v>
      </c>
      <c r="G689" t="b">
        <v>1</v>
      </c>
    </row>
    <row r="690" spans="1:8" x14ac:dyDescent="0.25">
      <c r="A690">
        <v>520</v>
      </c>
      <c r="B690" t="s">
        <v>656</v>
      </c>
      <c r="C690" t="s">
        <v>138</v>
      </c>
      <c r="D690" t="s">
        <v>1471</v>
      </c>
      <c r="E690" t="s">
        <v>1914</v>
      </c>
      <c r="F690" t="s">
        <v>2264</v>
      </c>
      <c r="G690" t="b">
        <v>1</v>
      </c>
    </row>
    <row r="691" spans="1:8" x14ac:dyDescent="0.25">
      <c r="A691">
        <v>521</v>
      </c>
      <c r="B691" t="s">
        <v>657</v>
      </c>
      <c r="C691" t="s">
        <v>138</v>
      </c>
      <c r="D691" t="s">
        <v>1471</v>
      </c>
      <c r="E691" t="s">
        <v>2123</v>
      </c>
      <c r="F691" t="s">
        <v>2265</v>
      </c>
      <c r="G691" t="b">
        <v>1</v>
      </c>
    </row>
    <row r="692" spans="1:8" x14ac:dyDescent="0.25">
      <c r="A692">
        <v>522</v>
      </c>
      <c r="B692" t="s">
        <v>658</v>
      </c>
      <c r="C692" t="s">
        <v>136</v>
      </c>
      <c r="D692" t="s">
        <v>1476</v>
      </c>
      <c r="E692" t="s">
        <v>1529</v>
      </c>
      <c r="F692" t="s">
        <v>2266</v>
      </c>
      <c r="G692" t="b">
        <v>1</v>
      </c>
    </row>
    <row r="693" spans="1:8" x14ac:dyDescent="0.25">
      <c r="A693">
        <v>523</v>
      </c>
      <c r="B693" t="s">
        <v>659</v>
      </c>
      <c r="C693" t="s">
        <v>138</v>
      </c>
      <c r="D693" t="s">
        <v>1471</v>
      </c>
      <c r="E693" t="s">
        <v>1674</v>
      </c>
      <c r="F693" t="s">
        <v>2267</v>
      </c>
      <c r="G693" t="b">
        <v>1</v>
      </c>
    </row>
    <row r="694" spans="1:8" x14ac:dyDescent="0.25">
      <c r="A694">
        <v>524</v>
      </c>
      <c r="B694" t="s">
        <v>660</v>
      </c>
      <c r="C694" t="s">
        <v>138</v>
      </c>
      <c r="D694" t="s">
        <v>1471</v>
      </c>
      <c r="E694" t="s">
        <v>2268</v>
      </c>
      <c r="F694" t="s">
        <v>2269</v>
      </c>
      <c r="G694" t="b">
        <v>1</v>
      </c>
    </row>
    <row r="695" spans="1:8" x14ac:dyDescent="0.25">
      <c r="A695">
        <v>525</v>
      </c>
      <c r="B695" t="s">
        <v>661</v>
      </c>
      <c r="C695" t="s">
        <v>138</v>
      </c>
      <c r="D695" t="s">
        <v>1471</v>
      </c>
      <c r="E695" t="s">
        <v>1752</v>
      </c>
      <c r="F695" t="s">
        <v>2270</v>
      </c>
      <c r="G695" t="b">
        <v>1</v>
      </c>
    </row>
    <row r="696" spans="1:8" x14ac:dyDescent="0.25">
      <c r="A696">
        <v>526</v>
      </c>
      <c r="B696" t="s">
        <v>662</v>
      </c>
      <c r="C696" t="s">
        <v>138</v>
      </c>
      <c r="D696" t="s">
        <v>3409</v>
      </c>
      <c r="E696" t="s">
        <v>2123</v>
      </c>
      <c r="F696" t="s">
        <v>2271</v>
      </c>
      <c r="G696" t="b">
        <v>1</v>
      </c>
    </row>
    <row r="697" spans="1:8" x14ac:dyDescent="0.25">
      <c r="A697">
        <v>527</v>
      </c>
      <c r="B697" t="s">
        <v>663</v>
      </c>
      <c r="C697" t="s">
        <v>138</v>
      </c>
      <c r="D697" t="s">
        <v>1471</v>
      </c>
      <c r="E697" t="s">
        <v>2272</v>
      </c>
      <c r="F697" t="s">
        <v>2273</v>
      </c>
      <c r="G697" t="b">
        <v>1</v>
      </c>
    </row>
    <row r="698" spans="1:8" x14ac:dyDescent="0.25">
      <c r="A698">
        <v>528</v>
      </c>
      <c r="B698" t="s">
        <v>664</v>
      </c>
      <c r="C698" t="s">
        <v>138</v>
      </c>
      <c r="D698" t="s">
        <v>1471</v>
      </c>
      <c r="E698" t="s">
        <v>2274</v>
      </c>
      <c r="F698" t="s">
        <v>2275</v>
      </c>
      <c r="G698" t="b">
        <v>1</v>
      </c>
    </row>
    <row r="699" spans="1:8" x14ac:dyDescent="0.25">
      <c r="A699">
        <v>529</v>
      </c>
      <c r="B699" t="s">
        <v>665</v>
      </c>
      <c r="C699" t="s">
        <v>138</v>
      </c>
      <c r="D699" t="s">
        <v>1471</v>
      </c>
      <c r="E699" t="s">
        <v>3375</v>
      </c>
      <c r="F699" t="s">
        <v>2276</v>
      </c>
      <c r="G699" t="b">
        <v>1</v>
      </c>
      <c r="H699" t="b">
        <v>1</v>
      </c>
    </row>
    <row r="700" spans="1:8" x14ac:dyDescent="0.25">
      <c r="A700">
        <v>530</v>
      </c>
      <c r="B700" t="s">
        <v>666</v>
      </c>
      <c r="C700" t="s">
        <v>136</v>
      </c>
      <c r="D700" t="s">
        <v>1476</v>
      </c>
      <c r="E700" t="s">
        <v>2277</v>
      </c>
      <c r="F700" t="s">
        <v>2278</v>
      </c>
      <c r="G700" t="b">
        <v>1</v>
      </c>
    </row>
    <row r="701" spans="1:8" x14ac:dyDescent="0.25">
      <c r="A701">
        <v>531</v>
      </c>
      <c r="B701" t="s">
        <v>667</v>
      </c>
      <c r="C701" t="s">
        <v>138</v>
      </c>
      <c r="D701" t="s">
        <v>1471</v>
      </c>
      <c r="E701" t="s">
        <v>2279</v>
      </c>
      <c r="F701" t="s">
        <v>2280</v>
      </c>
      <c r="G701" t="b">
        <v>1</v>
      </c>
    </row>
    <row r="702" spans="1:8" x14ac:dyDescent="0.25">
      <c r="A702">
        <v>532</v>
      </c>
      <c r="B702" t="s">
        <v>668</v>
      </c>
      <c r="C702" t="s">
        <v>138</v>
      </c>
      <c r="D702" t="s">
        <v>1471</v>
      </c>
      <c r="E702" t="s">
        <v>2281</v>
      </c>
      <c r="F702" t="s">
        <v>2282</v>
      </c>
      <c r="G702" t="b">
        <v>1</v>
      </c>
    </row>
    <row r="703" spans="1:8" x14ac:dyDescent="0.25">
      <c r="A703">
        <v>533</v>
      </c>
      <c r="B703" t="s">
        <v>669</v>
      </c>
      <c r="C703" t="s">
        <v>138</v>
      </c>
      <c r="D703" t="s">
        <v>3416</v>
      </c>
      <c r="E703" t="s">
        <v>2283</v>
      </c>
      <c r="F703" t="s">
        <v>2284</v>
      </c>
      <c r="G703" t="b">
        <v>1</v>
      </c>
    </row>
    <row r="704" spans="1:8" x14ac:dyDescent="0.25">
      <c r="A704">
        <v>534</v>
      </c>
      <c r="B704" t="s">
        <v>670</v>
      </c>
      <c r="C704" t="s">
        <v>136</v>
      </c>
      <c r="D704" t="s">
        <v>1474</v>
      </c>
      <c r="E704" t="s">
        <v>2285</v>
      </c>
      <c r="F704" t="s">
        <v>2286</v>
      </c>
      <c r="G704" t="b">
        <v>1</v>
      </c>
    </row>
    <row r="705" spans="1:8" x14ac:dyDescent="0.25">
      <c r="A705">
        <v>535</v>
      </c>
      <c r="B705" t="s">
        <v>671</v>
      </c>
      <c r="C705" t="s">
        <v>136</v>
      </c>
      <c r="D705" t="s">
        <v>1474</v>
      </c>
      <c r="E705" t="s">
        <v>3345</v>
      </c>
      <c r="F705" t="s">
        <v>2286</v>
      </c>
      <c r="G705" t="b">
        <v>1</v>
      </c>
      <c r="H705" t="b">
        <v>1</v>
      </c>
    </row>
    <row r="706" spans="1:8" x14ac:dyDescent="0.25">
      <c r="A706">
        <v>536</v>
      </c>
      <c r="B706" t="s">
        <v>672</v>
      </c>
      <c r="C706" t="s">
        <v>138</v>
      </c>
      <c r="D706" t="s">
        <v>1471</v>
      </c>
      <c r="E706" t="s">
        <v>2287</v>
      </c>
      <c r="F706" t="s">
        <v>2286</v>
      </c>
      <c r="G706" t="b">
        <v>1</v>
      </c>
    </row>
    <row r="707" spans="1:8" x14ac:dyDescent="0.25">
      <c r="A707">
        <v>537</v>
      </c>
      <c r="B707" t="s">
        <v>673</v>
      </c>
      <c r="C707" t="s">
        <v>136</v>
      </c>
      <c r="D707" t="s">
        <v>1476</v>
      </c>
      <c r="E707" t="s">
        <v>2387</v>
      </c>
      <c r="F707" t="s">
        <v>2288</v>
      </c>
      <c r="G707" t="b">
        <v>1</v>
      </c>
      <c r="H707" t="b">
        <v>1</v>
      </c>
    </row>
    <row r="708" spans="1:8" x14ac:dyDescent="0.25">
      <c r="A708">
        <v>538</v>
      </c>
      <c r="B708" t="s">
        <v>674</v>
      </c>
      <c r="C708" t="s">
        <v>138</v>
      </c>
      <c r="D708" t="s">
        <v>1471</v>
      </c>
      <c r="E708" t="s">
        <v>1873</v>
      </c>
      <c r="F708" t="s">
        <v>2289</v>
      </c>
      <c r="G708" t="b">
        <v>1</v>
      </c>
    </row>
    <row r="709" spans="1:8" x14ac:dyDescent="0.25">
      <c r="A709">
        <v>539</v>
      </c>
      <c r="B709" t="s">
        <v>675</v>
      </c>
      <c r="C709" t="s">
        <v>138</v>
      </c>
      <c r="D709" t="s">
        <v>1471</v>
      </c>
      <c r="E709" t="s">
        <v>2290</v>
      </c>
      <c r="F709" t="s">
        <v>2291</v>
      </c>
      <c r="G709" t="b">
        <v>1</v>
      </c>
    </row>
    <row r="710" spans="1:8" x14ac:dyDescent="0.25">
      <c r="A710">
        <v>540</v>
      </c>
      <c r="B710" t="s">
        <v>676</v>
      </c>
      <c r="C710" t="s">
        <v>138</v>
      </c>
      <c r="D710" t="s">
        <v>1471</v>
      </c>
      <c r="E710" t="s">
        <v>2292</v>
      </c>
      <c r="F710" t="s">
        <v>2293</v>
      </c>
      <c r="G710" t="b">
        <v>1</v>
      </c>
    </row>
    <row r="711" spans="1:8" x14ac:dyDescent="0.25">
      <c r="A711">
        <v>541</v>
      </c>
      <c r="B711" t="s">
        <v>677</v>
      </c>
      <c r="C711" t="s">
        <v>136</v>
      </c>
      <c r="D711" t="s">
        <v>1474</v>
      </c>
      <c r="E711" t="s">
        <v>2294</v>
      </c>
      <c r="F711" t="s">
        <v>2295</v>
      </c>
      <c r="G711" t="b">
        <v>1</v>
      </c>
    </row>
    <row r="712" spans="1:8" x14ac:dyDescent="0.25">
      <c r="A712">
        <v>542</v>
      </c>
      <c r="B712" t="s">
        <v>678</v>
      </c>
      <c r="C712" t="s">
        <v>136</v>
      </c>
      <c r="D712" t="s">
        <v>1474</v>
      </c>
      <c r="E712" t="s">
        <v>2296</v>
      </c>
      <c r="F712" t="s">
        <v>2295</v>
      </c>
      <c r="G712" t="b">
        <v>1</v>
      </c>
    </row>
    <row r="713" spans="1:8" x14ac:dyDescent="0.25">
      <c r="A713">
        <v>543</v>
      </c>
      <c r="B713" t="s">
        <v>679</v>
      </c>
      <c r="C713" t="s">
        <v>136</v>
      </c>
      <c r="D713" t="s">
        <v>1476</v>
      </c>
      <c r="E713" t="s">
        <v>2148</v>
      </c>
      <c r="F713" t="s">
        <v>2295</v>
      </c>
      <c r="G713" t="b">
        <v>1</v>
      </c>
    </row>
    <row r="714" spans="1:8" x14ac:dyDescent="0.25">
      <c r="A714">
        <v>544</v>
      </c>
      <c r="B714" t="s">
        <v>680</v>
      </c>
      <c r="C714" t="s">
        <v>138</v>
      </c>
      <c r="D714" t="s">
        <v>1471</v>
      </c>
      <c r="E714" t="s">
        <v>2297</v>
      </c>
      <c r="F714" t="s">
        <v>2298</v>
      </c>
      <c r="G714" t="b">
        <v>1</v>
      </c>
    </row>
    <row r="715" spans="1:8" x14ac:dyDescent="0.25">
      <c r="A715">
        <v>545</v>
      </c>
      <c r="B715" t="s">
        <v>681</v>
      </c>
      <c r="C715" t="s">
        <v>138</v>
      </c>
      <c r="D715" t="s">
        <v>1471</v>
      </c>
      <c r="E715" t="s">
        <v>2299</v>
      </c>
      <c r="F715" t="s">
        <v>2300</v>
      </c>
      <c r="G715" t="b">
        <v>1</v>
      </c>
    </row>
    <row r="716" spans="1:8" x14ac:dyDescent="0.25">
      <c r="A716">
        <v>546</v>
      </c>
      <c r="B716" t="s">
        <v>682</v>
      </c>
      <c r="C716" t="s">
        <v>136</v>
      </c>
      <c r="D716" t="s">
        <v>1476</v>
      </c>
      <c r="E716" t="s">
        <v>2301</v>
      </c>
      <c r="F716" t="s">
        <v>2300</v>
      </c>
      <c r="G716" t="b">
        <v>1</v>
      </c>
    </row>
    <row r="717" spans="1:8" x14ac:dyDescent="0.25">
      <c r="A717">
        <v>547</v>
      </c>
      <c r="B717" t="s">
        <v>683</v>
      </c>
      <c r="C717" t="s">
        <v>136</v>
      </c>
      <c r="D717" t="s">
        <v>3406</v>
      </c>
      <c r="E717" t="s">
        <v>2302</v>
      </c>
      <c r="F717" t="s">
        <v>2303</v>
      </c>
      <c r="G717" t="b">
        <v>1</v>
      </c>
    </row>
    <row r="718" spans="1:8" x14ac:dyDescent="0.25">
      <c r="A718">
        <v>548</v>
      </c>
      <c r="B718" t="s">
        <v>684</v>
      </c>
      <c r="C718" t="s">
        <v>138</v>
      </c>
      <c r="D718" t="s">
        <v>1471</v>
      </c>
      <c r="E718" t="s">
        <v>2304</v>
      </c>
      <c r="F718" t="s">
        <v>1674</v>
      </c>
      <c r="G718" t="b">
        <v>1</v>
      </c>
    </row>
    <row r="719" spans="1:8" x14ac:dyDescent="0.25">
      <c r="A719">
        <v>549</v>
      </c>
      <c r="B719" t="s">
        <v>685</v>
      </c>
      <c r="C719" t="s">
        <v>138</v>
      </c>
      <c r="D719" t="s">
        <v>1475</v>
      </c>
      <c r="E719" t="s">
        <v>2305</v>
      </c>
      <c r="F719" t="s">
        <v>2306</v>
      </c>
      <c r="G719" t="b">
        <v>1</v>
      </c>
    </row>
    <row r="720" spans="1:8" x14ac:dyDescent="0.25">
      <c r="A720">
        <v>550</v>
      </c>
      <c r="B720" t="s">
        <v>686</v>
      </c>
      <c r="C720" t="s">
        <v>138</v>
      </c>
      <c r="D720" t="s">
        <v>1475</v>
      </c>
      <c r="E720" t="s">
        <v>2307</v>
      </c>
      <c r="F720" t="s">
        <v>2306</v>
      </c>
      <c r="G720" t="b">
        <v>1</v>
      </c>
    </row>
    <row r="721" spans="1:7" x14ac:dyDescent="0.25">
      <c r="A721">
        <v>551</v>
      </c>
      <c r="B721" t="s">
        <v>687</v>
      </c>
      <c r="C721" t="s">
        <v>136</v>
      </c>
      <c r="D721" t="s">
        <v>1476</v>
      </c>
      <c r="E721" t="s">
        <v>2308</v>
      </c>
      <c r="F721" t="s">
        <v>2306</v>
      </c>
      <c r="G721" t="b">
        <v>1</v>
      </c>
    </row>
    <row r="722" spans="1:7" x14ac:dyDescent="0.25">
      <c r="A722">
        <v>552</v>
      </c>
      <c r="B722" t="s">
        <v>688</v>
      </c>
      <c r="C722" t="s">
        <v>136</v>
      </c>
      <c r="D722" t="s">
        <v>1474</v>
      </c>
      <c r="E722" t="s">
        <v>2309</v>
      </c>
      <c r="F722" t="s">
        <v>2310</v>
      </c>
      <c r="G722" t="b">
        <v>1</v>
      </c>
    </row>
    <row r="723" spans="1:7" x14ac:dyDescent="0.25">
      <c r="A723">
        <v>553</v>
      </c>
      <c r="B723" t="s">
        <v>689</v>
      </c>
      <c r="C723" t="s">
        <v>138</v>
      </c>
      <c r="D723" t="s">
        <v>1471</v>
      </c>
      <c r="E723" t="s">
        <v>2311</v>
      </c>
      <c r="F723" t="s">
        <v>2312</v>
      </c>
      <c r="G723" t="b">
        <v>1</v>
      </c>
    </row>
    <row r="724" spans="1:7" x14ac:dyDescent="0.25">
      <c r="A724">
        <v>554</v>
      </c>
      <c r="B724" t="s">
        <v>690</v>
      </c>
      <c r="C724" t="s">
        <v>136</v>
      </c>
      <c r="D724" t="s">
        <v>1474</v>
      </c>
      <c r="E724" t="s">
        <v>2308</v>
      </c>
      <c r="F724" t="s">
        <v>2313</v>
      </c>
      <c r="G724" t="b">
        <v>1</v>
      </c>
    </row>
    <row r="725" spans="1:7" x14ac:dyDescent="0.25">
      <c r="A725">
        <v>555</v>
      </c>
      <c r="B725" t="s">
        <v>691</v>
      </c>
      <c r="C725" t="s">
        <v>138</v>
      </c>
      <c r="D725" t="s">
        <v>1471</v>
      </c>
      <c r="E725" t="s">
        <v>2240</v>
      </c>
      <c r="F725" t="s">
        <v>2314</v>
      </c>
      <c r="G725" t="b">
        <v>1</v>
      </c>
    </row>
    <row r="726" spans="1:7" x14ac:dyDescent="0.25">
      <c r="A726">
        <v>556</v>
      </c>
      <c r="B726" t="s">
        <v>692</v>
      </c>
      <c r="C726" t="s">
        <v>138</v>
      </c>
      <c r="D726" t="s">
        <v>1471</v>
      </c>
      <c r="E726" t="s">
        <v>2315</v>
      </c>
      <c r="F726" t="s">
        <v>2316</v>
      </c>
      <c r="G726" t="b">
        <v>1</v>
      </c>
    </row>
    <row r="727" spans="1:7" x14ac:dyDescent="0.25">
      <c r="A727">
        <v>557</v>
      </c>
      <c r="B727" t="s">
        <v>693</v>
      </c>
      <c r="C727" t="s">
        <v>138</v>
      </c>
      <c r="D727" t="s">
        <v>1471</v>
      </c>
      <c r="E727" t="s">
        <v>2317</v>
      </c>
      <c r="F727" t="s">
        <v>2318</v>
      </c>
      <c r="G727" t="b">
        <v>1</v>
      </c>
    </row>
    <row r="728" spans="1:7" x14ac:dyDescent="0.25">
      <c r="A728">
        <v>558</v>
      </c>
      <c r="B728" t="s">
        <v>694</v>
      </c>
      <c r="C728" t="s">
        <v>136</v>
      </c>
      <c r="D728" t="s">
        <v>1476</v>
      </c>
      <c r="E728" t="s">
        <v>2319</v>
      </c>
      <c r="F728" t="s">
        <v>2320</v>
      </c>
      <c r="G728" t="b">
        <v>1</v>
      </c>
    </row>
    <row r="729" spans="1:7" x14ac:dyDescent="0.25">
      <c r="A729">
        <v>559</v>
      </c>
      <c r="B729" t="s">
        <v>695</v>
      </c>
      <c r="C729" t="s">
        <v>136</v>
      </c>
      <c r="D729" t="s">
        <v>1474</v>
      </c>
      <c r="E729" t="s">
        <v>2321</v>
      </c>
      <c r="F729" t="s">
        <v>2322</v>
      </c>
      <c r="G729" t="b">
        <v>1</v>
      </c>
    </row>
    <row r="730" spans="1:7" x14ac:dyDescent="0.25">
      <c r="A730">
        <v>560</v>
      </c>
      <c r="B730" t="s">
        <v>696</v>
      </c>
      <c r="C730" t="s">
        <v>136</v>
      </c>
      <c r="D730" t="s">
        <v>1474</v>
      </c>
      <c r="E730" t="s">
        <v>2323</v>
      </c>
      <c r="F730" t="s">
        <v>2324</v>
      </c>
      <c r="G730" t="b">
        <v>1</v>
      </c>
    </row>
    <row r="731" spans="1:7" x14ac:dyDescent="0.25">
      <c r="A731">
        <v>561</v>
      </c>
      <c r="B731" t="s">
        <v>697</v>
      </c>
      <c r="C731" t="s">
        <v>136</v>
      </c>
      <c r="D731" t="s">
        <v>1474</v>
      </c>
      <c r="E731" t="s">
        <v>1733</v>
      </c>
      <c r="F731" t="s">
        <v>2325</v>
      </c>
      <c r="G731" t="b">
        <v>1</v>
      </c>
    </row>
    <row r="732" spans="1:7" x14ac:dyDescent="0.25">
      <c r="A732">
        <v>562</v>
      </c>
      <c r="B732" t="s">
        <v>698</v>
      </c>
      <c r="C732" t="s">
        <v>138</v>
      </c>
      <c r="D732" t="s">
        <v>1471</v>
      </c>
      <c r="E732" t="s">
        <v>2326</v>
      </c>
      <c r="F732" t="s">
        <v>2327</v>
      </c>
      <c r="G732" t="b">
        <v>1</v>
      </c>
    </row>
    <row r="733" spans="1:7" x14ac:dyDescent="0.25">
      <c r="A733">
        <v>563</v>
      </c>
      <c r="B733" t="s">
        <v>699</v>
      </c>
      <c r="C733" t="s">
        <v>136</v>
      </c>
      <c r="D733" t="s">
        <v>1474</v>
      </c>
      <c r="E733" t="s">
        <v>2328</v>
      </c>
      <c r="F733" t="s">
        <v>2329</v>
      </c>
      <c r="G733" t="b">
        <v>1</v>
      </c>
    </row>
    <row r="734" spans="1:7" x14ac:dyDescent="0.25">
      <c r="A734">
        <v>564</v>
      </c>
      <c r="B734" t="s">
        <v>700</v>
      </c>
      <c r="C734" t="s">
        <v>138</v>
      </c>
      <c r="D734" t="s">
        <v>1471</v>
      </c>
      <c r="E734" t="s">
        <v>2330</v>
      </c>
      <c r="F734" t="s">
        <v>2331</v>
      </c>
      <c r="G734" t="b">
        <v>1</v>
      </c>
    </row>
    <row r="735" spans="1:7" x14ac:dyDescent="0.25">
      <c r="A735">
        <v>565</v>
      </c>
      <c r="B735" t="s">
        <v>701</v>
      </c>
      <c r="C735" t="s">
        <v>136</v>
      </c>
      <c r="D735" t="s">
        <v>1474</v>
      </c>
      <c r="E735" t="s">
        <v>2332</v>
      </c>
      <c r="F735" t="s">
        <v>1907</v>
      </c>
      <c r="G735" t="b">
        <v>1</v>
      </c>
    </row>
    <row r="736" spans="1:7" x14ac:dyDescent="0.25">
      <c r="A736">
        <v>566</v>
      </c>
      <c r="B736" t="s">
        <v>702</v>
      </c>
      <c r="C736" t="s">
        <v>138</v>
      </c>
      <c r="D736" t="s">
        <v>1471</v>
      </c>
      <c r="E736" t="s">
        <v>2333</v>
      </c>
      <c r="F736" t="s">
        <v>2334</v>
      </c>
      <c r="G736" t="b">
        <v>1</v>
      </c>
    </row>
    <row r="737" spans="1:8" x14ac:dyDescent="0.25">
      <c r="A737">
        <v>567</v>
      </c>
      <c r="B737" t="s">
        <v>703</v>
      </c>
      <c r="C737" t="s">
        <v>138</v>
      </c>
      <c r="D737" t="s">
        <v>1471</v>
      </c>
      <c r="E737" t="s">
        <v>2335</v>
      </c>
      <c r="F737" t="s">
        <v>2336</v>
      </c>
      <c r="G737" t="b">
        <v>1</v>
      </c>
    </row>
    <row r="738" spans="1:8" x14ac:dyDescent="0.25">
      <c r="A738">
        <v>568</v>
      </c>
      <c r="B738" t="s">
        <v>704</v>
      </c>
      <c r="C738" t="s">
        <v>138</v>
      </c>
      <c r="D738" t="s">
        <v>1471</v>
      </c>
      <c r="E738" t="s">
        <v>2337</v>
      </c>
      <c r="F738" t="s">
        <v>2338</v>
      </c>
      <c r="G738" t="b">
        <v>1</v>
      </c>
    </row>
    <row r="739" spans="1:8" x14ac:dyDescent="0.25">
      <c r="A739">
        <v>569</v>
      </c>
      <c r="B739" t="s">
        <v>705</v>
      </c>
      <c r="C739" t="s">
        <v>138</v>
      </c>
      <c r="D739" t="s">
        <v>1471</v>
      </c>
      <c r="E739" t="s">
        <v>1472</v>
      </c>
      <c r="F739" t="s">
        <v>2339</v>
      </c>
      <c r="G739" t="b">
        <v>1</v>
      </c>
    </row>
    <row r="740" spans="1:8" x14ac:dyDescent="0.25">
      <c r="A740">
        <v>570</v>
      </c>
      <c r="B740" t="s">
        <v>706</v>
      </c>
      <c r="C740" t="s">
        <v>138</v>
      </c>
      <c r="D740" t="s">
        <v>1471</v>
      </c>
      <c r="E740" t="s">
        <v>2340</v>
      </c>
      <c r="F740" t="s">
        <v>2341</v>
      </c>
      <c r="G740" t="b">
        <v>1</v>
      </c>
    </row>
    <row r="741" spans="1:8" x14ac:dyDescent="0.25">
      <c r="A741">
        <v>571</v>
      </c>
      <c r="B741" t="s">
        <v>707</v>
      </c>
      <c r="C741" t="s">
        <v>136</v>
      </c>
      <c r="D741" t="s">
        <v>1474</v>
      </c>
      <c r="E741" t="s">
        <v>1512</v>
      </c>
      <c r="F741" t="s">
        <v>2342</v>
      </c>
      <c r="G741" t="b">
        <v>1</v>
      </c>
    </row>
    <row r="742" spans="1:8" x14ac:dyDescent="0.25">
      <c r="A742">
        <v>572</v>
      </c>
      <c r="B742" t="s">
        <v>708</v>
      </c>
      <c r="C742" t="s">
        <v>138</v>
      </c>
      <c r="D742" t="s">
        <v>1471</v>
      </c>
      <c r="E742" t="s">
        <v>2343</v>
      </c>
      <c r="F742" t="s">
        <v>2344</v>
      </c>
      <c r="G742" t="b">
        <v>1</v>
      </c>
    </row>
    <row r="743" spans="1:8" x14ac:dyDescent="0.25">
      <c r="A743">
        <v>573</v>
      </c>
      <c r="B743" t="s">
        <v>709</v>
      </c>
      <c r="C743" t="s">
        <v>136</v>
      </c>
      <c r="D743" t="s">
        <v>1476</v>
      </c>
      <c r="E743" t="s">
        <v>3346</v>
      </c>
      <c r="F743" t="s">
        <v>2345</v>
      </c>
      <c r="G743" t="b">
        <v>1</v>
      </c>
      <c r="H743" t="b">
        <v>1</v>
      </c>
    </row>
    <row r="744" spans="1:8" x14ac:dyDescent="0.25">
      <c r="A744">
        <v>574</v>
      </c>
      <c r="B744" t="s">
        <v>710</v>
      </c>
      <c r="C744" t="s">
        <v>136</v>
      </c>
      <c r="D744" t="s">
        <v>1474</v>
      </c>
      <c r="E744" t="s">
        <v>3362</v>
      </c>
      <c r="F744" t="s">
        <v>2346</v>
      </c>
      <c r="G744" t="b">
        <v>1</v>
      </c>
      <c r="H744" t="b">
        <v>1</v>
      </c>
    </row>
    <row r="745" spans="1:8" x14ac:dyDescent="0.25">
      <c r="A745">
        <v>575</v>
      </c>
      <c r="B745" t="s">
        <v>711</v>
      </c>
      <c r="C745" t="s">
        <v>138</v>
      </c>
      <c r="D745" t="s">
        <v>1471</v>
      </c>
      <c r="E745" t="s">
        <v>2347</v>
      </c>
      <c r="F745" t="s">
        <v>2348</v>
      </c>
      <c r="G745" t="b">
        <v>1</v>
      </c>
    </row>
    <row r="746" spans="1:8" x14ac:dyDescent="0.25">
      <c r="A746">
        <v>576</v>
      </c>
      <c r="B746" t="s">
        <v>712</v>
      </c>
      <c r="C746" t="s">
        <v>136</v>
      </c>
      <c r="D746" t="s">
        <v>1476</v>
      </c>
      <c r="E746" t="s">
        <v>2349</v>
      </c>
      <c r="F746" t="s">
        <v>2348</v>
      </c>
      <c r="G746" t="b">
        <v>1</v>
      </c>
    </row>
    <row r="747" spans="1:8" x14ac:dyDescent="0.25">
      <c r="A747">
        <v>577</v>
      </c>
      <c r="B747" t="s">
        <v>713</v>
      </c>
      <c r="C747" t="s">
        <v>138</v>
      </c>
      <c r="D747" t="s">
        <v>1471</v>
      </c>
      <c r="E747" t="s">
        <v>2350</v>
      </c>
      <c r="F747" t="s">
        <v>2351</v>
      </c>
      <c r="G747" t="b">
        <v>1</v>
      </c>
    </row>
    <row r="748" spans="1:8" x14ac:dyDescent="0.25">
      <c r="A748">
        <v>578</v>
      </c>
      <c r="B748" t="s">
        <v>714</v>
      </c>
      <c r="C748" t="s">
        <v>136</v>
      </c>
      <c r="D748" t="s">
        <v>1474</v>
      </c>
      <c r="E748" t="s">
        <v>2352</v>
      </c>
      <c r="F748" t="s">
        <v>2353</v>
      </c>
      <c r="G748" t="b">
        <v>1</v>
      </c>
    </row>
    <row r="749" spans="1:8" x14ac:dyDescent="0.25">
      <c r="A749">
        <v>579</v>
      </c>
      <c r="B749" t="s">
        <v>715</v>
      </c>
      <c r="C749" t="s">
        <v>138</v>
      </c>
      <c r="D749" t="s">
        <v>1471</v>
      </c>
      <c r="E749" t="s">
        <v>1530</v>
      </c>
      <c r="F749" t="s">
        <v>2354</v>
      </c>
      <c r="G749" t="b">
        <v>1</v>
      </c>
    </row>
    <row r="750" spans="1:8" x14ac:dyDescent="0.25">
      <c r="A750">
        <v>580</v>
      </c>
      <c r="B750" t="s">
        <v>716</v>
      </c>
      <c r="C750" t="s">
        <v>138</v>
      </c>
      <c r="D750" t="s">
        <v>1471</v>
      </c>
      <c r="E750" t="s">
        <v>2355</v>
      </c>
      <c r="F750" t="s">
        <v>2354</v>
      </c>
      <c r="G750" t="b">
        <v>1</v>
      </c>
    </row>
    <row r="751" spans="1:8" x14ac:dyDescent="0.25">
      <c r="A751">
        <v>581</v>
      </c>
      <c r="B751" t="s">
        <v>717</v>
      </c>
      <c r="C751" t="s">
        <v>136</v>
      </c>
      <c r="D751" t="s">
        <v>1476</v>
      </c>
      <c r="E751" t="s">
        <v>2356</v>
      </c>
      <c r="F751" t="s">
        <v>2354</v>
      </c>
      <c r="G751" t="b">
        <v>1</v>
      </c>
    </row>
    <row r="752" spans="1:8" x14ac:dyDescent="0.25">
      <c r="A752">
        <v>582</v>
      </c>
      <c r="B752" t="s">
        <v>718</v>
      </c>
      <c r="C752" t="s">
        <v>138</v>
      </c>
      <c r="D752" t="s">
        <v>1471</v>
      </c>
      <c r="E752" t="s">
        <v>2357</v>
      </c>
      <c r="F752" t="s">
        <v>2358</v>
      </c>
      <c r="G752" t="b">
        <v>1</v>
      </c>
    </row>
    <row r="753" spans="1:8" x14ac:dyDescent="0.25">
      <c r="A753">
        <v>583</v>
      </c>
      <c r="B753" t="s">
        <v>719</v>
      </c>
      <c r="C753" t="s">
        <v>136</v>
      </c>
      <c r="D753" t="s">
        <v>1474</v>
      </c>
      <c r="E753" t="s">
        <v>2359</v>
      </c>
      <c r="F753" t="s">
        <v>2360</v>
      </c>
      <c r="G753" t="b">
        <v>1</v>
      </c>
    </row>
    <row r="754" spans="1:8" x14ac:dyDescent="0.25">
      <c r="A754">
        <v>584</v>
      </c>
      <c r="B754" t="s">
        <v>720</v>
      </c>
      <c r="C754" t="s">
        <v>136</v>
      </c>
      <c r="D754" t="s">
        <v>1476</v>
      </c>
      <c r="E754" t="s">
        <v>3347</v>
      </c>
      <c r="F754" t="s">
        <v>2360</v>
      </c>
      <c r="G754" t="b">
        <v>1</v>
      </c>
      <c r="H754" t="b">
        <v>1</v>
      </c>
    </row>
    <row r="755" spans="1:8" x14ac:dyDescent="0.25">
      <c r="A755">
        <v>585</v>
      </c>
      <c r="B755" t="s">
        <v>721</v>
      </c>
      <c r="C755" t="s">
        <v>136</v>
      </c>
      <c r="D755" t="s">
        <v>1474</v>
      </c>
      <c r="E755" t="s">
        <v>2361</v>
      </c>
      <c r="F755" t="s">
        <v>2362</v>
      </c>
      <c r="G755" t="b">
        <v>1</v>
      </c>
    </row>
    <row r="756" spans="1:8" x14ac:dyDescent="0.25">
      <c r="A756">
        <v>586</v>
      </c>
      <c r="B756" t="s">
        <v>722</v>
      </c>
      <c r="C756" t="s">
        <v>138</v>
      </c>
      <c r="D756" t="s">
        <v>1471</v>
      </c>
      <c r="E756" t="s">
        <v>2363</v>
      </c>
      <c r="F756" t="s">
        <v>2364</v>
      </c>
      <c r="G756" t="b">
        <v>1</v>
      </c>
    </row>
    <row r="757" spans="1:8" x14ac:dyDescent="0.25">
      <c r="A757">
        <v>587</v>
      </c>
      <c r="B757" t="s">
        <v>723</v>
      </c>
      <c r="C757" t="s">
        <v>136</v>
      </c>
      <c r="D757" t="s">
        <v>1476</v>
      </c>
      <c r="E757" t="s">
        <v>2365</v>
      </c>
      <c r="F757" t="s">
        <v>2364</v>
      </c>
      <c r="G757" t="b">
        <v>1</v>
      </c>
    </row>
    <row r="758" spans="1:8" x14ac:dyDescent="0.25">
      <c r="A758">
        <v>588</v>
      </c>
      <c r="B758" t="s">
        <v>724</v>
      </c>
      <c r="C758" t="s">
        <v>138</v>
      </c>
      <c r="D758" t="s">
        <v>1475</v>
      </c>
      <c r="E758" t="s">
        <v>2366</v>
      </c>
      <c r="F758" t="s">
        <v>2367</v>
      </c>
      <c r="G758" t="b">
        <v>1</v>
      </c>
    </row>
    <row r="759" spans="1:8" x14ac:dyDescent="0.25">
      <c r="A759">
        <v>589</v>
      </c>
      <c r="B759" t="s">
        <v>725</v>
      </c>
      <c r="C759" t="s">
        <v>136</v>
      </c>
      <c r="D759" t="s">
        <v>1474</v>
      </c>
      <c r="E759" t="s">
        <v>2368</v>
      </c>
      <c r="F759" t="s">
        <v>2367</v>
      </c>
      <c r="G759" t="b">
        <v>1</v>
      </c>
    </row>
    <row r="760" spans="1:8" x14ac:dyDescent="0.25">
      <c r="A760">
        <v>590</v>
      </c>
      <c r="B760" t="s">
        <v>726</v>
      </c>
      <c r="C760" t="s">
        <v>136</v>
      </c>
      <c r="D760" t="s">
        <v>1476</v>
      </c>
      <c r="E760" s="17" t="s">
        <v>3348</v>
      </c>
      <c r="F760" t="s">
        <v>2367</v>
      </c>
      <c r="G760" t="b">
        <v>1</v>
      </c>
      <c r="H760" t="b">
        <v>1</v>
      </c>
    </row>
    <row r="761" spans="1:8" x14ac:dyDescent="0.25">
      <c r="A761">
        <v>591</v>
      </c>
      <c r="B761" t="s">
        <v>727</v>
      </c>
      <c r="C761" t="s">
        <v>136</v>
      </c>
      <c r="D761" t="s">
        <v>1474</v>
      </c>
      <c r="E761" t="s">
        <v>2369</v>
      </c>
      <c r="F761" t="s">
        <v>2370</v>
      </c>
      <c r="G761" t="b">
        <v>1</v>
      </c>
    </row>
    <row r="762" spans="1:8" x14ac:dyDescent="0.25">
      <c r="A762">
        <v>592</v>
      </c>
      <c r="B762" t="s">
        <v>728</v>
      </c>
      <c r="C762" t="s">
        <v>136</v>
      </c>
      <c r="D762" t="s">
        <v>1474</v>
      </c>
      <c r="E762" t="s">
        <v>2371</v>
      </c>
      <c r="F762" t="s">
        <v>2370</v>
      </c>
      <c r="G762" t="b">
        <v>1</v>
      </c>
    </row>
    <row r="763" spans="1:8" x14ac:dyDescent="0.25">
      <c r="A763">
        <v>593</v>
      </c>
      <c r="B763" t="s">
        <v>729</v>
      </c>
      <c r="C763" t="s">
        <v>138</v>
      </c>
      <c r="D763" t="s">
        <v>1471</v>
      </c>
      <c r="E763" t="s">
        <v>2372</v>
      </c>
      <c r="F763" t="s">
        <v>2370</v>
      </c>
      <c r="G763" t="b">
        <v>1</v>
      </c>
    </row>
    <row r="764" spans="1:8" x14ac:dyDescent="0.25">
      <c r="A764">
        <v>594</v>
      </c>
      <c r="B764" t="s">
        <v>730</v>
      </c>
      <c r="C764" t="s">
        <v>136</v>
      </c>
      <c r="D764" t="s">
        <v>1476</v>
      </c>
      <c r="E764" t="s">
        <v>2373</v>
      </c>
      <c r="F764" t="s">
        <v>2370</v>
      </c>
      <c r="G764" t="b">
        <v>1</v>
      </c>
    </row>
    <row r="765" spans="1:8" x14ac:dyDescent="0.25">
      <c r="A765">
        <v>595</v>
      </c>
      <c r="B765" t="s">
        <v>731</v>
      </c>
      <c r="C765" t="s">
        <v>138</v>
      </c>
      <c r="D765" t="s">
        <v>1471</v>
      </c>
      <c r="E765" t="s">
        <v>2374</v>
      </c>
      <c r="F765" t="s">
        <v>2375</v>
      </c>
      <c r="G765" t="b">
        <v>1</v>
      </c>
    </row>
    <row r="766" spans="1:8" x14ac:dyDescent="0.25">
      <c r="A766">
        <v>596</v>
      </c>
      <c r="B766" t="s">
        <v>732</v>
      </c>
      <c r="C766" t="s">
        <v>138</v>
      </c>
      <c r="D766" t="s">
        <v>1471</v>
      </c>
      <c r="E766" t="s">
        <v>1753</v>
      </c>
      <c r="F766" t="s">
        <v>2376</v>
      </c>
      <c r="G766" t="b">
        <v>1</v>
      </c>
      <c r="H766" t="b">
        <v>1</v>
      </c>
    </row>
    <row r="767" spans="1:8" x14ac:dyDescent="0.25">
      <c r="A767">
        <v>597</v>
      </c>
      <c r="B767" t="s">
        <v>733</v>
      </c>
      <c r="C767" t="s">
        <v>138</v>
      </c>
      <c r="D767" t="s">
        <v>1471</v>
      </c>
      <c r="E767" t="s">
        <v>2377</v>
      </c>
      <c r="F767" t="s">
        <v>2378</v>
      </c>
      <c r="G767" t="b">
        <v>1</v>
      </c>
    </row>
    <row r="768" spans="1:8" x14ac:dyDescent="0.25">
      <c r="A768">
        <v>598</v>
      </c>
      <c r="B768" t="s">
        <v>734</v>
      </c>
      <c r="C768" t="s">
        <v>138</v>
      </c>
      <c r="D768" t="s">
        <v>1471</v>
      </c>
      <c r="E768" t="s">
        <v>2379</v>
      </c>
      <c r="F768" t="s">
        <v>1976</v>
      </c>
      <c r="G768" t="b">
        <v>1</v>
      </c>
    </row>
    <row r="769" spans="1:8" x14ac:dyDescent="0.25">
      <c r="A769">
        <v>599</v>
      </c>
      <c r="B769" t="s">
        <v>735</v>
      </c>
      <c r="C769" t="s">
        <v>136</v>
      </c>
      <c r="D769" t="s">
        <v>1474</v>
      </c>
      <c r="E769" t="s">
        <v>2380</v>
      </c>
      <c r="F769" t="s">
        <v>1984</v>
      </c>
      <c r="G769" t="b">
        <v>1</v>
      </c>
    </row>
    <row r="770" spans="1:8" x14ac:dyDescent="0.25">
      <c r="A770">
        <v>600</v>
      </c>
      <c r="B770" t="s">
        <v>736</v>
      </c>
      <c r="C770" t="s">
        <v>136</v>
      </c>
      <c r="D770" t="s">
        <v>1474</v>
      </c>
      <c r="E770" t="s">
        <v>3349</v>
      </c>
      <c r="F770" t="s">
        <v>2381</v>
      </c>
      <c r="G770" t="b">
        <v>1</v>
      </c>
      <c r="H770" t="b">
        <v>1</v>
      </c>
    </row>
    <row r="771" spans="1:8" x14ac:dyDescent="0.25">
      <c r="A771">
        <v>601</v>
      </c>
      <c r="B771" t="s">
        <v>737</v>
      </c>
      <c r="C771" t="s">
        <v>138</v>
      </c>
      <c r="D771" t="s">
        <v>1471</v>
      </c>
      <c r="E771" t="s">
        <v>2382</v>
      </c>
      <c r="F771" t="s">
        <v>2383</v>
      </c>
      <c r="G771" t="b">
        <v>1</v>
      </c>
    </row>
    <row r="772" spans="1:8" x14ac:dyDescent="0.25">
      <c r="A772">
        <v>602</v>
      </c>
      <c r="B772" t="s">
        <v>738</v>
      </c>
      <c r="C772" t="s">
        <v>138</v>
      </c>
      <c r="D772" t="s">
        <v>1475</v>
      </c>
      <c r="E772" t="s">
        <v>2384</v>
      </c>
      <c r="F772" t="s">
        <v>2385</v>
      </c>
      <c r="G772" t="b">
        <v>1</v>
      </c>
    </row>
    <row r="773" spans="1:8" x14ac:dyDescent="0.25">
      <c r="A773">
        <v>603</v>
      </c>
      <c r="B773" t="s">
        <v>739</v>
      </c>
      <c r="C773" t="s">
        <v>138</v>
      </c>
      <c r="D773" t="s">
        <v>1471</v>
      </c>
      <c r="E773" t="s">
        <v>2386</v>
      </c>
      <c r="F773" t="s">
        <v>2385</v>
      </c>
      <c r="G773" t="b">
        <v>1</v>
      </c>
    </row>
    <row r="774" spans="1:8" x14ac:dyDescent="0.25">
      <c r="A774">
        <v>604</v>
      </c>
      <c r="B774" t="s">
        <v>740</v>
      </c>
      <c r="C774" t="s">
        <v>136</v>
      </c>
      <c r="D774" t="s">
        <v>1476</v>
      </c>
      <c r="E774" t="s">
        <v>2387</v>
      </c>
      <c r="F774" t="s">
        <v>2385</v>
      </c>
      <c r="G774" t="b">
        <v>1</v>
      </c>
    </row>
    <row r="775" spans="1:8" x14ac:dyDescent="0.25">
      <c r="A775">
        <v>605</v>
      </c>
      <c r="B775" t="s">
        <v>741</v>
      </c>
      <c r="C775" t="s">
        <v>136</v>
      </c>
      <c r="D775" t="s">
        <v>1474</v>
      </c>
      <c r="E775" t="s">
        <v>2388</v>
      </c>
      <c r="F775" t="s">
        <v>2389</v>
      </c>
      <c r="G775" t="b">
        <v>1</v>
      </c>
    </row>
    <row r="776" spans="1:8" x14ac:dyDescent="0.25">
      <c r="A776">
        <v>606</v>
      </c>
      <c r="B776" t="s">
        <v>742</v>
      </c>
      <c r="C776" t="s">
        <v>138</v>
      </c>
      <c r="D776" t="s">
        <v>1471</v>
      </c>
      <c r="E776" t="s">
        <v>2390</v>
      </c>
      <c r="F776" t="s">
        <v>2389</v>
      </c>
      <c r="G776" t="b">
        <v>1</v>
      </c>
    </row>
    <row r="777" spans="1:8" x14ac:dyDescent="0.25">
      <c r="A777">
        <v>607</v>
      </c>
      <c r="B777" t="s">
        <v>743</v>
      </c>
      <c r="C777" t="s">
        <v>138</v>
      </c>
      <c r="D777" t="s">
        <v>1471</v>
      </c>
      <c r="E777" t="s">
        <v>2391</v>
      </c>
      <c r="F777" t="s">
        <v>2392</v>
      </c>
      <c r="G777" t="b">
        <v>1</v>
      </c>
    </row>
    <row r="778" spans="1:8" x14ac:dyDescent="0.25">
      <c r="A778">
        <v>608</v>
      </c>
      <c r="B778" t="s">
        <v>744</v>
      </c>
      <c r="C778" t="s">
        <v>136</v>
      </c>
      <c r="D778" t="s">
        <v>1476</v>
      </c>
      <c r="E778" t="s">
        <v>2393</v>
      </c>
      <c r="F778" t="s">
        <v>2394</v>
      </c>
      <c r="G778" t="b">
        <v>1</v>
      </c>
    </row>
    <row r="779" spans="1:8" x14ac:dyDescent="0.25">
      <c r="A779">
        <v>609</v>
      </c>
      <c r="B779" t="s">
        <v>745</v>
      </c>
      <c r="C779" t="s">
        <v>138</v>
      </c>
      <c r="D779" t="s">
        <v>1471</v>
      </c>
      <c r="E779" t="s">
        <v>2395</v>
      </c>
      <c r="F779" t="s">
        <v>2396</v>
      </c>
      <c r="G779" t="b">
        <v>1</v>
      </c>
    </row>
    <row r="780" spans="1:8" x14ac:dyDescent="0.25">
      <c r="A780">
        <v>610</v>
      </c>
      <c r="B780" t="s">
        <v>746</v>
      </c>
      <c r="C780" t="s">
        <v>138</v>
      </c>
      <c r="D780" t="s">
        <v>1471</v>
      </c>
      <c r="E780" t="s">
        <v>1646</v>
      </c>
      <c r="F780" t="s">
        <v>2397</v>
      </c>
      <c r="G780" t="b">
        <v>1</v>
      </c>
    </row>
    <row r="781" spans="1:8" x14ac:dyDescent="0.25">
      <c r="A781">
        <v>611</v>
      </c>
      <c r="B781" t="s">
        <v>747</v>
      </c>
      <c r="C781" t="s">
        <v>136</v>
      </c>
      <c r="D781" t="s">
        <v>1476</v>
      </c>
      <c r="E781" t="s">
        <v>2398</v>
      </c>
      <c r="F781" t="s">
        <v>2399</v>
      </c>
      <c r="G781" t="b">
        <v>1</v>
      </c>
    </row>
    <row r="782" spans="1:8" x14ac:dyDescent="0.25">
      <c r="A782">
        <v>612</v>
      </c>
      <c r="B782" t="s">
        <v>748</v>
      </c>
      <c r="C782" t="s">
        <v>138</v>
      </c>
      <c r="D782" t="s">
        <v>1475</v>
      </c>
      <c r="E782" t="s">
        <v>2400</v>
      </c>
      <c r="F782" t="s">
        <v>2401</v>
      </c>
      <c r="G782" t="b">
        <v>1</v>
      </c>
    </row>
    <row r="783" spans="1:8" x14ac:dyDescent="0.25">
      <c r="A783">
        <v>613</v>
      </c>
      <c r="B783" t="s">
        <v>749</v>
      </c>
      <c r="C783" t="s">
        <v>136</v>
      </c>
      <c r="D783" t="s">
        <v>1476</v>
      </c>
      <c r="E783" t="s">
        <v>2402</v>
      </c>
      <c r="F783" t="s">
        <v>2401</v>
      </c>
      <c r="G783" t="b">
        <v>1</v>
      </c>
    </row>
    <row r="784" spans="1:8" x14ac:dyDescent="0.25">
      <c r="A784">
        <v>614</v>
      </c>
      <c r="B784" t="s">
        <v>750</v>
      </c>
      <c r="C784" t="s">
        <v>138</v>
      </c>
      <c r="D784" t="s">
        <v>1471</v>
      </c>
      <c r="E784" t="s">
        <v>2403</v>
      </c>
      <c r="F784" t="s">
        <v>2404</v>
      </c>
      <c r="G784" t="b">
        <v>1</v>
      </c>
    </row>
    <row r="785" spans="1:7" x14ac:dyDescent="0.25">
      <c r="A785">
        <v>615</v>
      </c>
      <c r="B785" t="s">
        <v>751</v>
      </c>
      <c r="C785" t="s">
        <v>138</v>
      </c>
      <c r="D785" t="s">
        <v>1471</v>
      </c>
      <c r="E785" t="s">
        <v>1714</v>
      </c>
      <c r="F785" t="s">
        <v>1551</v>
      </c>
      <c r="G785" t="b">
        <v>1</v>
      </c>
    </row>
    <row r="786" spans="1:7" x14ac:dyDescent="0.25">
      <c r="A786">
        <v>616</v>
      </c>
      <c r="B786" t="s">
        <v>752</v>
      </c>
      <c r="C786" t="s">
        <v>138</v>
      </c>
      <c r="D786" t="s">
        <v>1471</v>
      </c>
      <c r="E786" t="s">
        <v>2405</v>
      </c>
      <c r="F786" t="s">
        <v>2406</v>
      </c>
      <c r="G786" t="b">
        <v>1</v>
      </c>
    </row>
    <row r="787" spans="1:7" x14ac:dyDescent="0.25">
      <c r="A787">
        <v>617</v>
      </c>
      <c r="B787" t="s">
        <v>753</v>
      </c>
      <c r="C787" t="s">
        <v>138</v>
      </c>
      <c r="D787" t="s">
        <v>1471</v>
      </c>
      <c r="E787" t="s">
        <v>2407</v>
      </c>
      <c r="F787" t="s">
        <v>2408</v>
      </c>
      <c r="G787" t="b">
        <v>1</v>
      </c>
    </row>
    <row r="788" spans="1:7" x14ac:dyDescent="0.25">
      <c r="A788">
        <v>618</v>
      </c>
      <c r="B788" t="s">
        <v>754</v>
      </c>
      <c r="C788" t="s">
        <v>138</v>
      </c>
      <c r="D788" t="s">
        <v>1471</v>
      </c>
      <c r="E788" t="s">
        <v>1714</v>
      </c>
      <c r="F788" t="s">
        <v>2408</v>
      </c>
      <c r="G788" t="b">
        <v>1</v>
      </c>
    </row>
    <row r="789" spans="1:7" x14ac:dyDescent="0.25">
      <c r="A789">
        <v>619</v>
      </c>
      <c r="B789" t="s">
        <v>755</v>
      </c>
      <c r="C789" t="s">
        <v>138</v>
      </c>
      <c r="D789" t="s">
        <v>1471</v>
      </c>
      <c r="E789" t="s">
        <v>2133</v>
      </c>
      <c r="F789" t="s">
        <v>1464</v>
      </c>
      <c r="G789" t="b">
        <v>1</v>
      </c>
    </row>
    <row r="790" spans="1:7" x14ac:dyDescent="0.25">
      <c r="A790">
        <v>620</v>
      </c>
      <c r="B790" t="s">
        <v>756</v>
      </c>
      <c r="C790" t="s">
        <v>138</v>
      </c>
      <c r="D790" t="s">
        <v>1471</v>
      </c>
      <c r="E790" t="s">
        <v>2409</v>
      </c>
      <c r="F790" t="s">
        <v>2410</v>
      </c>
      <c r="G790" t="b">
        <v>1</v>
      </c>
    </row>
    <row r="791" spans="1:7" x14ac:dyDescent="0.25">
      <c r="A791">
        <v>621</v>
      </c>
      <c r="B791" t="s">
        <v>757</v>
      </c>
      <c r="C791" t="s">
        <v>138</v>
      </c>
      <c r="D791" t="s">
        <v>1471</v>
      </c>
      <c r="E791" t="s">
        <v>2411</v>
      </c>
      <c r="F791" t="s">
        <v>2412</v>
      </c>
      <c r="G791" t="b">
        <v>1</v>
      </c>
    </row>
    <row r="792" spans="1:7" x14ac:dyDescent="0.25">
      <c r="A792">
        <v>622</v>
      </c>
      <c r="B792" t="s">
        <v>758</v>
      </c>
      <c r="C792" t="s">
        <v>136</v>
      </c>
      <c r="D792" t="s">
        <v>1474</v>
      </c>
      <c r="E792" t="s">
        <v>2413</v>
      </c>
      <c r="F792" t="s">
        <v>2414</v>
      </c>
      <c r="G792" t="b">
        <v>1</v>
      </c>
    </row>
    <row r="793" spans="1:7" x14ac:dyDescent="0.25">
      <c r="A793">
        <v>623</v>
      </c>
      <c r="B793" t="s">
        <v>759</v>
      </c>
      <c r="C793" t="s">
        <v>138</v>
      </c>
      <c r="D793" t="s">
        <v>1475</v>
      </c>
      <c r="E793" t="s">
        <v>2415</v>
      </c>
      <c r="F793" t="s">
        <v>2416</v>
      </c>
      <c r="G793" t="b">
        <v>1</v>
      </c>
    </row>
    <row r="794" spans="1:7" x14ac:dyDescent="0.25">
      <c r="A794">
        <v>624</v>
      </c>
      <c r="B794" t="s">
        <v>760</v>
      </c>
      <c r="C794" t="s">
        <v>136</v>
      </c>
      <c r="D794" t="s">
        <v>1474</v>
      </c>
      <c r="E794" t="s">
        <v>2417</v>
      </c>
      <c r="F794" t="s">
        <v>2416</v>
      </c>
      <c r="G794" t="b">
        <v>1</v>
      </c>
    </row>
    <row r="795" spans="1:7" x14ac:dyDescent="0.25">
      <c r="A795">
        <v>625</v>
      </c>
      <c r="B795" t="s">
        <v>761</v>
      </c>
      <c r="C795" t="s">
        <v>136</v>
      </c>
      <c r="D795" t="s">
        <v>1474</v>
      </c>
      <c r="E795" t="s">
        <v>2418</v>
      </c>
      <c r="F795" t="s">
        <v>2416</v>
      </c>
      <c r="G795" t="b">
        <v>1</v>
      </c>
    </row>
    <row r="796" spans="1:7" x14ac:dyDescent="0.25">
      <c r="A796">
        <v>626</v>
      </c>
      <c r="B796" t="s">
        <v>762</v>
      </c>
      <c r="C796" t="s">
        <v>136</v>
      </c>
      <c r="D796" t="s">
        <v>1474</v>
      </c>
      <c r="E796" t="s">
        <v>2419</v>
      </c>
      <c r="F796" t="s">
        <v>2416</v>
      </c>
      <c r="G796" t="b">
        <v>1</v>
      </c>
    </row>
    <row r="797" spans="1:7" x14ac:dyDescent="0.25">
      <c r="A797">
        <v>627</v>
      </c>
      <c r="B797" t="s">
        <v>763</v>
      </c>
      <c r="C797" t="s">
        <v>136</v>
      </c>
      <c r="D797" t="s">
        <v>1474</v>
      </c>
      <c r="E797" t="s">
        <v>2420</v>
      </c>
      <c r="F797" t="s">
        <v>2416</v>
      </c>
      <c r="G797" t="b">
        <v>1</v>
      </c>
    </row>
    <row r="798" spans="1:7" x14ac:dyDescent="0.25">
      <c r="A798">
        <v>628</v>
      </c>
      <c r="B798" t="s">
        <v>764</v>
      </c>
      <c r="C798" t="s">
        <v>136</v>
      </c>
      <c r="D798" t="s">
        <v>1474</v>
      </c>
      <c r="E798" t="s">
        <v>2421</v>
      </c>
      <c r="F798" t="s">
        <v>2416</v>
      </c>
      <c r="G798" t="b">
        <v>1</v>
      </c>
    </row>
    <row r="799" spans="1:7" x14ac:dyDescent="0.25">
      <c r="A799">
        <v>629</v>
      </c>
      <c r="B799" t="s">
        <v>765</v>
      </c>
      <c r="C799" t="s">
        <v>136</v>
      </c>
      <c r="D799" t="s">
        <v>1474</v>
      </c>
      <c r="E799" t="s">
        <v>2422</v>
      </c>
      <c r="F799" t="s">
        <v>2416</v>
      </c>
      <c r="G799" t="b">
        <v>1</v>
      </c>
    </row>
    <row r="800" spans="1:7" x14ac:dyDescent="0.25">
      <c r="A800">
        <v>630</v>
      </c>
      <c r="B800" t="s">
        <v>766</v>
      </c>
      <c r="C800" t="s">
        <v>138</v>
      </c>
      <c r="D800" t="s">
        <v>1471</v>
      </c>
      <c r="E800" t="s">
        <v>2423</v>
      </c>
      <c r="F800" t="s">
        <v>2416</v>
      </c>
      <c r="G800" t="b">
        <v>1</v>
      </c>
    </row>
    <row r="801" spans="1:8" x14ac:dyDescent="0.25">
      <c r="A801">
        <v>631</v>
      </c>
      <c r="B801" t="s">
        <v>767</v>
      </c>
      <c r="C801" t="s">
        <v>138</v>
      </c>
      <c r="D801" t="s">
        <v>1471</v>
      </c>
      <c r="E801" t="s">
        <v>2424</v>
      </c>
      <c r="F801" t="s">
        <v>2416</v>
      </c>
      <c r="G801" t="b">
        <v>1</v>
      </c>
      <c r="H801" t="b">
        <v>1</v>
      </c>
    </row>
    <row r="802" spans="1:8" x14ac:dyDescent="0.25">
      <c r="A802">
        <v>632</v>
      </c>
      <c r="B802" t="s">
        <v>768</v>
      </c>
      <c r="C802" t="s">
        <v>138</v>
      </c>
      <c r="D802" t="s">
        <v>1471</v>
      </c>
      <c r="E802" t="s">
        <v>2425</v>
      </c>
      <c r="F802" t="s">
        <v>2416</v>
      </c>
      <c r="G802" t="b">
        <v>1</v>
      </c>
    </row>
    <row r="803" spans="1:8" x14ac:dyDescent="0.25">
      <c r="A803">
        <v>633</v>
      </c>
      <c r="B803" t="s">
        <v>769</v>
      </c>
      <c r="C803" t="s">
        <v>136</v>
      </c>
      <c r="D803" t="s">
        <v>1476</v>
      </c>
      <c r="E803" t="s">
        <v>2426</v>
      </c>
      <c r="F803" t="s">
        <v>2416</v>
      </c>
      <c r="G803" t="b">
        <v>1</v>
      </c>
    </row>
    <row r="804" spans="1:8" x14ac:dyDescent="0.25">
      <c r="A804">
        <v>634</v>
      </c>
      <c r="B804" t="s">
        <v>770</v>
      </c>
      <c r="C804" t="s">
        <v>138</v>
      </c>
      <c r="D804" t="s">
        <v>1471</v>
      </c>
      <c r="E804" t="s">
        <v>2427</v>
      </c>
      <c r="F804" t="s">
        <v>2428</v>
      </c>
      <c r="G804" t="b">
        <v>1</v>
      </c>
    </row>
    <row r="805" spans="1:8" x14ac:dyDescent="0.25">
      <c r="A805">
        <v>635</v>
      </c>
      <c r="B805" t="s">
        <v>771</v>
      </c>
      <c r="C805" t="s">
        <v>138</v>
      </c>
      <c r="D805" t="s">
        <v>1471</v>
      </c>
      <c r="E805" t="s">
        <v>2429</v>
      </c>
      <c r="F805" t="s">
        <v>2430</v>
      </c>
      <c r="G805" t="b">
        <v>1</v>
      </c>
    </row>
    <row r="806" spans="1:8" x14ac:dyDescent="0.25">
      <c r="A806">
        <v>636</v>
      </c>
      <c r="B806" t="s">
        <v>772</v>
      </c>
      <c r="C806" t="s">
        <v>138</v>
      </c>
      <c r="D806" t="s">
        <v>1471</v>
      </c>
      <c r="E806" t="s">
        <v>2431</v>
      </c>
      <c r="F806" t="s">
        <v>2432</v>
      </c>
      <c r="G806" t="b">
        <v>1</v>
      </c>
    </row>
    <row r="807" spans="1:8" x14ac:dyDescent="0.25">
      <c r="A807">
        <v>637</v>
      </c>
      <c r="B807" t="s">
        <v>773</v>
      </c>
      <c r="C807" t="s">
        <v>136</v>
      </c>
      <c r="D807" t="s">
        <v>1476</v>
      </c>
      <c r="E807" t="s">
        <v>2433</v>
      </c>
      <c r="F807" t="s">
        <v>2432</v>
      </c>
      <c r="G807" t="b">
        <v>1</v>
      </c>
    </row>
    <row r="808" spans="1:8" x14ac:dyDescent="0.25">
      <c r="A808">
        <v>638</v>
      </c>
      <c r="B808" t="s">
        <v>774</v>
      </c>
      <c r="C808" t="s">
        <v>138</v>
      </c>
      <c r="D808" t="s">
        <v>1471</v>
      </c>
      <c r="E808" t="s">
        <v>2434</v>
      </c>
      <c r="F808" t="s">
        <v>2435</v>
      </c>
      <c r="G808" t="b">
        <v>1</v>
      </c>
    </row>
    <row r="809" spans="1:8" x14ac:dyDescent="0.25">
      <c r="A809">
        <v>639</v>
      </c>
      <c r="B809" t="s">
        <v>775</v>
      </c>
      <c r="C809" t="s">
        <v>138</v>
      </c>
      <c r="D809" t="s">
        <v>1471</v>
      </c>
      <c r="E809" t="s">
        <v>2436</v>
      </c>
      <c r="F809" t="s">
        <v>2437</v>
      </c>
      <c r="G809" t="b">
        <v>1</v>
      </c>
    </row>
    <row r="810" spans="1:8" x14ac:dyDescent="0.25">
      <c r="A810">
        <v>640</v>
      </c>
      <c r="B810" t="s">
        <v>776</v>
      </c>
      <c r="C810" t="s">
        <v>138</v>
      </c>
      <c r="D810" t="s">
        <v>1475</v>
      </c>
      <c r="E810" t="s">
        <v>2438</v>
      </c>
      <c r="F810" t="s">
        <v>2439</v>
      </c>
      <c r="G810" t="b">
        <v>1</v>
      </c>
    </row>
    <row r="811" spans="1:8" x14ac:dyDescent="0.25">
      <c r="A811">
        <v>641</v>
      </c>
      <c r="B811" t="s">
        <v>777</v>
      </c>
      <c r="C811" t="s">
        <v>138</v>
      </c>
      <c r="D811" t="s">
        <v>1475</v>
      </c>
      <c r="E811" t="s">
        <v>2440</v>
      </c>
      <c r="F811" t="s">
        <v>2439</v>
      </c>
      <c r="G811" t="b">
        <v>1</v>
      </c>
    </row>
    <row r="812" spans="1:8" x14ac:dyDescent="0.25">
      <c r="A812">
        <v>642</v>
      </c>
      <c r="B812" t="s">
        <v>778</v>
      </c>
      <c r="C812" t="s">
        <v>138</v>
      </c>
      <c r="D812" t="s">
        <v>1475</v>
      </c>
      <c r="E812" t="s">
        <v>2441</v>
      </c>
      <c r="F812" t="s">
        <v>2439</v>
      </c>
      <c r="G812" t="b">
        <v>1</v>
      </c>
    </row>
    <row r="813" spans="1:8" x14ac:dyDescent="0.25">
      <c r="A813">
        <v>643</v>
      </c>
      <c r="B813" t="s">
        <v>779</v>
      </c>
      <c r="C813" t="s">
        <v>138</v>
      </c>
      <c r="D813" t="s">
        <v>1475</v>
      </c>
      <c r="E813" t="s">
        <v>2442</v>
      </c>
      <c r="F813" t="s">
        <v>2439</v>
      </c>
      <c r="G813" t="b">
        <v>1</v>
      </c>
    </row>
    <row r="814" spans="1:8" x14ac:dyDescent="0.25">
      <c r="A814">
        <v>644</v>
      </c>
      <c r="B814" t="s">
        <v>780</v>
      </c>
      <c r="C814" t="s">
        <v>136</v>
      </c>
      <c r="D814" t="s">
        <v>1474</v>
      </c>
      <c r="E814" t="s">
        <v>2443</v>
      </c>
      <c r="F814" t="s">
        <v>2439</v>
      </c>
      <c r="G814" t="b">
        <v>1</v>
      </c>
    </row>
    <row r="815" spans="1:8" x14ac:dyDescent="0.25">
      <c r="A815">
        <v>645</v>
      </c>
      <c r="B815" t="s">
        <v>781</v>
      </c>
      <c r="C815" t="s">
        <v>138</v>
      </c>
      <c r="D815" t="s">
        <v>1471</v>
      </c>
      <c r="E815" t="s">
        <v>2444</v>
      </c>
      <c r="F815" t="s">
        <v>2439</v>
      </c>
      <c r="G815" t="b">
        <v>1</v>
      </c>
    </row>
    <row r="816" spans="1:8" x14ac:dyDescent="0.25">
      <c r="A816">
        <v>646</v>
      </c>
      <c r="B816" t="s">
        <v>782</v>
      </c>
      <c r="C816" t="s">
        <v>138</v>
      </c>
      <c r="D816" t="s">
        <v>1471</v>
      </c>
      <c r="E816" t="s">
        <v>2445</v>
      </c>
      <c r="F816" t="s">
        <v>2439</v>
      </c>
      <c r="G816" t="b">
        <v>1</v>
      </c>
    </row>
    <row r="817" spans="1:8" x14ac:dyDescent="0.25">
      <c r="A817">
        <v>647</v>
      </c>
      <c r="B817" t="s">
        <v>783</v>
      </c>
      <c r="C817" t="s">
        <v>136</v>
      </c>
      <c r="D817" t="s">
        <v>1476</v>
      </c>
      <c r="E817" t="s">
        <v>2446</v>
      </c>
      <c r="F817" t="s">
        <v>2439</v>
      </c>
      <c r="G817" t="b">
        <v>1</v>
      </c>
    </row>
    <row r="818" spans="1:8" x14ac:dyDescent="0.25">
      <c r="A818">
        <v>648</v>
      </c>
      <c r="B818" t="s">
        <v>784</v>
      </c>
      <c r="C818" t="s">
        <v>136</v>
      </c>
      <c r="D818" t="s">
        <v>1476</v>
      </c>
      <c r="E818" t="s">
        <v>2188</v>
      </c>
      <c r="F818" t="s">
        <v>2447</v>
      </c>
      <c r="G818" t="b">
        <v>1</v>
      </c>
      <c r="H818" t="b">
        <v>1</v>
      </c>
    </row>
    <row r="819" spans="1:8" x14ac:dyDescent="0.25">
      <c r="A819">
        <v>649</v>
      </c>
      <c r="B819" t="s">
        <v>785</v>
      </c>
      <c r="C819" t="s">
        <v>138</v>
      </c>
      <c r="D819" t="s">
        <v>1471</v>
      </c>
      <c r="E819" t="s">
        <v>2448</v>
      </c>
      <c r="F819" t="s">
        <v>2449</v>
      </c>
      <c r="G819" t="b">
        <v>1</v>
      </c>
    </row>
    <row r="820" spans="1:8" x14ac:dyDescent="0.25">
      <c r="A820">
        <v>650</v>
      </c>
      <c r="B820" t="s">
        <v>786</v>
      </c>
      <c r="C820" t="s">
        <v>138</v>
      </c>
      <c r="D820" t="s">
        <v>1471</v>
      </c>
      <c r="E820" t="s">
        <v>2408</v>
      </c>
      <c r="F820" t="s">
        <v>2450</v>
      </c>
      <c r="G820" t="b">
        <v>1</v>
      </c>
    </row>
    <row r="821" spans="1:8" x14ac:dyDescent="0.25">
      <c r="A821">
        <v>651</v>
      </c>
      <c r="B821" t="s">
        <v>787</v>
      </c>
      <c r="C821" t="s">
        <v>136</v>
      </c>
      <c r="D821" t="s">
        <v>1474</v>
      </c>
      <c r="E821" t="s">
        <v>2451</v>
      </c>
      <c r="F821" t="s">
        <v>2452</v>
      </c>
      <c r="G821" t="b">
        <v>1</v>
      </c>
    </row>
    <row r="822" spans="1:8" x14ac:dyDescent="0.25">
      <c r="A822">
        <v>652</v>
      </c>
      <c r="B822" t="s">
        <v>788</v>
      </c>
      <c r="C822" t="s">
        <v>138</v>
      </c>
      <c r="D822" t="s">
        <v>1471</v>
      </c>
      <c r="E822" t="s">
        <v>2453</v>
      </c>
      <c r="F822" t="s">
        <v>2452</v>
      </c>
      <c r="G822" t="b">
        <v>1</v>
      </c>
    </row>
    <row r="823" spans="1:8" x14ac:dyDescent="0.25">
      <c r="A823">
        <v>653</v>
      </c>
      <c r="B823" t="s">
        <v>789</v>
      </c>
      <c r="C823" t="s">
        <v>138</v>
      </c>
      <c r="D823" t="s">
        <v>1471</v>
      </c>
      <c r="E823" t="s">
        <v>2224</v>
      </c>
      <c r="F823" t="s">
        <v>2454</v>
      </c>
      <c r="G823" t="b">
        <v>1</v>
      </c>
    </row>
    <row r="824" spans="1:8" x14ac:dyDescent="0.25">
      <c r="A824">
        <v>654</v>
      </c>
      <c r="B824" t="s">
        <v>790</v>
      </c>
      <c r="C824" t="s">
        <v>136</v>
      </c>
      <c r="D824" t="s">
        <v>1474</v>
      </c>
      <c r="E824" t="s">
        <v>2455</v>
      </c>
      <c r="F824" t="s">
        <v>2456</v>
      </c>
      <c r="G824" t="b">
        <v>1</v>
      </c>
    </row>
    <row r="825" spans="1:8" x14ac:dyDescent="0.25">
      <c r="A825">
        <v>655</v>
      </c>
      <c r="B825" t="s">
        <v>791</v>
      </c>
      <c r="C825" t="s">
        <v>138</v>
      </c>
      <c r="D825" t="s">
        <v>1471</v>
      </c>
      <c r="E825" t="s">
        <v>2457</v>
      </c>
      <c r="F825" t="s">
        <v>2458</v>
      </c>
      <c r="G825" t="b">
        <v>1</v>
      </c>
    </row>
    <row r="826" spans="1:8" x14ac:dyDescent="0.25">
      <c r="A826">
        <v>656</v>
      </c>
      <c r="B826" t="s">
        <v>792</v>
      </c>
      <c r="C826" t="s">
        <v>138</v>
      </c>
      <c r="D826" t="s">
        <v>1471</v>
      </c>
      <c r="E826" t="s">
        <v>2459</v>
      </c>
      <c r="F826" t="s">
        <v>2460</v>
      </c>
      <c r="G826" t="b">
        <v>1</v>
      </c>
    </row>
    <row r="827" spans="1:8" x14ac:dyDescent="0.25">
      <c r="A827">
        <v>657</v>
      </c>
      <c r="B827" t="s">
        <v>793</v>
      </c>
      <c r="C827" t="s">
        <v>136</v>
      </c>
      <c r="D827" t="s">
        <v>1476</v>
      </c>
      <c r="E827" t="s">
        <v>2461</v>
      </c>
      <c r="F827" t="s">
        <v>2460</v>
      </c>
      <c r="G827" t="b">
        <v>1</v>
      </c>
    </row>
    <row r="828" spans="1:8" x14ac:dyDescent="0.25">
      <c r="A828">
        <v>658</v>
      </c>
      <c r="B828" t="s">
        <v>794</v>
      </c>
      <c r="C828" t="s">
        <v>136</v>
      </c>
      <c r="D828" t="s">
        <v>1474</v>
      </c>
      <c r="E828" t="s">
        <v>2462</v>
      </c>
      <c r="F828" t="s">
        <v>2463</v>
      </c>
      <c r="G828" t="b">
        <v>1</v>
      </c>
    </row>
    <row r="829" spans="1:8" x14ac:dyDescent="0.25">
      <c r="A829">
        <v>659</v>
      </c>
      <c r="B829" t="s">
        <v>795</v>
      </c>
      <c r="C829" t="s">
        <v>136</v>
      </c>
      <c r="D829" t="s">
        <v>1474</v>
      </c>
      <c r="E829" t="s">
        <v>2464</v>
      </c>
      <c r="F829" t="s">
        <v>2463</v>
      </c>
      <c r="G829" t="b">
        <v>1</v>
      </c>
    </row>
    <row r="830" spans="1:8" x14ac:dyDescent="0.25">
      <c r="A830">
        <v>660</v>
      </c>
      <c r="B830" t="s">
        <v>796</v>
      </c>
      <c r="C830" t="s">
        <v>136</v>
      </c>
      <c r="D830" t="s">
        <v>1474</v>
      </c>
      <c r="E830" t="s">
        <v>2465</v>
      </c>
      <c r="F830" t="s">
        <v>2463</v>
      </c>
      <c r="G830" t="b">
        <v>1</v>
      </c>
    </row>
    <row r="831" spans="1:8" x14ac:dyDescent="0.25">
      <c r="A831">
        <v>661</v>
      </c>
      <c r="B831" t="s">
        <v>797</v>
      </c>
      <c r="C831" t="s">
        <v>136</v>
      </c>
      <c r="D831" t="s">
        <v>1476</v>
      </c>
      <c r="E831" t="s">
        <v>2466</v>
      </c>
      <c r="F831" t="s">
        <v>2463</v>
      </c>
      <c r="G831" t="b">
        <v>1</v>
      </c>
    </row>
    <row r="832" spans="1:8" x14ac:dyDescent="0.25">
      <c r="A832">
        <v>662</v>
      </c>
      <c r="B832" t="s">
        <v>798</v>
      </c>
      <c r="C832" t="s">
        <v>136</v>
      </c>
      <c r="D832" t="s">
        <v>1474</v>
      </c>
      <c r="E832" t="s">
        <v>2467</v>
      </c>
      <c r="F832" t="s">
        <v>2468</v>
      </c>
      <c r="G832" t="b">
        <v>1</v>
      </c>
    </row>
    <row r="833" spans="1:7" x14ac:dyDescent="0.25">
      <c r="A833">
        <v>663</v>
      </c>
      <c r="B833" t="s">
        <v>799</v>
      </c>
      <c r="C833" t="s">
        <v>138</v>
      </c>
      <c r="D833" t="s">
        <v>1471</v>
      </c>
      <c r="E833" t="s">
        <v>2469</v>
      </c>
      <c r="F833" t="s">
        <v>2470</v>
      </c>
      <c r="G833" t="b">
        <v>1</v>
      </c>
    </row>
    <row r="834" spans="1:7" x14ac:dyDescent="0.25">
      <c r="A834">
        <v>664</v>
      </c>
      <c r="B834" t="s">
        <v>800</v>
      </c>
      <c r="C834" t="s">
        <v>138</v>
      </c>
      <c r="D834" t="s">
        <v>1471</v>
      </c>
      <c r="E834" t="s">
        <v>2471</v>
      </c>
      <c r="F834" t="s">
        <v>2472</v>
      </c>
      <c r="G834" t="b">
        <v>1</v>
      </c>
    </row>
    <row r="835" spans="1:7" x14ac:dyDescent="0.25">
      <c r="A835">
        <v>665</v>
      </c>
      <c r="B835" t="s">
        <v>801</v>
      </c>
      <c r="C835" t="s">
        <v>138</v>
      </c>
      <c r="D835" t="s">
        <v>1471</v>
      </c>
      <c r="E835" t="s">
        <v>2473</v>
      </c>
      <c r="F835" t="s">
        <v>2474</v>
      </c>
      <c r="G835" t="b">
        <v>1</v>
      </c>
    </row>
    <row r="836" spans="1:7" x14ac:dyDescent="0.25">
      <c r="A836">
        <v>666</v>
      </c>
      <c r="B836" t="s">
        <v>802</v>
      </c>
      <c r="C836" t="s">
        <v>136</v>
      </c>
      <c r="D836" t="s">
        <v>1474</v>
      </c>
      <c r="E836" t="s">
        <v>2475</v>
      </c>
      <c r="F836" t="s">
        <v>2476</v>
      </c>
      <c r="G836" t="b">
        <v>1</v>
      </c>
    </row>
    <row r="837" spans="1:7" x14ac:dyDescent="0.25">
      <c r="A837">
        <v>667</v>
      </c>
      <c r="B837" t="s">
        <v>803</v>
      </c>
      <c r="C837" t="s">
        <v>136</v>
      </c>
      <c r="D837" t="s">
        <v>1476</v>
      </c>
      <c r="E837" t="s">
        <v>2477</v>
      </c>
      <c r="F837" t="s">
        <v>2476</v>
      </c>
      <c r="G837" t="b">
        <v>1</v>
      </c>
    </row>
    <row r="838" spans="1:7" x14ac:dyDescent="0.25">
      <c r="A838">
        <v>668</v>
      </c>
      <c r="B838" t="s">
        <v>804</v>
      </c>
      <c r="C838" t="s">
        <v>136</v>
      </c>
      <c r="D838" t="s">
        <v>1474</v>
      </c>
      <c r="E838" t="s">
        <v>2478</v>
      </c>
      <c r="F838" t="s">
        <v>2479</v>
      </c>
      <c r="G838" t="b">
        <v>1</v>
      </c>
    </row>
    <row r="839" spans="1:7" x14ac:dyDescent="0.25">
      <c r="A839">
        <v>669</v>
      </c>
      <c r="B839" t="s">
        <v>805</v>
      </c>
      <c r="C839" t="s">
        <v>138</v>
      </c>
      <c r="D839" t="s">
        <v>1471</v>
      </c>
      <c r="E839" t="s">
        <v>2480</v>
      </c>
      <c r="F839" t="s">
        <v>2481</v>
      </c>
      <c r="G839" t="b">
        <v>1</v>
      </c>
    </row>
    <row r="840" spans="1:7" x14ac:dyDescent="0.25">
      <c r="A840">
        <v>670</v>
      </c>
      <c r="B840" t="s">
        <v>806</v>
      </c>
      <c r="C840" t="s">
        <v>138</v>
      </c>
      <c r="D840" t="s">
        <v>1471</v>
      </c>
      <c r="E840" t="s">
        <v>1923</v>
      </c>
      <c r="F840" t="s">
        <v>2482</v>
      </c>
      <c r="G840" t="b">
        <v>1</v>
      </c>
    </row>
    <row r="841" spans="1:7" x14ac:dyDescent="0.25">
      <c r="A841">
        <v>671</v>
      </c>
      <c r="B841" t="s">
        <v>807</v>
      </c>
      <c r="C841" t="s">
        <v>138</v>
      </c>
      <c r="D841" t="s">
        <v>1471</v>
      </c>
      <c r="E841" t="s">
        <v>2483</v>
      </c>
      <c r="F841" t="s">
        <v>2484</v>
      </c>
      <c r="G841" t="b">
        <v>1</v>
      </c>
    </row>
    <row r="842" spans="1:7" x14ac:dyDescent="0.25">
      <c r="A842">
        <v>672</v>
      </c>
      <c r="B842" t="s">
        <v>808</v>
      </c>
      <c r="C842" t="s">
        <v>138</v>
      </c>
      <c r="D842" t="s">
        <v>1471</v>
      </c>
      <c r="E842" t="s">
        <v>2485</v>
      </c>
      <c r="F842" t="s">
        <v>2486</v>
      </c>
      <c r="G842" t="b">
        <v>1</v>
      </c>
    </row>
    <row r="843" spans="1:7" x14ac:dyDescent="0.25">
      <c r="A843">
        <v>673</v>
      </c>
      <c r="B843" t="s">
        <v>809</v>
      </c>
      <c r="C843" t="s">
        <v>138</v>
      </c>
      <c r="D843" t="s">
        <v>1475</v>
      </c>
      <c r="E843" t="s">
        <v>2487</v>
      </c>
      <c r="F843" t="s">
        <v>2488</v>
      </c>
      <c r="G843" t="b">
        <v>1</v>
      </c>
    </row>
    <row r="844" spans="1:7" x14ac:dyDescent="0.25">
      <c r="A844">
        <v>674</v>
      </c>
      <c r="B844" t="s">
        <v>810</v>
      </c>
      <c r="C844" t="s">
        <v>138</v>
      </c>
      <c r="D844" t="s">
        <v>1471</v>
      </c>
      <c r="E844" t="s">
        <v>2489</v>
      </c>
      <c r="F844" t="s">
        <v>2488</v>
      </c>
      <c r="G844" t="b">
        <v>1</v>
      </c>
    </row>
    <row r="845" spans="1:7" x14ac:dyDescent="0.25">
      <c r="A845">
        <v>675</v>
      </c>
      <c r="B845" t="s">
        <v>811</v>
      </c>
      <c r="C845" t="s">
        <v>138</v>
      </c>
      <c r="D845" t="s">
        <v>1471</v>
      </c>
      <c r="E845" t="s">
        <v>2490</v>
      </c>
      <c r="F845" t="s">
        <v>2491</v>
      </c>
      <c r="G845" t="b">
        <v>1</v>
      </c>
    </row>
    <row r="846" spans="1:7" x14ac:dyDescent="0.25">
      <c r="A846">
        <v>676</v>
      </c>
      <c r="B846" t="s">
        <v>812</v>
      </c>
      <c r="C846" t="s">
        <v>138</v>
      </c>
      <c r="D846" t="s">
        <v>1471</v>
      </c>
      <c r="E846" t="s">
        <v>2492</v>
      </c>
      <c r="F846" t="s">
        <v>2493</v>
      </c>
      <c r="G846" t="b">
        <v>1</v>
      </c>
    </row>
    <row r="847" spans="1:7" x14ac:dyDescent="0.25">
      <c r="A847">
        <v>677</v>
      </c>
      <c r="B847" t="s">
        <v>813</v>
      </c>
      <c r="C847" t="s">
        <v>138</v>
      </c>
      <c r="D847" t="s">
        <v>1471</v>
      </c>
      <c r="E847" t="s">
        <v>2494</v>
      </c>
      <c r="F847" t="s">
        <v>2495</v>
      </c>
      <c r="G847" t="b">
        <v>1</v>
      </c>
    </row>
    <row r="848" spans="1:7" x14ac:dyDescent="0.25">
      <c r="A848">
        <v>678</v>
      </c>
      <c r="B848" t="s">
        <v>814</v>
      </c>
      <c r="C848" t="s">
        <v>138</v>
      </c>
      <c r="D848" t="s">
        <v>1471</v>
      </c>
      <c r="E848" t="s">
        <v>2496</v>
      </c>
      <c r="F848" t="s">
        <v>2497</v>
      </c>
      <c r="G848" t="b">
        <v>1</v>
      </c>
    </row>
    <row r="849" spans="1:8" x14ac:dyDescent="0.25">
      <c r="A849">
        <v>679</v>
      </c>
      <c r="B849" t="s">
        <v>815</v>
      </c>
      <c r="C849" t="s">
        <v>138</v>
      </c>
      <c r="D849" t="s">
        <v>1475</v>
      </c>
      <c r="E849" t="s">
        <v>2498</v>
      </c>
      <c r="F849" t="s">
        <v>2499</v>
      </c>
      <c r="G849" t="b">
        <v>1</v>
      </c>
    </row>
    <row r="850" spans="1:8" x14ac:dyDescent="0.25">
      <c r="A850">
        <v>680</v>
      </c>
      <c r="B850" t="s">
        <v>816</v>
      </c>
      <c r="C850" t="s">
        <v>136</v>
      </c>
      <c r="D850" t="s">
        <v>1474</v>
      </c>
      <c r="E850" t="s">
        <v>2500</v>
      </c>
      <c r="F850" t="s">
        <v>2499</v>
      </c>
      <c r="G850" t="b">
        <v>1</v>
      </c>
    </row>
    <row r="851" spans="1:8" x14ac:dyDescent="0.25">
      <c r="A851">
        <v>681</v>
      </c>
      <c r="B851" t="s">
        <v>817</v>
      </c>
      <c r="C851" t="s">
        <v>138</v>
      </c>
      <c r="D851" t="s">
        <v>1471</v>
      </c>
      <c r="E851" t="s">
        <v>2501</v>
      </c>
      <c r="F851" t="s">
        <v>2499</v>
      </c>
      <c r="G851" t="b">
        <v>1</v>
      </c>
    </row>
    <row r="852" spans="1:8" x14ac:dyDescent="0.25">
      <c r="A852">
        <v>682</v>
      </c>
      <c r="B852" t="s">
        <v>818</v>
      </c>
      <c r="C852" t="s">
        <v>136</v>
      </c>
      <c r="D852" t="s">
        <v>1476</v>
      </c>
      <c r="E852" t="s">
        <v>3350</v>
      </c>
      <c r="F852" t="s">
        <v>2499</v>
      </c>
      <c r="G852" t="b">
        <v>1</v>
      </c>
      <c r="H852" t="b">
        <v>1</v>
      </c>
    </row>
    <row r="853" spans="1:8" x14ac:dyDescent="0.25">
      <c r="A853">
        <v>683</v>
      </c>
      <c r="B853" t="s">
        <v>819</v>
      </c>
      <c r="C853" t="s">
        <v>136</v>
      </c>
      <c r="D853" t="s">
        <v>1474</v>
      </c>
      <c r="E853" t="s">
        <v>1660</v>
      </c>
      <c r="F853" t="s">
        <v>2502</v>
      </c>
      <c r="G853" t="b">
        <v>1</v>
      </c>
    </row>
    <row r="854" spans="1:8" x14ac:dyDescent="0.25">
      <c r="A854">
        <v>684</v>
      </c>
      <c r="B854" t="s">
        <v>820</v>
      </c>
      <c r="C854" t="s">
        <v>138</v>
      </c>
      <c r="D854" t="s">
        <v>1471</v>
      </c>
      <c r="E854" t="s">
        <v>1646</v>
      </c>
      <c r="F854" t="s">
        <v>2502</v>
      </c>
      <c r="G854" t="b">
        <v>1</v>
      </c>
    </row>
    <row r="855" spans="1:8" x14ac:dyDescent="0.25">
      <c r="A855">
        <v>685</v>
      </c>
      <c r="B855" t="s">
        <v>821</v>
      </c>
      <c r="C855" t="s">
        <v>136</v>
      </c>
      <c r="D855" t="s">
        <v>1476</v>
      </c>
      <c r="E855" t="s">
        <v>2477</v>
      </c>
      <c r="F855" t="s">
        <v>2502</v>
      </c>
      <c r="G855" t="b">
        <v>1</v>
      </c>
      <c r="H855" t="b">
        <v>1</v>
      </c>
    </row>
    <row r="856" spans="1:8" x14ac:dyDescent="0.25">
      <c r="A856">
        <v>686</v>
      </c>
      <c r="B856" t="s">
        <v>822</v>
      </c>
      <c r="C856" t="s">
        <v>138</v>
      </c>
      <c r="D856" t="s">
        <v>1471</v>
      </c>
      <c r="E856" t="s">
        <v>2480</v>
      </c>
      <c r="F856" t="s">
        <v>1533</v>
      </c>
      <c r="G856" t="b">
        <v>1</v>
      </c>
      <c r="H856" t="b">
        <v>1</v>
      </c>
    </row>
    <row r="857" spans="1:8" x14ac:dyDescent="0.25">
      <c r="A857">
        <v>687</v>
      </c>
      <c r="B857" t="s">
        <v>823</v>
      </c>
      <c r="C857" t="s">
        <v>136</v>
      </c>
      <c r="D857" t="s">
        <v>1474</v>
      </c>
      <c r="E857" t="s">
        <v>2503</v>
      </c>
      <c r="F857" t="s">
        <v>1473</v>
      </c>
      <c r="G857" t="b">
        <v>1</v>
      </c>
    </row>
    <row r="858" spans="1:8" x14ac:dyDescent="0.25">
      <c r="A858">
        <v>688</v>
      </c>
      <c r="B858" t="s">
        <v>824</v>
      </c>
      <c r="C858" t="s">
        <v>136</v>
      </c>
      <c r="D858" t="s">
        <v>1474</v>
      </c>
      <c r="E858" t="s">
        <v>2504</v>
      </c>
      <c r="F858" t="s">
        <v>2505</v>
      </c>
      <c r="G858" t="b">
        <v>1</v>
      </c>
    </row>
    <row r="859" spans="1:8" x14ac:dyDescent="0.25">
      <c r="A859">
        <v>689</v>
      </c>
      <c r="B859" t="s">
        <v>825</v>
      </c>
      <c r="C859" t="s">
        <v>138</v>
      </c>
      <c r="D859" t="s">
        <v>1471</v>
      </c>
      <c r="E859" t="s">
        <v>2506</v>
      </c>
      <c r="F859" t="s">
        <v>2507</v>
      </c>
      <c r="G859" t="b">
        <v>1</v>
      </c>
    </row>
    <row r="860" spans="1:8" x14ac:dyDescent="0.25">
      <c r="A860">
        <v>690</v>
      </c>
      <c r="B860" t="s">
        <v>826</v>
      </c>
      <c r="C860" t="s">
        <v>138</v>
      </c>
      <c r="D860" t="s">
        <v>1471</v>
      </c>
      <c r="E860" t="s">
        <v>2508</v>
      </c>
      <c r="F860" t="s">
        <v>2507</v>
      </c>
      <c r="G860" t="b">
        <v>1</v>
      </c>
    </row>
    <row r="861" spans="1:8" x14ac:dyDescent="0.25">
      <c r="A861">
        <v>691</v>
      </c>
      <c r="B861" t="s">
        <v>827</v>
      </c>
      <c r="C861" t="s">
        <v>138</v>
      </c>
      <c r="D861" t="s">
        <v>1471</v>
      </c>
      <c r="E861" t="s">
        <v>2509</v>
      </c>
      <c r="F861" t="s">
        <v>2510</v>
      </c>
      <c r="G861" t="b">
        <v>1</v>
      </c>
    </row>
    <row r="862" spans="1:8" x14ac:dyDescent="0.25">
      <c r="A862">
        <v>692</v>
      </c>
      <c r="B862" t="s">
        <v>828</v>
      </c>
      <c r="C862" t="s">
        <v>138</v>
      </c>
      <c r="D862" t="s">
        <v>1471</v>
      </c>
      <c r="E862" t="s">
        <v>2511</v>
      </c>
      <c r="F862" t="s">
        <v>2512</v>
      </c>
      <c r="G862" t="b">
        <v>1</v>
      </c>
    </row>
    <row r="863" spans="1:8" x14ac:dyDescent="0.25">
      <c r="A863">
        <v>693</v>
      </c>
      <c r="B863" t="s">
        <v>829</v>
      </c>
      <c r="C863" t="s">
        <v>136</v>
      </c>
      <c r="D863" t="s">
        <v>1474</v>
      </c>
      <c r="E863" t="s">
        <v>2513</v>
      </c>
      <c r="F863" t="s">
        <v>2514</v>
      </c>
      <c r="G863" t="b">
        <v>1</v>
      </c>
    </row>
    <row r="864" spans="1:8" x14ac:dyDescent="0.25">
      <c r="A864">
        <v>694</v>
      </c>
      <c r="B864" t="s">
        <v>830</v>
      </c>
      <c r="C864" t="s">
        <v>138</v>
      </c>
      <c r="D864" t="s">
        <v>1471</v>
      </c>
      <c r="E864" t="s">
        <v>1617</v>
      </c>
      <c r="F864" t="s">
        <v>2514</v>
      </c>
      <c r="G864" t="b">
        <v>1</v>
      </c>
    </row>
    <row r="865" spans="1:8" x14ac:dyDescent="0.25">
      <c r="A865">
        <v>695</v>
      </c>
      <c r="B865" t="s">
        <v>831</v>
      </c>
      <c r="C865" t="s">
        <v>138</v>
      </c>
      <c r="D865" t="s">
        <v>1471</v>
      </c>
      <c r="E865" t="s">
        <v>2515</v>
      </c>
      <c r="F865" t="s">
        <v>2516</v>
      </c>
      <c r="G865" t="b">
        <v>1</v>
      </c>
    </row>
    <row r="866" spans="1:8" x14ac:dyDescent="0.25">
      <c r="A866">
        <v>696</v>
      </c>
      <c r="B866" t="s">
        <v>832</v>
      </c>
      <c r="C866" t="s">
        <v>136</v>
      </c>
      <c r="D866" t="s">
        <v>1474</v>
      </c>
      <c r="E866" t="s">
        <v>2517</v>
      </c>
      <c r="F866" t="s">
        <v>1548</v>
      </c>
      <c r="G866" t="b">
        <v>1</v>
      </c>
    </row>
    <row r="867" spans="1:8" x14ac:dyDescent="0.25">
      <c r="A867">
        <v>697</v>
      </c>
      <c r="B867" t="s">
        <v>833</v>
      </c>
      <c r="C867" t="s">
        <v>136</v>
      </c>
      <c r="D867" t="s">
        <v>1474</v>
      </c>
      <c r="E867" t="s">
        <v>2518</v>
      </c>
      <c r="F867" t="s">
        <v>2519</v>
      </c>
      <c r="G867" t="b">
        <v>1</v>
      </c>
    </row>
    <row r="868" spans="1:8" x14ac:dyDescent="0.25">
      <c r="A868">
        <v>698</v>
      </c>
      <c r="B868" t="s">
        <v>834</v>
      </c>
      <c r="C868" t="s">
        <v>136</v>
      </c>
      <c r="D868" t="s">
        <v>1474</v>
      </c>
      <c r="E868" t="s">
        <v>2520</v>
      </c>
      <c r="F868" t="s">
        <v>2519</v>
      </c>
      <c r="G868" t="b">
        <v>1</v>
      </c>
    </row>
    <row r="869" spans="1:8" x14ac:dyDescent="0.25">
      <c r="A869">
        <v>699</v>
      </c>
      <c r="B869" t="s">
        <v>835</v>
      </c>
      <c r="C869" t="s">
        <v>138</v>
      </c>
      <c r="D869" t="s">
        <v>1471</v>
      </c>
      <c r="E869" t="s">
        <v>2521</v>
      </c>
      <c r="F869" t="s">
        <v>2519</v>
      </c>
      <c r="G869" t="b">
        <v>1</v>
      </c>
    </row>
    <row r="870" spans="1:8" x14ac:dyDescent="0.25">
      <c r="A870">
        <v>700</v>
      </c>
      <c r="B870" t="s">
        <v>836</v>
      </c>
      <c r="C870" t="s">
        <v>138</v>
      </c>
      <c r="D870" t="s">
        <v>1471</v>
      </c>
      <c r="E870" t="s">
        <v>2522</v>
      </c>
      <c r="F870" t="s">
        <v>2519</v>
      </c>
      <c r="G870" t="b">
        <v>1</v>
      </c>
    </row>
    <row r="871" spans="1:8" x14ac:dyDescent="0.25">
      <c r="A871">
        <v>701</v>
      </c>
      <c r="B871" t="s">
        <v>837</v>
      </c>
      <c r="C871" t="s">
        <v>138</v>
      </c>
      <c r="D871" t="s">
        <v>1471</v>
      </c>
      <c r="E871" t="s">
        <v>2523</v>
      </c>
      <c r="F871" t="s">
        <v>2524</v>
      </c>
      <c r="G871" t="b">
        <v>1</v>
      </c>
    </row>
    <row r="872" spans="1:8" x14ac:dyDescent="0.25">
      <c r="A872">
        <v>702</v>
      </c>
      <c r="B872" t="s">
        <v>838</v>
      </c>
      <c r="C872" t="s">
        <v>138</v>
      </c>
      <c r="D872" t="s">
        <v>1471</v>
      </c>
      <c r="E872" t="s">
        <v>2525</v>
      </c>
      <c r="F872" t="s">
        <v>2524</v>
      </c>
      <c r="G872" t="b">
        <v>1</v>
      </c>
    </row>
    <row r="873" spans="1:8" x14ac:dyDescent="0.25">
      <c r="A873">
        <v>703</v>
      </c>
      <c r="B873" t="s">
        <v>839</v>
      </c>
      <c r="C873" t="s">
        <v>136</v>
      </c>
      <c r="D873" t="s">
        <v>1474</v>
      </c>
      <c r="E873" t="s">
        <v>1660</v>
      </c>
      <c r="F873" t="s">
        <v>2526</v>
      </c>
      <c r="G873" t="b">
        <v>1</v>
      </c>
    </row>
    <row r="874" spans="1:8" x14ac:dyDescent="0.25">
      <c r="A874">
        <v>704</v>
      </c>
      <c r="B874" t="s">
        <v>840</v>
      </c>
      <c r="C874" t="s">
        <v>138</v>
      </c>
      <c r="D874" t="s">
        <v>1471</v>
      </c>
      <c r="E874" t="s">
        <v>2527</v>
      </c>
      <c r="F874" t="s">
        <v>2526</v>
      </c>
      <c r="G874" t="b">
        <v>1</v>
      </c>
    </row>
    <row r="875" spans="1:8" x14ac:dyDescent="0.25">
      <c r="A875">
        <v>705</v>
      </c>
      <c r="B875" t="s">
        <v>841</v>
      </c>
      <c r="C875" t="s">
        <v>138</v>
      </c>
      <c r="D875" t="s">
        <v>1471</v>
      </c>
      <c r="E875" t="s">
        <v>2528</v>
      </c>
      <c r="F875" t="s">
        <v>2529</v>
      </c>
      <c r="G875" t="b">
        <v>1</v>
      </c>
    </row>
    <row r="876" spans="1:8" x14ac:dyDescent="0.25">
      <c r="A876">
        <v>706</v>
      </c>
      <c r="B876" t="s">
        <v>842</v>
      </c>
      <c r="C876" t="s">
        <v>138</v>
      </c>
      <c r="D876" t="s">
        <v>1471</v>
      </c>
      <c r="E876" t="s">
        <v>2530</v>
      </c>
      <c r="F876" t="s">
        <v>2531</v>
      </c>
      <c r="G876" t="b">
        <v>1</v>
      </c>
    </row>
    <row r="877" spans="1:8" x14ac:dyDescent="0.25">
      <c r="A877">
        <v>707</v>
      </c>
      <c r="B877" t="s">
        <v>843</v>
      </c>
      <c r="C877" t="s">
        <v>136</v>
      </c>
      <c r="D877" t="s">
        <v>1476</v>
      </c>
      <c r="E877" t="s">
        <v>2532</v>
      </c>
      <c r="F877" t="s">
        <v>2531</v>
      </c>
      <c r="G877" t="b">
        <v>1</v>
      </c>
    </row>
    <row r="878" spans="1:8" x14ac:dyDescent="0.25">
      <c r="A878">
        <v>708</v>
      </c>
      <c r="B878" t="s">
        <v>844</v>
      </c>
      <c r="C878" t="s">
        <v>138</v>
      </c>
      <c r="D878" t="s">
        <v>1471</v>
      </c>
      <c r="E878" t="s">
        <v>2533</v>
      </c>
      <c r="F878" t="s">
        <v>1561</v>
      </c>
      <c r="G878" t="b">
        <v>1</v>
      </c>
    </row>
    <row r="879" spans="1:8" x14ac:dyDescent="0.25">
      <c r="A879">
        <v>709</v>
      </c>
      <c r="B879" t="s">
        <v>845</v>
      </c>
      <c r="C879" t="s">
        <v>138</v>
      </c>
      <c r="D879" t="s">
        <v>1471</v>
      </c>
      <c r="E879" t="s">
        <v>2534</v>
      </c>
      <c r="F879" t="s">
        <v>1561</v>
      </c>
      <c r="G879" t="b">
        <v>1</v>
      </c>
    </row>
    <row r="880" spans="1:8" x14ac:dyDescent="0.25">
      <c r="A880">
        <v>710</v>
      </c>
      <c r="B880" t="s">
        <v>846</v>
      </c>
      <c r="C880" t="s">
        <v>136</v>
      </c>
      <c r="D880" t="s">
        <v>1474</v>
      </c>
      <c r="E880" t="s">
        <v>1518</v>
      </c>
      <c r="F880" t="s">
        <v>2535</v>
      </c>
      <c r="G880" t="b">
        <v>1</v>
      </c>
      <c r="H880" t="b">
        <v>1</v>
      </c>
    </row>
    <row r="881" spans="1:8" x14ac:dyDescent="0.25">
      <c r="A881">
        <v>711</v>
      </c>
      <c r="B881" t="s">
        <v>847</v>
      </c>
      <c r="C881" t="s">
        <v>136</v>
      </c>
      <c r="D881" t="s">
        <v>1474</v>
      </c>
      <c r="E881" t="s">
        <v>2536</v>
      </c>
      <c r="F881" t="s">
        <v>2535</v>
      </c>
      <c r="G881" t="b">
        <v>1</v>
      </c>
    </row>
    <row r="882" spans="1:8" x14ac:dyDescent="0.25">
      <c r="A882">
        <v>712</v>
      </c>
      <c r="B882" t="s">
        <v>848</v>
      </c>
      <c r="C882" t="s">
        <v>138</v>
      </c>
      <c r="D882" t="s">
        <v>1471</v>
      </c>
      <c r="E882" t="s">
        <v>2537</v>
      </c>
      <c r="F882" t="s">
        <v>2538</v>
      </c>
      <c r="G882" t="b">
        <v>1</v>
      </c>
    </row>
    <row r="883" spans="1:8" x14ac:dyDescent="0.25">
      <c r="A883">
        <v>713</v>
      </c>
      <c r="B883" t="s">
        <v>849</v>
      </c>
      <c r="C883" t="s">
        <v>138</v>
      </c>
      <c r="D883" t="s">
        <v>1471</v>
      </c>
      <c r="E883" t="s">
        <v>2539</v>
      </c>
      <c r="F883" t="s">
        <v>2540</v>
      </c>
      <c r="G883" t="b">
        <v>1</v>
      </c>
    </row>
    <row r="884" spans="1:8" x14ac:dyDescent="0.25">
      <c r="A884">
        <v>714</v>
      </c>
      <c r="B884" t="s">
        <v>850</v>
      </c>
      <c r="C884" t="s">
        <v>138</v>
      </c>
      <c r="D884" t="s">
        <v>1471</v>
      </c>
      <c r="E884" t="s">
        <v>2297</v>
      </c>
      <c r="F884" t="s">
        <v>2541</v>
      </c>
      <c r="G884" t="b">
        <v>1</v>
      </c>
    </row>
    <row r="885" spans="1:8" x14ac:dyDescent="0.25">
      <c r="A885">
        <v>715</v>
      </c>
      <c r="B885" t="s">
        <v>851</v>
      </c>
      <c r="C885" t="s">
        <v>138</v>
      </c>
      <c r="D885" t="s">
        <v>1471</v>
      </c>
      <c r="E885" t="s">
        <v>2542</v>
      </c>
      <c r="F885" t="s">
        <v>2543</v>
      </c>
      <c r="G885" t="b">
        <v>1</v>
      </c>
    </row>
    <row r="886" spans="1:8" x14ac:dyDescent="0.25">
      <c r="A886">
        <v>716</v>
      </c>
      <c r="B886" t="s">
        <v>852</v>
      </c>
      <c r="C886" t="s">
        <v>138</v>
      </c>
      <c r="D886" t="s">
        <v>1471</v>
      </c>
      <c r="E886" t="s">
        <v>1538</v>
      </c>
      <c r="F886" t="s">
        <v>2544</v>
      </c>
      <c r="G886" t="b">
        <v>1</v>
      </c>
    </row>
    <row r="887" spans="1:8" x14ac:dyDescent="0.25">
      <c r="A887">
        <v>717</v>
      </c>
      <c r="B887" t="s">
        <v>853</v>
      </c>
      <c r="C887" t="s">
        <v>138</v>
      </c>
      <c r="D887" t="s">
        <v>1471</v>
      </c>
      <c r="E887" t="s">
        <v>2545</v>
      </c>
      <c r="F887" t="s">
        <v>2546</v>
      </c>
      <c r="G887" t="b">
        <v>1</v>
      </c>
    </row>
    <row r="888" spans="1:8" x14ac:dyDescent="0.25">
      <c r="A888">
        <v>718</v>
      </c>
      <c r="B888" t="s">
        <v>854</v>
      </c>
      <c r="C888" t="s">
        <v>138</v>
      </c>
      <c r="D888" t="s">
        <v>1471</v>
      </c>
      <c r="E888" t="s">
        <v>2547</v>
      </c>
      <c r="F888" t="s">
        <v>2546</v>
      </c>
      <c r="G888" t="b">
        <v>1</v>
      </c>
    </row>
    <row r="889" spans="1:8" x14ac:dyDescent="0.25">
      <c r="A889">
        <v>719</v>
      </c>
      <c r="B889" t="s">
        <v>855</v>
      </c>
      <c r="C889" t="s">
        <v>138</v>
      </c>
      <c r="D889" t="s">
        <v>1471</v>
      </c>
      <c r="E889" t="s">
        <v>2548</v>
      </c>
      <c r="F889" t="s">
        <v>2549</v>
      </c>
      <c r="G889" t="b">
        <v>1</v>
      </c>
    </row>
    <row r="890" spans="1:8" x14ac:dyDescent="0.25">
      <c r="A890">
        <v>720</v>
      </c>
      <c r="B890" t="s">
        <v>856</v>
      </c>
      <c r="C890" t="s">
        <v>138</v>
      </c>
      <c r="D890" t="s">
        <v>1471</v>
      </c>
      <c r="E890" t="s">
        <v>3376</v>
      </c>
      <c r="F890" t="s">
        <v>2550</v>
      </c>
      <c r="G890" t="b">
        <v>1</v>
      </c>
      <c r="H890" t="b">
        <v>1</v>
      </c>
    </row>
    <row r="891" spans="1:8" x14ac:dyDescent="0.25">
      <c r="A891">
        <v>721</v>
      </c>
      <c r="B891" t="s">
        <v>857</v>
      </c>
      <c r="C891" t="s">
        <v>138</v>
      </c>
      <c r="D891" t="s">
        <v>1471</v>
      </c>
      <c r="E891" t="s">
        <v>2527</v>
      </c>
      <c r="F891" t="s">
        <v>2551</v>
      </c>
      <c r="G891" t="b">
        <v>1</v>
      </c>
    </row>
    <row r="892" spans="1:8" x14ac:dyDescent="0.25">
      <c r="A892">
        <v>722</v>
      </c>
      <c r="B892" t="s">
        <v>858</v>
      </c>
      <c r="C892" t="s">
        <v>138</v>
      </c>
      <c r="D892" t="s">
        <v>1471</v>
      </c>
      <c r="E892" t="s">
        <v>2552</v>
      </c>
      <c r="F892" t="s">
        <v>2553</v>
      </c>
      <c r="G892" t="b">
        <v>1</v>
      </c>
    </row>
    <row r="893" spans="1:8" x14ac:dyDescent="0.25">
      <c r="A893">
        <v>723</v>
      </c>
      <c r="B893" t="s">
        <v>859</v>
      </c>
      <c r="C893" t="s">
        <v>138</v>
      </c>
      <c r="D893" t="s">
        <v>1471</v>
      </c>
      <c r="E893" t="s">
        <v>2554</v>
      </c>
      <c r="F893" t="s">
        <v>2553</v>
      </c>
      <c r="G893" t="b">
        <v>1</v>
      </c>
    </row>
    <row r="894" spans="1:8" x14ac:dyDescent="0.25">
      <c r="A894">
        <v>724</v>
      </c>
      <c r="B894" t="s">
        <v>860</v>
      </c>
      <c r="C894" t="s">
        <v>138</v>
      </c>
      <c r="D894" t="s">
        <v>1471</v>
      </c>
      <c r="E894" t="s">
        <v>2555</v>
      </c>
      <c r="F894" t="s">
        <v>2556</v>
      </c>
      <c r="G894" t="b">
        <v>1</v>
      </c>
    </row>
    <row r="895" spans="1:8" x14ac:dyDescent="0.25">
      <c r="A895">
        <v>725</v>
      </c>
      <c r="B895" t="s">
        <v>861</v>
      </c>
      <c r="C895" t="s">
        <v>138</v>
      </c>
      <c r="D895" t="s">
        <v>1471</v>
      </c>
      <c r="E895" t="s">
        <v>2557</v>
      </c>
      <c r="F895" t="s">
        <v>2558</v>
      </c>
      <c r="G895" t="b">
        <v>1</v>
      </c>
    </row>
    <row r="896" spans="1:8" x14ac:dyDescent="0.25">
      <c r="A896">
        <v>726</v>
      </c>
      <c r="B896" t="s">
        <v>862</v>
      </c>
      <c r="C896" t="s">
        <v>136</v>
      </c>
      <c r="D896" t="s">
        <v>1474</v>
      </c>
      <c r="E896" t="s">
        <v>2036</v>
      </c>
      <c r="F896" t="s">
        <v>2559</v>
      </c>
      <c r="G896" t="b">
        <v>1</v>
      </c>
    </row>
    <row r="897" spans="1:8" x14ac:dyDescent="0.25">
      <c r="A897">
        <v>727</v>
      </c>
      <c r="B897" t="s">
        <v>862</v>
      </c>
      <c r="C897" t="s">
        <v>136</v>
      </c>
      <c r="D897" t="s">
        <v>1474</v>
      </c>
      <c r="E897" t="s">
        <v>2036</v>
      </c>
      <c r="F897" t="s">
        <v>2559</v>
      </c>
      <c r="G897" t="b">
        <v>1</v>
      </c>
    </row>
    <row r="898" spans="1:8" x14ac:dyDescent="0.25">
      <c r="A898">
        <v>728</v>
      </c>
      <c r="B898" t="s">
        <v>863</v>
      </c>
      <c r="C898" t="s">
        <v>138</v>
      </c>
      <c r="D898" t="s">
        <v>1471</v>
      </c>
      <c r="E898" t="s">
        <v>2527</v>
      </c>
      <c r="F898" t="s">
        <v>2560</v>
      </c>
      <c r="G898" t="b">
        <v>1</v>
      </c>
    </row>
    <row r="899" spans="1:8" x14ac:dyDescent="0.25">
      <c r="A899">
        <v>729</v>
      </c>
      <c r="B899" t="s">
        <v>864</v>
      </c>
      <c r="C899" t="s">
        <v>138</v>
      </c>
      <c r="D899" t="s">
        <v>1471</v>
      </c>
      <c r="E899" t="s">
        <v>2561</v>
      </c>
      <c r="F899" t="s">
        <v>2071</v>
      </c>
      <c r="G899" t="b">
        <v>1</v>
      </c>
    </row>
    <row r="900" spans="1:8" x14ac:dyDescent="0.25">
      <c r="A900">
        <v>730</v>
      </c>
      <c r="B900" t="s">
        <v>865</v>
      </c>
      <c r="C900" t="s">
        <v>138</v>
      </c>
      <c r="D900" t="s">
        <v>1471</v>
      </c>
      <c r="E900" t="s">
        <v>2562</v>
      </c>
      <c r="F900" t="s">
        <v>2563</v>
      </c>
      <c r="G900" t="b">
        <v>1</v>
      </c>
    </row>
    <row r="901" spans="1:8" x14ac:dyDescent="0.25">
      <c r="A901">
        <v>731</v>
      </c>
      <c r="B901" t="s">
        <v>866</v>
      </c>
      <c r="C901" t="s">
        <v>138</v>
      </c>
      <c r="D901" t="s">
        <v>1471</v>
      </c>
      <c r="E901" t="s">
        <v>2564</v>
      </c>
      <c r="F901" t="s">
        <v>2563</v>
      </c>
      <c r="G901" t="b">
        <v>1</v>
      </c>
    </row>
    <row r="902" spans="1:8" x14ac:dyDescent="0.25">
      <c r="A902">
        <v>732</v>
      </c>
      <c r="B902" t="s">
        <v>867</v>
      </c>
      <c r="C902" t="s">
        <v>138</v>
      </c>
      <c r="D902" t="s">
        <v>1471</v>
      </c>
      <c r="E902" t="s">
        <v>2565</v>
      </c>
      <c r="F902" t="s">
        <v>2563</v>
      </c>
      <c r="G902" t="b">
        <v>1</v>
      </c>
    </row>
    <row r="903" spans="1:8" x14ac:dyDescent="0.25">
      <c r="A903">
        <v>733</v>
      </c>
      <c r="B903" t="s">
        <v>868</v>
      </c>
      <c r="C903" t="s">
        <v>138</v>
      </c>
      <c r="D903" t="s">
        <v>1471</v>
      </c>
      <c r="E903" t="s">
        <v>1480</v>
      </c>
      <c r="F903" t="s">
        <v>2566</v>
      </c>
      <c r="G903" t="b">
        <v>1</v>
      </c>
    </row>
    <row r="904" spans="1:8" x14ac:dyDescent="0.25">
      <c r="A904">
        <v>734</v>
      </c>
      <c r="B904" t="s">
        <v>869</v>
      </c>
      <c r="C904" t="s">
        <v>138</v>
      </c>
      <c r="D904" t="s">
        <v>1475</v>
      </c>
      <c r="E904" t="s">
        <v>3377</v>
      </c>
      <c r="F904" t="s">
        <v>2567</v>
      </c>
      <c r="G904" t="b">
        <v>1</v>
      </c>
      <c r="H904" t="b">
        <v>1</v>
      </c>
    </row>
    <row r="905" spans="1:8" x14ac:dyDescent="0.25">
      <c r="A905">
        <v>735</v>
      </c>
      <c r="B905" t="s">
        <v>870</v>
      </c>
      <c r="C905" t="s">
        <v>138</v>
      </c>
      <c r="D905" t="s">
        <v>1475</v>
      </c>
      <c r="E905" t="s">
        <v>3378</v>
      </c>
      <c r="F905" t="s">
        <v>2567</v>
      </c>
      <c r="G905" t="b">
        <v>1</v>
      </c>
      <c r="H905" t="b">
        <v>1</v>
      </c>
    </row>
    <row r="906" spans="1:8" x14ac:dyDescent="0.25">
      <c r="A906">
        <v>736</v>
      </c>
      <c r="B906" t="s">
        <v>871</v>
      </c>
      <c r="C906" t="s">
        <v>136</v>
      </c>
      <c r="D906" t="s">
        <v>1476</v>
      </c>
      <c r="E906" t="s">
        <v>3351</v>
      </c>
      <c r="F906" t="s">
        <v>2567</v>
      </c>
      <c r="G906" t="b">
        <v>1</v>
      </c>
      <c r="H906" t="b">
        <v>1</v>
      </c>
    </row>
    <row r="907" spans="1:8" x14ac:dyDescent="0.25">
      <c r="A907">
        <v>737</v>
      </c>
      <c r="B907" t="s">
        <v>872</v>
      </c>
      <c r="C907" t="s">
        <v>138</v>
      </c>
      <c r="D907" t="s">
        <v>1471</v>
      </c>
      <c r="E907" t="s">
        <v>1617</v>
      </c>
      <c r="F907" t="s">
        <v>2568</v>
      </c>
      <c r="G907" t="b">
        <v>1</v>
      </c>
    </row>
    <row r="908" spans="1:8" x14ac:dyDescent="0.25">
      <c r="A908">
        <v>738</v>
      </c>
      <c r="B908" t="s">
        <v>873</v>
      </c>
      <c r="C908" t="s">
        <v>138</v>
      </c>
      <c r="D908" t="s">
        <v>1471</v>
      </c>
      <c r="E908" t="s">
        <v>2569</v>
      </c>
      <c r="F908" t="s">
        <v>2570</v>
      </c>
      <c r="G908" t="b">
        <v>1</v>
      </c>
    </row>
    <row r="909" spans="1:8" x14ac:dyDescent="0.25">
      <c r="A909">
        <v>739</v>
      </c>
      <c r="B909" t="s">
        <v>874</v>
      </c>
      <c r="C909" t="s">
        <v>136</v>
      </c>
      <c r="D909" t="s">
        <v>1474</v>
      </c>
      <c r="E909" t="s">
        <v>2571</v>
      </c>
      <c r="F909" t="s">
        <v>2572</v>
      </c>
      <c r="G909" t="b">
        <v>1</v>
      </c>
    </row>
    <row r="910" spans="1:8" x14ac:dyDescent="0.25">
      <c r="A910">
        <v>740</v>
      </c>
      <c r="B910" t="s">
        <v>875</v>
      </c>
      <c r="C910" t="s">
        <v>138</v>
      </c>
      <c r="D910" t="s">
        <v>1471</v>
      </c>
      <c r="E910" t="s">
        <v>2573</v>
      </c>
      <c r="F910" t="s">
        <v>2572</v>
      </c>
      <c r="G910" t="b">
        <v>1</v>
      </c>
    </row>
    <row r="911" spans="1:8" x14ac:dyDescent="0.25">
      <c r="A911">
        <v>741</v>
      </c>
      <c r="B911" t="s">
        <v>876</v>
      </c>
      <c r="C911" t="s">
        <v>138</v>
      </c>
      <c r="D911" t="s">
        <v>1471</v>
      </c>
      <c r="E911" t="s">
        <v>2574</v>
      </c>
      <c r="F911" t="s">
        <v>2575</v>
      </c>
      <c r="G911" t="b">
        <v>1</v>
      </c>
    </row>
    <row r="912" spans="1:8" x14ac:dyDescent="0.25">
      <c r="A912">
        <v>742</v>
      </c>
      <c r="B912" t="s">
        <v>877</v>
      </c>
      <c r="C912" t="s">
        <v>138</v>
      </c>
      <c r="D912" t="s">
        <v>1471</v>
      </c>
      <c r="E912" t="s">
        <v>2576</v>
      </c>
      <c r="F912" t="s">
        <v>2577</v>
      </c>
      <c r="G912" t="b">
        <v>1</v>
      </c>
    </row>
    <row r="913" spans="1:8" x14ac:dyDescent="0.25">
      <c r="A913">
        <v>743</v>
      </c>
      <c r="B913" t="s">
        <v>878</v>
      </c>
      <c r="C913" t="s">
        <v>138</v>
      </c>
      <c r="D913" t="s">
        <v>1471</v>
      </c>
      <c r="E913" t="s">
        <v>2578</v>
      </c>
      <c r="F913" t="s">
        <v>2579</v>
      </c>
      <c r="G913" t="b">
        <v>1</v>
      </c>
    </row>
    <row r="914" spans="1:8" x14ac:dyDescent="0.25">
      <c r="A914">
        <v>744</v>
      </c>
      <c r="B914" t="s">
        <v>879</v>
      </c>
      <c r="C914" t="s">
        <v>136</v>
      </c>
      <c r="D914" t="s">
        <v>1474</v>
      </c>
      <c r="E914" t="s">
        <v>2580</v>
      </c>
      <c r="F914" t="s">
        <v>2581</v>
      </c>
      <c r="G914" t="b">
        <v>1</v>
      </c>
    </row>
    <row r="915" spans="1:8" x14ac:dyDescent="0.25">
      <c r="A915">
        <v>745</v>
      </c>
      <c r="B915" t="s">
        <v>880</v>
      </c>
      <c r="C915" t="s">
        <v>138</v>
      </c>
      <c r="D915" t="s">
        <v>1471</v>
      </c>
      <c r="E915" t="s">
        <v>2582</v>
      </c>
      <c r="F915" t="s">
        <v>2583</v>
      </c>
      <c r="G915" t="b">
        <v>1</v>
      </c>
    </row>
    <row r="916" spans="1:8" x14ac:dyDescent="0.25">
      <c r="A916">
        <v>746</v>
      </c>
      <c r="B916" t="s">
        <v>881</v>
      </c>
      <c r="C916" t="s">
        <v>136</v>
      </c>
      <c r="D916" t="s">
        <v>1474</v>
      </c>
      <c r="E916" t="s">
        <v>3363</v>
      </c>
      <c r="F916" t="s">
        <v>1615</v>
      </c>
      <c r="G916" t="b">
        <v>1</v>
      </c>
      <c r="H916" t="b">
        <v>1</v>
      </c>
    </row>
    <row r="917" spans="1:8" x14ac:dyDescent="0.25">
      <c r="A917">
        <v>747</v>
      </c>
      <c r="B917" t="s">
        <v>882</v>
      </c>
      <c r="C917" t="s">
        <v>138</v>
      </c>
      <c r="D917" t="s">
        <v>1471</v>
      </c>
      <c r="E917" t="s">
        <v>2584</v>
      </c>
      <c r="F917" t="s">
        <v>1615</v>
      </c>
      <c r="G917" t="b">
        <v>1</v>
      </c>
    </row>
    <row r="918" spans="1:8" x14ac:dyDescent="0.25">
      <c r="A918">
        <v>748</v>
      </c>
      <c r="B918" t="s">
        <v>883</v>
      </c>
      <c r="C918" t="s">
        <v>138</v>
      </c>
      <c r="D918" t="s">
        <v>1475</v>
      </c>
      <c r="E918" t="s">
        <v>2585</v>
      </c>
      <c r="F918" t="s">
        <v>2586</v>
      </c>
      <c r="G918" t="b">
        <v>1</v>
      </c>
    </row>
    <row r="919" spans="1:8" x14ac:dyDescent="0.25">
      <c r="A919">
        <v>749</v>
      </c>
      <c r="B919" t="s">
        <v>884</v>
      </c>
      <c r="C919" t="s">
        <v>138</v>
      </c>
      <c r="D919" t="s">
        <v>1471</v>
      </c>
      <c r="E919" t="s">
        <v>2587</v>
      </c>
      <c r="F919" t="s">
        <v>2586</v>
      </c>
      <c r="G919" t="b">
        <v>1</v>
      </c>
    </row>
    <row r="920" spans="1:8" x14ac:dyDescent="0.25">
      <c r="A920">
        <v>750</v>
      </c>
      <c r="B920" t="s">
        <v>885</v>
      </c>
      <c r="C920" t="s">
        <v>136</v>
      </c>
      <c r="D920" t="s">
        <v>1476</v>
      </c>
      <c r="E920" t="s">
        <v>2588</v>
      </c>
      <c r="F920" t="s">
        <v>2586</v>
      </c>
      <c r="G920" t="b">
        <v>1</v>
      </c>
    </row>
    <row r="921" spans="1:8" x14ac:dyDescent="0.25">
      <c r="A921">
        <v>751</v>
      </c>
      <c r="B921" t="s">
        <v>886</v>
      </c>
      <c r="C921" t="s">
        <v>138</v>
      </c>
      <c r="D921" t="s">
        <v>1471</v>
      </c>
      <c r="E921" t="s">
        <v>2589</v>
      </c>
      <c r="F921" t="s">
        <v>2590</v>
      </c>
      <c r="G921" t="b">
        <v>1</v>
      </c>
    </row>
    <row r="922" spans="1:8" x14ac:dyDescent="0.25">
      <c r="A922">
        <v>752</v>
      </c>
      <c r="B922" t="s">
        <v>887</v>
      </c>
      <c r="C922" t="s">
        <v>138</v>
      </c>
      <c r="D922" t="s">
        <v>1471</v>
      </c>
      <c r="E922" t="s">
        <v>2591</v>
      </c>
      <c r="F922" t="s">
        <v>2592</v>
      </c>
      <c r="G922" t="b">
        <v>1</v>
      </c>
    </row>
    <row r="923" spans="1:8" x14ac:dyDescent="0.25">
      <c r="A923">
        <v>753</v>
      </c>
      <c r="B923" t="s">
        <v>888</v>
      </c>
      <c r="C923" t="s">
        <v>138</v>
      </c>
      <c r="D923" t="s">
        <v>1471</v>
      </c>
      <c r="E923" t="s">
        <v>2593</v>
      </c>
      <c r="F923" t="s">
        <v>2078</v>
      </c>
      <c r="G923" t="b">
        <v>1</v>
      </c>
    </row>
    <row r="924" spans="1:8" x14ac:dyDescent="0.25">
      <c r="A924">
        <v>754</v>
      </c>
      <c r="B924" t="s">
        <v>889</v>
      </c>
      <c r="C924" t="s">
        <v>138</v>
      </c>
      <c r="D924" t="s">
        <v>1471</v>
      </c>
      <c r="E924" t="s">
        <v>2594</v>
      </c>
      <c r="F924" t="s">
        <v>2078</v>
      </c>
      <c r="G924" t="b">
        <v>1</v>
      </c>
    </row>
    <row r="925" spans="1:8" x14ac:dyDescent="0.25">
      <c r="A925">
        <v>755</v>
      </c>
      <c r="B925" t="s">
        <v>890</v>
      </c>
      <c r="C925" t="s">
        <v>138</v>
      </c>
      <c r="D925" t="s">
        <v>1471</v>
      </c>
      <c r="E925" t="s">
        <v>2595</v>
      </c>
      <c r="F925" t="s">
        <v>2078</v>
      </c>
      <c r="G925" t="b">
        <v>1</v>
      </c>
    </row>
    <row r="926" spans="1:8" x14ac:dyDescent="0.25">
      <c r="A926">
        <v>756</v>
      </c>
      <c r="B926" t="s">
        <v>891</v>
      </c>
      <c r="C926" t="s">
        <v>138</v>
      </c>
      <c r="D926" t="s">
        <v>1471</v>
      </c>
      <c r="E926" t="s">
        <v>2530</v>
      </c>
      <c r="F926" t="s">
        <v>2078</v>
      </c>
      <c r="G926" t="b">
        <v>1</v>
      </c>
    </row>
    <row r="927" spans="1:8" x14ac:dyDescent="0.25">
      <c r="A927">
        <v>757</v>
      </c>
      <c r="B927" t="s">
        <v>892</v>
      </c>
      <c r="C927" t="s">
        <v>138</v>
      </c>
      <c r="D927" t="s">
        <v>1471</v>
      </c>
      <c r="E927" t="s">
        <v>2555</v>
      </c>
      <c r="F927" t="s">
        <v>2596</v>
      </c>
      <c r="G927" t="b">
        <v>1</v>
      </c>
    </row>
    <row r="928" spans="1:8" x14ac:dyDescent="0.25">
      <c r="A928">
        <v>758</v>
      </c>
      <c r="B928" t="s">
        <v>893</v>
      </c>
      <c r="C928" t="s">
        <v>136</v>
      </c>
      <c r="D928" t="s">
        <v>1476</v>
      </c>
      <c r="E928" t="s">
        <v>2597</v>
      </c>
      <c r="F928" t="s">
        <v>2596</v>
      </c>
      <c r="G928" t="b">
        <v>1</v>
      </c>
    </row>
    <row r="929" spans="1:8" x14ac:dyDescent="0.25">
      <c r="A929">
        <v>759</v>
      </c>
      <c r="B929" t="s">
        <v>894</v>
      </c>
      <c r="C929" t="s">
        <v>138</v>
      </c>
      <c r="D929" t="s">
        <v>1471</v>
      </c>
      <c r="E929" t="s">
        <v>2598</v>
      </c>
      <c r="F929" t="s">
        <v>2599</v>
      </c>
      <c r="G929" t="b">
        <v>1</v>
      </c>
    </row>
    <row r="930" spans="1:8" x14ac:dyDescent="0.25">
      <c r="A930">
        <v>760</v>
      </c>
      <c r="B930" t="s">
        <v>895</v>
      </c>
      <c r="C930" t="s">
        <v>136</v>
      </c>
      <c r="D930" t="s">
        <v>1476</v>
      </c>
      <c r="E930" t="s">
        <v>1885</v>
      </c>
      <c r="F930" t="s">
        <v>2599</v>
      </c>
      <c r="G930" t="b">
        <v>1</v>
      </c>
      <c r="H930" t="b">
        <v>1</v>
      </c>
    </row>
    <row r="931" spans="1:8" x14ac:dyDescent="0.25">
      <c r="A931">
        <v>761</v>
      </c>
      <c r="B931" t="s">
        <v>896</v>
      </c>
      <c r="C931" t="s">
        <v>138</v>
      </c>
      <c r="D931" t="s">
        <v>1471</v>
      </c>
      <c r="E931" t="s">
        <v>2600</v>
      </c>
      <c r="F931" t="s">
        <v>2601</v>
      </c>
      <c r="G931" t="b">
        <v>1</v>
      </c>
    </row>
    <row r="932" spans="1:8" x14ac:dyDescent="0.25">
      <c r="A932">
        <v>762</v>
      </c>
      <c r="B932" t="s">
        <v>897</v>
      </c>
      <c r="C932" t="s">
        <v>138</v>
      </c>
      <c r="D932" t="s">
        <v>1471</v>
      </c>
      <c r="E932" t="s">
        <v>2602</v>
      </c>
      <c r="F932" t="s">
        <v>2603</v>
      </c>
      <c r="G932" t="b">
        <v>1</v>
      </c>
    </row>
    <row r="933" spans="1:8" x14ac:dyDescent="0.25">
      <c r="A933">
        <v>763</v>
      </c>
      <c r="B933" t="s">
        <v>898</v>
      </c>
      <c r="C933" t="s">
        <v>138</v>
      </c>
      <c r="D933" t="s">
        <v>1475</v>
      </c>
      <c r="E933" t="s">
        <v>2604</v>
      </c>
      <c r="F933" t="s">
        <v>2605</v>
      </c>
      <c r="G933" t="b">
        <v>1</v>
      </c>
    </row>
    <row r="934" spans="1:8" x14ac:dyDescent="0.25">
      <c r="A934">
        <v>764</v>
      </c>
      <c r="B934" t="s">
        <v>899</v>
      </c>
      <c r="C934" t="s">
        <v>136</v>
      </c>
      <c r="D934" t="s">
        <v>1474</v>
      </c>
      <c r="E934" t="s">
        <v>3364</v>
      </c>
      <c r="F934" t="s">
        <v>2605</v>
      </c>
      <c r="G934" t="b">
        <v>1</v>
      </c>
      <c r="H934" t="b">
        <v>1</v>
      </c>
    </row>
    <row r="935" spans="1:8" x14ac:dyDescent="0.25">
      <c r="A935">
        <v>765</v>
      </c>
      <c r="B935" t="s">
        <v>900</v>
      </c>
      <c r="C935" t="s">
        <v>138</v>
      </c>
      <c r="D935" t="s">
        <v>1471</v>
      </c>
      <c r="E935" t="s">
        <v>2606</v>
      </c>
      <c r="F935" t="s">
        <v>2605</v>
      </c>
      <c r="G935" t="b">
        <v>1</v>
      </c>
    </row>
    <row r="936" spans="1:8" x14ac:dyDescent="0.25">
      <c r="A936">
        <v>766</v>
      </c>
      <c r="B936" t="s">
        <v>901</v>
      </c>
      <c r="C936" t="s">
        <v>136</v>
      </c>
      <c r="D936" t="s">
        <v>1476</v>
      </c>
      <c r="E936" t="s">
        <v>2607</v>
      </c>
      <c r="F936" t="s">
        <v>2605</v>
      </c>
      <c r="G936" t="b">
        <v>1</v>
      </c>
    </row>
    <row r="937" spans="1:8" x14ac:dyDescent="0.25">
      <c r="A937">
        <v>767</v>
      </c>
      <c r="B937" t="s">
        <v>902</v>
      </c>
      <c r="C937" t="s">
        <v>138</v>
      </c>
      <c r="D937" t="s">
        <v>1471</v>
      </c>
      <c r="E937" t="s">
        <v>2608</v>
      </c>
      <c r="F937" t="s">
        <v>2609</v>
      </c>
      <c r="G937" t="b">
        <v>1</v>
      </c>
    </row>
    <row r="938" spans="1:8" x14ac:dyDescent="0.25">
      <c r="A938">
        <v>768</v>
      </c>
      <c r="B938" t="s">
        <v>903</v>
      </c>
      <c r="C938" t="s">
        <v>138</v>
      </c>
      <c r="D938" t="s">
        <v>1471</v>
      </c>
      <c r="E938" t="s">
        <v>2610</v>
      </c>
      <c r="F938" t="s">
        <v>2611</v>
      </c>
      <c r="G938" t="b">
        <v>1</v>
      </c>
    </row>
    <row r="939" spans="1:8" x14ac:dyDescent="0.25">
      <c r="A939">
        <v>769</v>
      </c>
      <c r="B939" t="s">
        <v>904</v>
      </c>
      <c r="C939" t="s">
        <v>138</v>
      </c>
      <c r="D939" t="s">
        <v>1471</v>
      </c>
      <c r="E939" t="s">
        <v>2612</v>
      </c>
      <c r="F939" t="s">
        <v>2613</v>
      </c>
      <c r="G939" t="b">
        <v>1</v>
      </c>
    </row>
    <row r="940" spans="1:8" x14ac:dyDescent="0.25">
      <c r="A940">
        <v>770</v>
      </c>
      <c r="B940" t="s">
        <v>905</v>
      </c>
      <c r="C940" t="s">
        <v>138</v>
      </c>
      <c r="D940" t="s">
        <v>1471</v>
      </c>
      <c r="E940" t="s">
        <v>1987</v>
      </c>
      <c r="F940" t="s">
        <v>2614</v>
      </c>
      <c r="G940" t="b">
        <v>1</v>
      </c>
    </row>
    <row r="941" spans="1:8" x14ac:dyDescent="0.25">
      <c r="A941">
        <v>771</v>
      </c>
      <c r="B941" t="s">
        <v>906</v>
      </c>
      <c r="C941" t="s">
        <v>138</v>
      </c>
      <c r="D941" t="s">
        <v>1471</v>
      </c>
      <c r="E941" t="s">
        <v>1714</v>
      </c>
      <c r="F941" t="s">
        <v>2614</v>
      </c>
      <c r="G941" t="b">
        <v>1</v>
      </c>
    </row>
    <row r="942" spans="1:8" x14ac:dyDescent="0.25">
      <c r="A942">
        <v>772</v>
      </c>
      <c r="B942" t="s">
        <v>907</v>
      </c>
      <c r="C942" t="s">
        <v>136</v>
      </c>
      <c r="D942" t="s">
        <v>1474</v>
      </c>
      <c r="E942" t="s">
        <v>2615</v>
      </c>
      <c r="F942" t="s">
        <v>2616</v>
      </c>
      <c r="G942" t="b">
        <v>1</v>
      </c>
    </row>
    <row r="943" spans="1:8" x14ac:dyDescent="0.25">
      <c r="A943">
        <v>773</v>
      </c>
      <c r="B943" t="s">
        <v>908</v>
      </c>
      <c r="C943" t="s">
        <v>138</v>
      </c>
      <c r="D943" t="s">
        <v>1471</v>
      </c>
      <c r="E943" t="s">
        <v>2617</v>
      </c>
      <c r="F943" t="s">
        <v>2618</v>
      </c>
      <c r="G943" t="b">
        <v>1</v>
      </c>
    </row>
    <row r="944" spans="1:8" x14ac:dyDescent="0.25">
      <c r="A944">
        <v>774</v>
      </c>
      <c r="B944" t="s">
        <v>909</v>
      </c>
      <c r="C944" t="s">
        <v>138</v>
      </c>
      <c r="D944" t="s">
        <v>1471</v>
      </c>
      <c r="E944" t="s">
        <v>2619</v>
      </c>
      <c r="F944" t="s">
        <v>2620</v>
      </c>
      <c r="G944" t="b">
        <v>1</v>
      </c>
    </row>
    <row r="945" spans="1:7" x14ac:dyDescent="0.25">
      <c r="A945">
        <v>775</v>
      </c>
      <c r="B945" t="s">
        <v>910</v>
      </c>
      <c r="C945" t="s">
        <v>138</v>
      </c>
      <c r="D945" t="s">
        <v>1471</v>
      </c>
      <c r="E945" t="s">
        <v>2621</v>
      </c>
      <c r="F945" t="s">
        <v>2622</v>
      </c>
      <c r="G945" t="b">
        <v>1</v>
      </c>
    </row>
    <row r="946" spans="1:7" x14ac:dyDescent="0.25">
      <c r="A946">
        <v>776</v>
      </c>
      <c r="B946" t="s">
        <v>911</v>
      </c>
      <c r="C946" t="s">
        <v>138</v>
      </c>
      <c r="D946" t="s">
        <v>1471</v>
      </c>
      <c r="E946" t="s">
        <v>2489</v>
      </c>
      <c r="F946" t="s">
        <v>2623</v>
      </c>
      <c r="G946" t="b">
        <v>1</v>
      </c>
    </row>
    <row r="947" spans="1:7" x14ac:dyDescent="0.25">
      <c r="A947">
        <v>777</v>
      </c>
      <c r="B947" t="s">
        <v>912</v>
      </c>
      <c r="C947" t="s">
        <v>138</v>
      </c>
      <c r="D947" t="s">
        <v>1471</v>
      </c>
      <c r="E947" t="s">
        <v>2527</v>
      </c>
      <c r="F947" t="s">
        <v>2624</v>
      </c>
      <c r="G947" t="b">
        <v>1</v>
      </c>
    </row>
    <row r="948" spans="1:7" x14ac:dyDescent="0.25">
      <c r="A948">
        <v>778</v>
      </c>
      <c r="B948" t="s">
        <v>913</v>
      </c>
      <c r="C948" t="s">
        <v>138</v>
      </c>
      <c r="D948" t="s">
        <v>1471</v>
      </c>
      <c r="E948" t="s">
        <v>2625</v>
      </c>
      <c r="F948" t="s">
        <v>2626</v>
      </c>
      <c r="G948" t="b">
        <v>1</v>
      </c>
    </row>
    <row r="949" spans="1:7" x14ac:dyDescent="0.25">
      <c r="A949">
        <v>779</v>
      </c>
      <c r="B949" t="s">
        <v>914</v>
      </c>
      <c r="C949" t="s">
        <v>136</v>
      </c>
      <c r="D949" t="s">
        <v>1474</v>
      </c>
      <c r="E949" t="s">
        <v>1529</v>
      </c>
      <c r="F949" t="s">
        <v>2627</v>
      </c>
      <c r="G949" t="b">
        <v>1</v>
      </c>
    </row>
    <row r="950" spans="1:7" x14ac:dyDescent="0.25">
      <c r="A950">
        <v>780</v>
      </c>
      <c r="B950" t="s">
        <v>915</v>
      </c>
      <c r="C950" t="s">
        <v>136</v>
      </c>
      <c r="D950" t="s">
        <v>1474</v>
      </c>
      <c r="E950" t="s">
        <v>1529</v>
      </c>
      <c r="F950" t="s">
        <v>2628</v>
      </c>
      <c r="G950" t="b">
        <v>1</v>
      </c>
    </row>
    <row r="951" spans="1:7" x14ac:dyDescent="0.25">
      <c r="A951">
        <v>781</v>
      </c>
      <c r="B951" t="s">
        <v>916</v>
      </c>
      <c r="C951" t="s">
        <v>136</v>
      </c>
      <c r="D951" t="s">
        <v>1474</v>
      </c>
      <c r="E951" t="s">
        <v>2629</v>
      </c>
      <c r="F951" t="s">
        <v>2630</v>
      </c>
      <c r="G951" t="b">
        <v>1</v>
      </c>
    </row>
    <row r="952" spans="1:7" x14ac:dyDescent="0.25">
      <c r="A952">
        <v>782</v>
      </c>
      <c r="B952" t="s">
        <v>917</v>
      </c>
      <c r="C952" t="s">
        <v>138</v>
      </c>
      <c r="D952" t="s">
        <v>1471</v>
      </c>
      <c r="E952" t="s">
        <v>2631</v>
      </c>
      <c r="F952" t="s">
        <v>2632</v>
      </c>
      <c r="G952" t="b">
        <v>1</v>
      </c>
    </row>
    <row r="953" spans="1:7" x14ac:dyDescent="0.25">
      <c r="A953">
        <v>783</v>
      </c>
      <c r="B953" t="s">
        <v>918</v>
      </c>
      <c r="C953" t="s">
        <v>138</v>
      </c>
      <c r="D953" t="s">
        <v>1471</v>
      </c>
      <c r="E953" t="s">
        <v>2633</v>
      </c>
      <c r="F953" t="s">
        <v>2634</v>
      </c>
      <c r="G953" t="b">
        <v>1</v>
      </c>
    </row>
    <row r="954" spans="1:7" x14ac:dyDescent="0.25">
      <c r="A954">
        <v>784</v>
      </c>
      <c r="B954" t="s">
        <v>919</v>
      </c>
      <c r="C954" t="s">
        <v>138</v>
      </c>
      <c r="D954" t="s">
        <v>1471</v>
      </c>
      <c r="E954" t="s">
        <v>2530</v>
      </c>
      <c r="F954" t="s">
        <v>2635</v>
      </c>
      <c r="G954" t="b">
        <v>1</v>
      </c>
    </row>
    <row r="955" spans="1:7" x14ac:dyDescent="0.25">
      <c r="A955">
        <v>785</v>
      </c>
      <c r="B955" t="s">
        <v>920</v>
      </c>
      <c r="C955" t="s">
        <v>138</v>
      </c>
      <c r="D955" t="s">
        <v>1471</v>
      </c>
      <c r="E955" t="s">
        <v>2636</v>
      </c>
      <c r="F955" t="s">
        <v>2637</v>
      </c>
      <c r="G955" t="b">
        <v>1</v>
      </c>
    </row>
    <row r="956" spans="1:7" x14ac:dyDescent="0.25">
      <c r="A956">
        <v>786</v>
      </c>
      <c r="B956" t="s">
        <v>921</v>
      </c>
      <c r="C956" t="s">
        <v>136</v>
      </c>
      <c r="D956" t="s">
        <v>1476</v>
      </c>
      <c r="E956" t="s">
        <v>2638</v>
      </c>
      <c r="F956" t="s">
        <v>2637</v>
      </c>
      <c r="G956" t="b">
        <v>1</v>
      </c>
    </row>
    <row r="957" spans="1:7" x14ac:dyDescent="0.25">
      <c r="A957">
        <v>787</v>
      </c>
      <c r="B957" t="s">
        <v>922</v>
      </c>
      <c r="C957" t="s">
        <v>138</v>
      </c>
      <c r="D957" t="s">
        <v>1471</v>
      </c>
      <c r="E957" t="s">
        <v>2639</v>
      </c>
      <c r="F957" t="s">
        <v>2640</v>
      </c>
      <c r="G957" t="b">
        <v>1</v>
      </c>
    </row>
    <row r="958" spans="1:7" x14ac:dyDescent="0.25">
      <c r="A958">
        <v>788</v>
      </c>
      <c r="B958" t="s">
        <v>923</v>
      </c>
      <c r="C958" t="s">
        <v>138</v>
      </c>
      <c r="D958" t="s">
        <v>1471</v>
      </c>
      <c r="E958" t="s">
        <v>2641</v>
      </c>
      <c r="F958" t="s">
        <v>2642</v>
      </c>
      <c r="G958" t="b">
        <v>1</v>
      </c>
    </row>
    <row r="959" spans="1:7" x14ac:dyDescent="0.25">
      <c r="A959">
        <v>789</v>
      </c>
      <c r="B959" t="s">
        <v>924</v>
      </c>
      <c r="C959" t="s">
        <v>138</v>
      </c>
      <c r="D959" t="s">
        <v>1471</v>
      </c>
      <c r="E959" t="s">
        <v>2643</v>
      </c>
      <c r="F959" t="s">
        <v>2644</v>
      </c>
      <c r="G959" t="b">
        <v>1</v>
      </c>
    </row>
    <row r="960" spans="1:7" x14ac:dyDescent="0.25">
      <c r="A960">
        <v>790</v>
      </c>
      <c r="B960" t="s">
        <v>925</v>
      </c>
      <c r="C960" t="s">
        <v>138</v>
      </c>
      <c r="D960" t="s">
        <v>1471</v>
      </c>
      <c r="E960" t="s">
        <v>2645</v>
      </c>
      <c r="F960" t="s">
        <v>2646</v>
      </c>
      <c r="G960" t="b">
        <v>1</v>
      </c>
    </row>
    <row r="961" spans="1:8" x14ac:dyDescent="0.25">
      <c r="A961">
        <v>791</v>
      </c>
      <c r="B961" t="s">
        <v>926</v>
      </c>
      <c r="C961" t="s">
        <v>138</v>
      </c>
      <c r="D961" t="s">
        <v>1471</v>
      </c>
      <c r="E961" t="s">
        <v>2530</v>
      </c>
      <c r="F961" t="s">
        <v>2646</v>
      </c>
      <c r="G961" t="b">
        <v>1</v>
      </c>
    </row>
    <row r="962" spans="1:8" x14ac:dyDescent="0.25">
      <c r="A962">
        <v>792</v>
      </c>
      <c r="B962" t="s">
        <v>927</v>
      </c>
      <c r="C962" t="s">
        <v>138</v>
      </c>
      <c r="D962" t="s">
        <v>1471</v>
      </c>
      <c r="E962" t="s">
        <v>2530</v>
      </c>
      <c r="F962" t="s">
        <v>2646</v>
      </c>
      <c r="G962" t="b">
        <v>1</v>
      </c>
      <c r="H962" t="b">
        <v>1</v>
      </c>
    </row>
    <row r="963" spans="1:8" x14ac:dyDescent="0.25">
      <c r="A963">
        <v>793</v>
      </c>
      <c r="B963" t="s">
        <v>928</v>
      </c>
      <c r="C963" t="s">
        <v>138</v>
      </c>
      <c r="D963" t="s">
        <v>1471</v>
      </c>
      <c r="E963" t="s">
        <v>2489</v>
      </c>
      <c r="F963" t="s">
        <v>2646</v>
      </c>
      <c r="G963" t="b">
        <v>1</v>
      </c>
    </row>
    <row r="964" spans="1:8" x14ac:dyDescent="0.25">
      <c r="A964">
        <v>794</v>
      </c>
      <c r="B964" t="s">
        <v>929</v>
      </c>
      <c r="C964" t="s">
        <v>138</v>
      </c>
      <c r="D964" t="s">
        <v>1471</v>
      </c>
      <c r="E964" t="s">
        <v>2094</v>
      </c>
      <c r="F964" t="s">
        <v>2647</v>
      </c>
      <c r="G964" t="b">
        <v>1</v>
      </c>
    </row>
    <row r="965" spans="1:8" x14ac:dyDescent="0.25">
      <c r="A965">
        <v>795</v>
      </c>
      <c r="B965" t="s">
        <v>930</v>
      </c>
      <c r="C965" t="s">
        <v>136</v>
      </c>
      <c r="D965" t="s">
        <v>1474</v>
      </c>
      <c r="E965" t="s">
        <v>2648</v>
      </c>
      <c r="F965" t="s">
        <v>2649</v>
      </c>
      <c r="G965" t="b">
        <v>1</v>
      </c>
    </row>
    <row r="966" spans="1:8" x14ac:dyDescent="0.25">
      <c r="A966">
        <v>796</v>
      </c>
      <c r="B966" t="s">
        <v>931</v>
      </c>
      <c r="C966" t="s">
        <v>138</v>
      </c>
      <c r="D966" t="s">
        <v>1471</v>
      </c>
      <c r="E966" t="s">
        <v>2650</v>
      </c>
      <c r="F966" t="s">
        <v>2651</v>
      </c>
      <c r="G966" t="b">
        <v>1</v>
      </c>
    </row>
    <row r="967" spans="1:8" x14ac:dyDescent="0.25">
      <c r="A967">
        <v>797</v>
      </c>
      <c r="B967" t="s">
        <v>932</v>
      </c>
      <c r="C967" t="s">
        <v>138</v>
      </c>
      <c r="D967" t="s">
        <v>1471</v>
      </c>
      <c r="E967" t="s">
        <v>2652</v>
      </c>
      <c r="F967" t="s">
        <v>2653</v>
      </c>
      <c r="G967" t="b">
        <v>1</v>
      </c>
    </row>
    <row r="968" spans="1:8" x14ac:dyDescent="0.25">
      <c r="A968">
        <v>798</v>
      </c>
      <c r="B968" t="s">
        <v>933</v>
      </c>
      <c r="C968" t="s">
        <v>138</v>
      </c>
      <c r="D968" t="s">
        <v>1471</v>
      </c>
      <c r="E968" t="s">
        <v>2350</v>
      </c>
      <c r="F968" t="s">
        <v>2654</v>
      </c>
      <c r="G968" t="b">
        <v>1</v>
      </c>
    </row>
    <row r="969" spans="1:8" x14ac:dyDescent="0.25">
      <c r="A969">
        <v>799</v>
      </c>
      <c r="B969" t="s">
        <v>934</v>
      </c>
      <c r="C969" t="s">
        <v>138</v>
      </c>
      <c r="D969" t="s">
        <v>1471</v>
      </c>
      <c r="E969" t="s">
        <v>2655</v>
      </c>
      <c r="F969" t="s">
        <v>2656</v>
      </c>
      <c r="G969" t="b">
        <v>1</v>
      </c>
    </row>
    <row r="970" spans="1:8" x14ac:dyDescent="0.25">
      <c r="A970">
        <v>800</v>
      </c>
      <c r="B970" t="s">
        <v>935</v>
      </c>
      <c r="C970" t="s">
        <v>138</v>
      </c>
      <c r="D970" t="s">
        <v>1471</v>
      </c>
      <c r="E970" t="s">
        <v>2657</v>
      </c>
      <c r="F970" t="s">
        <v>2658</v>
      </c>
      <c r="G970" t="b">
        <v>1</v>
      </c>
    </row>
    <row r="971" spans="1:8" x14ac:dyDescent="0.25">
      <c r="A971">
        <v>801</v>
      </c>
      <c r="B971" t="s">
        <v>936</v>
      </c>
      <c r="C971" t="s">
        <v>136</v>
      </c>
      <c r="D971" t="s">
        <v>1474</v>
      </c>
      <c r="E971" t="s">
        <v>2659</v>
      </c>
      <c r="F971" t="s">
        <v>1649</v>
      </c>
      <c r="G971" t="b">
        <v>1</v>
      </c>
    </row>
    <row r="972" spans="1:8" x14ac:dyDescent="0.25">
      <c r="A972">
        <v>802</v>
      </c>
      <c r="B972" t="s">
        <v>937</v>
      </c>
      <c r="C972" t="s">
        <v>138</v>
      </c>
      <c r="D972" t="s">
        <v>1471</v>
      </c>
      <c r="E972" t="s">
        <v>2350</v>
      </c>
      <c r="F972" t="s">
        <v>1651</v>
      </c>
      <c r="G972" t="b">
        <v>1</v>
      </c>
    </row>
    <row r="973" spans="1:8" x14ac:dyDescent="0.25">
      <c r="A973">
        <v>803</v>
      </c>
      <c r="B973" t="s">
        <v>938</v>
      </c>
      <c r="C973" t="s">
        <v>138</v>
      </c>
      <c r="D973" t="s">
        <v>1471</v>
      </c>
      <c r="E973" t="s">
        <v>1646</v>
      </c>
      <c r="F973" t="s">
        <v>1651</v>
      </c>
      <c r="G973" t="b">
        <v>1</v>
      </c>
    </row>
    <row r="974" spans="1:8" x14ac:dyDescent="0.25">
      <c r="A974">
        <v>804</v>
      </c>
      <c r="B974" t="s">
        <v>939</v>
      </c>
      <c r="C974" t="s">
        <v>138</v>
      </c>
      <c r="D974" t="s">
        <v>1471</v>
      </c>
      <c r="E974" t="s">
        <v>2530</v>
      </c>
      <c r="F974" t="s">
        <v>2660</v>
      </c>
      <c r="G974" t="b">
        <v>1</v>
      </c>
    </row>
    <row r="975" spans="1:8" x14ac:dyDescent="0.25">
      <c r="A975">
        <v>805</v>
      </c>
      <c r="B975" t="s">
        <v>940</v>
      </c>
      <c r="C975" t="s">
        <v>138</v>
      </c>
      <c r="D975" t="s">
        <v>1471</v>
      </c>
      <c r="E975" t="s">
        <v>1714</v>
      </c>
      <c r="F975" t="s">
        <v>2660</v>
      </c>
      <c r="G975" t="b">
        <v>1</v>
      </c>
    </row>
    <row r="976" spans="1:8" x14ac:dyDescent="0.25">
      <c r="A976">
        <v>806</v>
      </c>
      <c r="B976" t="s">
        <v>941</v>
      </c>
      <c r="C976" t="s">
        <v>138</v>
      </c>
      <c r="D976" t="s">
        <v>1471</v>
      </c>
      <c r="E976" t="s">
        <v>2661</v>
      </c>
      <c r="F976" t="s">
        <v>2662</v>
      </c>
      <c r="G976" t="b">
        <v>1</v>
      </c>
    </row>
    <row r="977" spans="1:8" x14ac:dyDescent="0.25">
      <c r="A977">
        <v>807</v>
      </c>
      <c r="B977" t="s">
        <v>942</v>
      </c>
      <c r="C977" t="s">
        <v>136</v>
      </c>
      <c r="D977" t="s">
        <v>1474</v>
      </c>
      <c r="E977" t="s">
        <v>3365</v>
      </c>
      <c r="F977" t="s">
        <v>2663</v>
      </c>
      <c r="G977" t="b">
        <v>1</v>
      </c>
      <c r="H977" t="b">
        <v>1</v>
      </c>
    </row>
    <row r="978" spans="1:8" x14ac:dyDescent="0.25">
      <c r="A978">
        <v>808</v>
      </c>
      <c r="B978" t="s">
        <v>943</v>
      </c>
      <c r="C978" t="s">
        <v>136</v>
      </c>
      <c r="D978" t="s">
        <v>1474</v>
      </c>
      <c r="E978" t="s">
        <v>3366</v>
      </c>
      <c r="F978" t="s">
        <v>2663</v>
      </c>
      <c r="G978" t="b">
        <v>1</v>
      </c>
      <c r="H978" t="b">
        <v>1</v>
      </c>
    </row>
    <row r="979" spans="1:8" x14ac:dyDescent="0.25">
      <c r="A979">
        <v>809</v>
      </c>
      <c r="B979" t="s">
        <v>944</v>
      </c>
      <c r="C979" t="s">
        <v>138</v>
      </c>
      <c r="D979" t="s">
        <v>1471</v>
      </c>
      <c r="E979" t="s">
        <v>2664</v>
      </c>
      <c r="F979" t="s">
        <v>2663</v>
      </c>
      <c r="G979" t="b">
        <v>1</v>
      </c>
    </row>
    <row r="980" spans="1:8" x14ac:dyDescent="0.25">
      <c r="A980">
        <v>810</v>
      </c>
      <c r="B980" t="s">
        <v>945</v>
      </c>
      <c r="C980" t="s">
        <v>138</v>
      </c>
      <c r="D980" t="s">
        <v>1471</v>
      </c>
      <c r="E980" t="s">
        <v>2665</v>
      </c>
      <c r="F980" t="s">
        <v>2663</v>
      </c>
      <c r="G980" t="b">
        <v>1</v>
      </c>
    </row>
    <row r="981" spans="1:8" x14ac:dyDescent="0.25">
      <c r="A981">
        <v>811</v>
      </c>
      <c r="B981" t="s">
        <v>946</v>
      </c>
      <c r="C981" t="s">
        <v>138</v>
      </c>
      <c r="D981" t="s">
        <v>1471</v>
      </c>
      <c r="E981" t="s">
        <v>2666</v>
      </c>
      <c r="F981" t="s">
        <v>2663</v>
      </c>
      <c r="G981" t="b">
        <v>1</v>
      </c>
    </row>
    <row r="982" spans="1:8" x14ac:dyDescent="0.25">
      <c r="A982">
        <v>812</v>
      </c>
      <c r="B982" t="s">
        <v>947</v>
      </c>
      <c r="C982" t="s">
        <v>136</v>
      </c>
      <c r="D982" t="s">
        <v>1476</v>
      </c>
      <c r="E982" t="s">
        <v>2667</v>
      </c>
      <c r="F982" t="s">
        <v>2663</v>
      </c>
      <c r="G982" t="b">
        <v>1</v>
      </c>
    </row>
    <row r="983" spans="1:8" x14ac:dyDescent="0.25">
      <c r="A983">
        <v>813</v>
      </c>
      <c r="B983" t="s">
        <v>948</v>
      </c>
      <c r="C983" t="s">
        <v>138</v>
      </c>
      <c r="D983" t="s">
        <v>1471</v>
      </c>
      <c r="E983" t="s">
        <v>2527</v>
      </c>
      <c r="F983" t="s">
        <v>2114</v>
      </c>
      <c r="G983" t="b">
        <v>1</v>
      </c>
    </row>
    <row r="984" spans="1:8" x14ac:dyDescent="0.25">
      <c r="A984">
        <v>814</v>
      </c>
      <c r="B984" t="s">
        <v>949</v>
      </c>
      <c r="C984" t="s">
        <v>138</v>
      </c>
      <c r="D984" t="s">
        <v>1471</v>
      </c>
      <c r="E984" t="s">
        <v>2377</v>
      </c>
      <c r="F984" t="s">
        <v>1664</v>
      </c>
      <c r="G984" t="b">
        <v>1</v>
      </c>
    </row>
    <row r="985" spans="1:8" x14ac:dyDescent="0.25">
      <c r="A985">
        <v>815</v>
      </c>
      <c r="B985" t="s">
        <v>950</v>
      </c>
      <c r="C985" t="s">
        <v>138</v>
      </c>
      <c r="D985" t="s">
        <v>1471</v>
      </c>
      <c r="E985" t="s">
        <v>1873</v>
      </c>
      <c r="F985" t="s">
        <v>2668</v>
      </c>
      <c r="G985" t="b">
        <v>1</v>
      </c>
    </row>
    <row r="986" spans="1:8" x14ac:dyDescent="0.25">
      <c r="A986">
        <v>816</v>
      </c>
      <c r="B986" t="s">
        <v>951</v>
      </c>
      <c r="C986" t="s">
        <v>138</v>
      </c>
      <c r="D986" t="s">
        <v>1471</v>
      </c>
      <c r="E986" t="s">
        <v>1646</v>
      </c>
      <c r="F986" t="s">
        <v>2669</v>
      </c>
      <c r="G986" t="b">
        <v>1</v>
      </c>
    </row>
    <row r="987" spans="1:8" x14ac:dyDescent="0.25">
      <c r="A987">
        <v>817</v>
      </c>
      <c r="B987" t="s">
        <v>952</v>
      </c>
      <c r="C987" t="s">
        <v>138</v>
      </c>
      <c r="D987" t="s">
        <v>1471</v>
      </c>
      <c r="E987" t="s">
        <v>2670</v>
      </c>
      <c r="F987" t="s">
        <v>2671</v>
      </c>
      <c r="G987" t="b">
        <v>1</v>
      </c>
    </row>
    <row r="988" spans="1:8" x14ac:dyDescent="0.25">
      <c r="A988">
        <v>818</v>
      </c>
      <c r="B988" t="s">
        <v>953</v>
      </c>
      <c r="C988" t="s">
        <v>138</v>
      </c>
      <c r="D988" t="s">
        <v>1471</v>
      </c>
      <c r="E988" t="s">
        <v>2672</v>
      </c>
      <c r="F988" t="s">
        <v>2673</v>
      </c>
      <c r="G988" t="b">
        <v>1</v>
      </c>
    </row>
    <row r="989" spans="1:8" x14ac:dyDescent="0.25">
      <c r="A989">
        <v>819</v>
      </c>
      <c r="B989" t="s">
        <v>954</v>
      </c>
      <c r="C989" t="s">
        <v>136</v>
      </c>
      <c r="D989" t="s">
        <v>1474</v>
      </c>
      <c r="E989" t="s">
        <v>2513</v>
      </c>
      <c r="F989" t="s">
        <v>2674</v>
      </c>
      <c r="G989" t="b">
        <v>1</v>
      </c>
      <c r="H989" t="b">
        <v>1</v>
      </c>
    </row>
    <row r="990" spans="1:8" x14ac:dyDescent="0.25">
      <c r="A990">
        <v>820</v>
      </c>
      <c r="B990" t="s">
        <v>955</v>
      </c>
      <c r="C990" t="s">
        <v>136</v>
      </c>
      <c r="D990" t="s">
        <v>1474</v>
      </c>
      <c r="E990" t="s">
        <v>2675</v>
      </c>
      <c r="F990" t="s">
        <v>2676</v>
      </c>
      <c r="G990" t="b">
        <v>1</v>
      </c>
    </row>
    <row r="991" spans="1:8" x14ac:dyDescent="0.25">
      <c r="A991">
        <v>821</v>
      </c>
      <c r="B991" t="s">
        <v>956</v>
      </c>
      <c r="C991" t="s">
        <v>138</v>
      </c>
      <c r="D991" t="s">
        <v>1475</v>
      </c>
      <c r="E991" t="s">
        <v>3379</v>
      </c>
      <c r="F991" t="s">
        <v>2677</v>
      </c>
      <c r="G991" t="b">
        <v>1</v>
      </c>
      <c r="H991" t="b">
        <v>1</v>
      </c>
    </row>
    <row r="992" spans="1:8" x14ac:dyDescent="0.25">
      <c r="A992">
        <v>822</v>
      </c>
      <c r="B992" t="s">
        <v>957</v>
      </c>
      <c r="C992" t="s">
        <v>138</v>
      </c>
      <c r="D992" t="s">
        <v>1471</v>
      </c>
      <c r="E992" t="s">
        <v>2678</v>
      </c>
      <c r="F992" t="s">
        <v>2677</v>
      </c>
      <c r="G992" t="b">
        <v>1</v>
      </c>
    </row>
    <row r="993" spans="1:7" x14ac:dyDescent="0.25">
      <c r="A993">
        <v>823</v>
      </c>
      <c r="B993" t="s">
        <v>958</v>
      </c>
      <c r="C993" t="s">
        <v>138</v>
      </c>
      <c r="D993" t="s">
        <v>1471</v>
      </c>
      <c r="E993" t="s">
        <v>2679</v>
      </c>
      <c r="F993" t="s">
        <v>2677</v>
      </c>
      <c r="G993" t="b">
        <v>1</v>
      </c>
    </row>
    <row r="994" spans="1:7" x14ac:dyDescent="0.25">
      <c r="A994">
        <v>824</v>
      </c>
      <c r="B994" t="s">
        <v>959</v>
      </c>
      <c r="C994" t="s">
        <v>136</v>
      </c>
      <c r="D994" t="s">
        <v>1476</v>
      </c>
      <c r="E994" t="s">
        <v>2680</v>
      </c>
      <c r="F994" t="s">
        <v>2677</v>
      </c>
      <c r="G994" t="b">
        <v>1</v>
      </c>
    </row>
    <row r="995" spans="1:7" x14ac:dyDescent="0.25">
      <c r="A995">
        <v>825</v>
      </c>
      <c r="B995" t="s">
        <v>960</v>
      </c>
      <c r="C995" t="s">
        <v>138</v>
      </c>
      <c r="D995" t="s">
        <v>1471</v>
      </c>
      <c r="E995" t="s">
        <v>2681</v>
      </c>
      <c r="F995" t="s">
        <v>2682</v>
      </c>
      <c r="G995" t="b">
        <v>1</v>
      </c>
    </row>
    <row r="996" spans="1:7" x14ac:dyDescent="0.25">
      <c r="A996">
        <v>826</v>
      </c>
      <c r="B996" t="s">
        <v>961</v>
      </c>
      <c r="C996" t="s">
        <v>138</v>
      </c>
      <c r="D996" t="s">
        <v>1475</v>
      </c>
      <c r="E996" t="s">
        <v>2683</v>
      </c>
      <c r="F996" t="s">
        <v>2684</v>
      </c>
      <c r="G996" t="b">
        <v>1</v>
      </c>
    </row>
    <row r="997" spans="1:7" x14ac:dyDescent="0.25">
      <c r="A997">
        <v>827</v>
      </c>
      <c r="B997" t="s">
        <v>962</v>
      </c>
      <c r="C997" t="s">
        <v>138</v>
      </c>
      <c r="D997" t="s">
        <v>1475</v>
      </c>
      <c r="E997" t="s">
        <v>2685</v>
      </c>
      <c r="F997" t="s">
        <v>2684</v>
      </c>
      <c r="G997" t="b">
        <v>1</v>
      </c>
    </row>
    <row r="998" spans="1:7" x14ac:dyDescent="0.25">
      <c r="A998">
        <v>828</v>
      </c>
      <c r="B998" t="s">
        <v>963</v>
      </c>
      <c r="C998" t="s">
        <v>138</v>
      </c>
      <c r="D998" t="s">
        <v>1475</v>
      </c>
      <c r="E998" t="s">
        <v>2686</v>
      </c>
      <c r="F998" t="s">
        <v>2684</v>
      </c>
      <c r="G998" t="b">
        <v>1</v>
      </c>
    </row>
    <row r="999" spans="1:7" x14ac:dyDescent="0.25">
      <c r="A999">
        <v>829</v>
      </c>
      <c r="B999" t="s">
        <v>964</v>
      </c>
      <c r="C999" t="s">
        <v>136</v>
      </c>
      <c r="D999" t="s">
        <v>1474</v>
      </c>
      <c r="E999" t="s">
        <v>2687</v>
      </c>
      <c r="F999" t="s">
        <v>2684</v>
      </c>
      <c r="G999" t="b">
        <v>1</v>
      </c>
    </row>
    <row r="1000" spans="1:7" x14ac:dyDescent="0.25">
      <c r="A1000">
        <v>830</v>
      </c>
      <c r="B1000" t="s">
        <v>965</v>
      </c>
      <c r="C1000" t="s">
        <v>136</v>
      </c>
      <c r="D1000" t="s">
        <v>1474</v>
      </c>
      <c r="E1000" t="s">
        <v>2688</v>
      </c>
      <c r="F1000" t="s">
        <v>2684</v>
      </c>
      <c r="G1000" t="b">
        <v>1</v>
      </c>
    </row>
    <row r="1001" spans="1:7" x14ac:dyDescent="0.25">
      <c r="A1001">
        <v>831</v>
      </c>
      <c r="B1001" t="s">
        <v>966</v>
      </c>
      <c r="C1001" t="s">
        <v>138</v>
      </c>
      <c r="D1001" t="s">
        <v>1471</v>
      </c>
      <c r="E1001" t="s">
        <v>2689</v>
      </c>
      <c r="F1001" t="s">
        <v>2684</v>
      </c>
      <c r="G1001" t="b">
        <v>1</v>
      </c>
    </row>
    <row r="1002" spans="1:7" x14ac:dyDescent="0.25">
      <c r="A1002">
        <v>832</v>
      </c>
      <c r="B1002" t="s">
        <v>967</v>
      </c>
      <c r="C1002" t="s">
        <v>138</v>
      </c>
      <c r="D1002" t="s">
        <v>1471</v>
      </c>
      <c r="E1002" t="s">
        <v>2690</v>
      </c>
      <c r="F1002" t="s">
        <v>2684</v>
      </c>
      <c r="G1002" t="b">
        <v>1</v>
      </c>
    </row>
    <row r="1003" spans="1:7" x14ac:dyDescent="0.25">
      <c r="A1003">
        <v>833</v>
      </c>
      <c r="B1003" t="s">
        <v>968</v>
      </c>
      <c r="C1003" t="s">
        <v>136</v>
      </c>
      <c r="D1003" t="s">
        <v>1476</v>
      </c>
      <c r="E1003" t="s">
        <v>1890</v>
      </c>
      <c r="F1003" t="s">
        <v>2684</v>
      </c>
      <c r="G1003" t="b">
        <v>1</v>
      </c>
    </row>
    <row r="1004" spans="1:7" x14ac:dyDescent="0.25">
      <c r="A1004">
        <v>834</v>
      </c>
      <c r="B1004" t="s">
        <v>969</v>
      </c>
      <c r="C1004" t="s">
        <v>138</v>
      </c>
      <c r="D1004" t="s">
        <v>1471</v>
      </c>
      <c r="E1004" t="s">
        <v>2171</v>
      </c>
      <c r="F1004" t="s">
        <v>2691</v>
      </c>
      <c r="G1004" t="b">
        <v>1</v>
      </c>
    </row>
    <row r="1005" spans="1:7" x14ac:dyDescent="0.25">
      <c r="A1005">
        <v>835</v>
      </c>
      <c r="B1005" t="s">
        <v>970</v>
      </c>
      <c r="C1005" t="s">
        <v>138</v>
      </c>
      <c r="D1005" t="s">
        <v>1471</v>
      </c>
      <c r="E1005" t="s">
        <v>2692</v>
      </c>
      <c r="F1005" t="s">
        <v>2693</v>
      </c>
      <c r="G1005" t="b">
        <v>1</v>
      </c>
    </row>
    <row r="1006" spans="1:7" x14ac:dyDescent="0.25">
      <c r="A1006">
        <v>836</v>
      </c>
      <c r="B1006" t="s">
        <v>971</v>
      </c>
      <c r="C1006" t="s">
        <v>138</v>
      </c>
      <c r="D1006" t="s">
        <v>1471</v>
      </c>
      <c r="E1006" t="s">
        <v>1861</v>
      </c>
      <c r="F1006" t="s">
        <v>2694</v>
      </c>
      <c r="G1006" t="b">
        <v>1</v>
      </c>
    </row>
    <row r="1007" spans="1:7" x14ac:dyDescent="0.25">
      <c r="A1007">
        <v>837</v>
      </c>
      <c r="B1007" t="s">
        <v>972</v>
      </c>
      <c r="C1007" t="s">
        <v>138</v>
      </c>
      <c r="D1007" t="s">
        <v>1471</v>
      </c>
      <c r="E1007" t="s">
        <v>2695</v>
      </c>
      <c r="F1007" t="s">
        <v>2696</v>
      </c>
      <c r="G1007" t="b">
        <v>1</v>
      </c>
    </row>
    <row r="1008" spans="1:7" x14ac:dyDescent="0.25">
      <c r="A1008">
        <v>838</v>
      </c>
      <c r="B1008" t="s">
        <v>973</v>
      </c>
      <c r="C1008" t="s">
        <v>138</v>
      </c>
      <c r="D1008" t="s">
        <v>1471</v>
      </c>
      <c r="E1008" t="s">
        <v>2697</v>
      </c>
      <c r="F1008" t="s">
        <v>2696</v>
      </c>
      <c r="G1008" t="b">
        <v>1</v>
      </c>
    </row>
    <row r="1009" spans="1:7" x14ac:dyDescent="0.25">
      <c r="A1009">
        <v>839</v>
      </c>
      <c r="B1009" t="s">
        <v>974</v>
      </c>
      <c r="C1009" t="s">
        <v>138</v>
      </c>
      <c r="D1009" t="s">
        <v>1471</v>
      </c>
      <c r="E1009" t="s">
        <v>2698</v>
      </c>
      <c r="F1009" t="s">
        <v>2696</v>
      </c>
      <c r="G1009" t="b">
        <v>1</v>
      </c>
    </row>
    <row r="1010" spans="1:7" x14ac:dyDescent="0.25">
      <c r="A1010">
        <v>840</v>
      </c>
      <c r="B1010" t="s">
        <v>975</v>
      </c>
      <c r="C1010" t="s">
        <v>138</v>
      </c>
      <c r="D1010" t="s">
        <v>1471</v>
      </c>
      <c r="E1010" t="s">
        <v>2699</v>
      </c>
      <c r="F1010" t="s">
        <v>2696</v>
      </c>
      <c r="G1010" t="b">
        <v>1</v>
      </c>
    </row>
    <row r="1011" spans="1:7" x14ac:dyDescent="0.25">
      <c r="A1011">
        <v>841</v>
      </c>
      <c r="B1011" t="s">
        <v>976</v>
      </c>
      <c r="C1011" t="s">
        <v>136</v>
      </c>
      <c r="D1011" t="s">
        <v>1474</v>
      </c>
      <c r="E1011" t="s">
        <v>2700</v>
      </c>
      <c r="F1011" t="s">
        <v>2701</v>
      </c>
      <c r="G1011" t="b">
        <v>1</v>
      </c>
    </row>
    <row r="1012" spans="1:7" x14ac:dyDescent="0.25">
      <c r="A1012">
        <v>842</v>
      </c>
      <c r="B1012" t="s">
        <v>977</v>
      </c>
      <c r="C1012" t="s">
        <v>136</v>
      </c>
      <c r="D1012" t="s">
        <v>1474</v>
      </c>
      <c r="E1012" t="s">
        <v>2036</v>
      </c>
      <c r="F1012" t="s">
        <v>2702</v>
      </c>
      <c r="G1012" t="b">
        <v>1</v>
      </c>
    </row>
    <row r="1013" spans="1:7" x14ac:dyDescent="0.25">
      <c r="A1013">
        <v>843</v>
      </c>
      <c r="B1013" t="s">
        <v>978</v>
      </c>
      <c r="C1013" t="s">
        <v>138</v>
      </c>
      <c r="D1013" t="s">
        <v>1471</v>
      </c>
      <c r="E1013" t="s">
        <v>2703</v>
      </c>
      <c r="F1013" t="s">
        <v>2704</v>
      </c>
      <c r="G1013" t="b">
        <v>1</v>
      </c>
    </row>
    <row r="1014" spans="1:7" x14ac:dyDescent="0.25">
      <c r="A1014">
        <v>844</v>
      </c>
      <c r="B1014" t="s">
        <v>979</v>
      </c>
      <c r="C1014" t="s">
        <v>138</v>
      </c>
      <c r="D1014" t="s">
        <v>1471</v>
      </c>
      <c r="E1014" t="s">
        <v>2705</v>
      </c>
      <c r="F1014" t="s">
        <v>2704</v>
      </c>
      <c r="G1014" t="b">
        <v>1</v>
      </c>
    </row>
    <row r="1015" spans="1:7" x14ac:dyDescent="0.25">
      <c r="A1015">
        <v>845</v>
      </c>
      <c r="B1015" t="s">
        <v>980</v>
      </c>
      <c r="C1015" t="s">
        <v>138</v>
      </c>
      <c r="D1015" t="s">
        <v>1471</v>
      </c>
      <c r="E1015" t="s">
        <v>2706</v>
      </c>
      <c r="F1015" t="s">
        <v>2707</v>
      </c>
      <c r="G1015" t="b">
        <v>1</v>
      </c>
    </row>
    <row r="1016" spans="1:7" x14ac:dyDescent="0.25">
      <c r="A1016">
        <v>846</v>
      </c>
      <c r="B1016" t="s">
        <v>981</v>
      </c>
      <c r="C1016" t="s">
        <v>136</v>
      </c>
      <c r="D1016" t="s">
        <v>1476</v>
      </c>
      <c r="E1016" t="s">
        <v>2708</v>
      </c>
      <c r="F1016" t="s">
        <v>2707</v>
      </c>
      <c r="G1016" t="b">
        <v>1</v>
      </c>
    </row>
    <row r="1017" spans="1:7" x14ac:dyDescent="0.25">
      <c r="A1017">
        <v>847</v>
      </c>
      <c r="B1017" t="s">
        <v>982</v>
      </c>
      <c r="C1017" t="s">
        <v>138</v>
      </c>
      <c r="D1017" t="s">
        <v>1471</v>
      </c>
      <c r="E1017" t="s">
        <v>2709</v>
      </c>
      <c r="F1017" t="s">
        <v>2710</v>
      </c>
      <c r="G1017" t="b">
        <v>1</v>
      </c>
    </row>
    <row r="1018" spans="1:7" x14ac:dyDescent="0.25">
      <c r="A1018">
        <v>848</v>
      </c>
      <c r="B1018" t="s">
        <v>983</v>
      </c>
      <c r="C1018" t="s">
        <v>138</v>
      </c>
      <c r="D1018" t="s">
        <v>1471</v>
      </c>
      <c r="E1018" t="s">
        <v>2711</v>
      </c>
      <c r="F1018" t="s">
        <v>2501</v>
      </c>
      <c r="G1018" t="b">
        <v>1</v>
      </c>
    </row>
    <row r="1019" spans="1:7" x14ac:dyDescent="0.25">
      <c r="A1019">
        <v>849</v>
      </c>
      <c r="B1019" t="s">
        <v>984</v>
      </c>
      <c r="C1019" t="s">
        <v>138</v>
      </c>
      <c r="D1019" t="s">
        <v>1471</v>
      </c>
      <c r="E1019" t="s">
        <v>2712</v>
      </c>
      <c r="F1019" t="s">
        <v>2713</v>
      </c>
      <c r="G1019" t="b">
        <v>1</v>
      </c>
    </row>
    <row r="1020" spans="1:7" x14ac:dyDescent="0.25">
      <c r="A1020">
        <v>850</v>
      </c>
      <c r="B1020" t="s">
        <v>985</v>
      </c>
      <c r="C1020" t="s">
        <v>138</v>
      </c>
      <c r="D1020" t="s">
        <v>1471</v>
      </c>
      <c r="E1020" t="s">
        <v>2714</v>
      </c>
      <c r="F1020" t="s">
        <v>2713</v>
      </c>
      <c r="G1020" t="b">
        <v>1</v>
      </c>
    </row>
    <row r="1021" spans="1:7" x14ac:dyDescent="0.25">
      <c r="A1021">
        <v>851</v>
      </c>
      <c r="B1021" t="s">
        <v>986</v>
      </c>
      <c r="C1021" t="s">
        <v>138</v>
      </c>
      <c r="D1021" t="s">
        <v>1471</v>
      </c>
      <c r="E1021" t="s">
        <v>2715</v>
      </c>
      <c r="F1021" t="s">
        <v>2713</v>
      </c>
      <c r="G1021" t="b">
        <v>1</v>
      </c>
    </row>
    <row r="1022" spans="1:7" x14ac:dyDescent="0.25">
      <c r="A1022">
        <v>852</v>
      </c>
      <c r="B1022" t="s">
        <v>987</v>
      </c>
      <c r="C1022" t="s">
        <v>136</v>
      </c>
      <c r="D1022" t="s">
        <v>1476</v>
      </c>
      <c r="E1022" t="s">
        <v>2716</v>
      </c>
      <c r="F1022" t="s">
        <v>2713</v>
      </c>
      <c r="G1022" t="b">
        <v>1</v>
      </c>
    </row>
    <row r="1023" spans="1:7" x14ac:dyDescent="0.25">
      <c r="A1023">
        <v>853</v>
      </c>
      <c r="B1023" t="s">
        <v>988</v>
      </c>
      <c r="C1023" t="s">
        <v>136</v>
      </c>
      <c r="D1023" t="s">
        <v>1474</v>
      </c>
      <c r="E1023" t="s">
        <v>2717</v>
      </c>
      <c r="F1023" t="s">
        <v>2718</v>
      </c>
      <c r="G1023" t="b">
        <v>1</v>
      </c>
    </row>
    <row r="1024" spans="1:7" x14ac:dyDescent="0.25">
      <c r="A1024">
        <v>854</v>
      </c>
      <c r="B1024" t="s">
        <v>989</v>
      </c>
      <c r="C1024" t="s">
        <v>138</v>
      </c>
      <c r="D1024" t="s">
        <v>1471</v>
      </c>
      <c r="E1024" t="s">
        <v>2719</v>
      </c>
      <c r="F1024" t="s">
        <v>2720</v>
      </c>
      <c r="G1024" t="b">
        <v>1</v>
      </c>
    </row>
    <row r="1025" spans="1:8" x14ac:dyDescent="0.25">
      <c r="A1025">
        <v>855</v>
      </c>
      <c r="B1025" t="s">
        <v>990</v>
      </c>
      <c r="C1025" t="s">
        <v>138</v>
      </c>
      <c r="D1025" t="s">
        <v>1471</v>
      </c>
      <c r="E1025" t="s">
        <v>1525</v>
      </c>
      <c r="F1025" t="s">
        <v>2146</v>
      </c>
      <c r="G1025" t="b">
        <v>1</v>
      </c>
    </row>
    <row r="1026" spans="1:8" x14ac:dyDescent="0.25">
      <c r="A1026">
        <v>856</v>
      </c>
      <c r="B1026" t="s">
        <v>991</v>
      </c>
      <c r="C1026" t="s">
        <v>138</v>
      </c>
      <c r="D1026" t="s">
        <v>1471</v>
      </c>
      <c r="E1026" t="s">
        <v>2721</v>
      </c>
      <c r="F1026" t="s">
        <v>2722</v>
      </c>
      <c r="G1026" t="b">
        <v>1</v>
      </c>
    </row>
    <row r="1027" spans="1:8" x14ac:dyDescent="0.25">
      <c r="A1027">
        <v>857</v>
      </c>
      <c r="B1027" t="s">
        <v>992</v>
      </c>
      <c r="C1027" t="s">
        <v>136</v>
      </c>
      <c r="D1027" t="s">
        <v>1474</v>
      </c>
      <c r="E1027" t="s">
        <v>3367</v>
      </c>
      <c r="F1027" t="s">
        <v>2723</v>
      </c>
      <c r="G1027" t="b">
        <v>1</v>
      </c>
      <c r="H1027" t="b">
        <v>1</v>
      </c>
    </row>
    <row r="1028" spans="1:8" x14ac:dyDescent="0.25">
      <c r="A1028">
        <v>858</v>
      </c>
      <c r="B1028" t="s">
        <v>993</v>
      </c>
      <c r="C1028" t="s">
        <v>138</v>
      </c>
      <c r="D1028" t="s">
        <v>1471</v>
      </c>
      <c r="E1028" t="s">
        <v>2724</v>
      </c>
      <c r="F1028" t="s">
        <v>2725</v>
      </c>
      <c r="G1028" t="b">
        <v>1</v>
      </c>
    </row>
    <row r="1029" spans="1:8" x14ac:dyDescent="0.25">
      <c r="A1029">
        <v>859</v>
      </c>
      <c r="B1029" t="s">
        <v>994</v>
      </c>
      <c r="C1029" t="s">
        <v>138</v>
      </c>
      <c r="D1029" t="s">
        <v>1471</v>
      </c>
      <c r="E1029" t="s">
        <v>2726</v>
      </c>
      <c r="F1029" t="s">
        <v>2727</v>
      </c>
      <c r="G1029" t="b">
        <v>1</v>
      </c>
    </row>
    <row r="1030" spans="1:8" x14ac:dyDescent="0.25">
      <c r="A1030">
        <v>860</v>
      </c>
      <c r="B1030" t="s">
        <v>995</v>
      </c>
      <c r="C1030" t="s">
        <v>136</v>
      </c>
      <c r="D1030" t="s">
        <v>1474</v>
      </c>
      <c r="E1030" t="s">
        <v>3367</v>
      </c>
      <c r="F1030" t="s">
        <v>2728</v>
      </c>
      <c r="G1030" t="b">
        <v>1</v>
      </c>
      <c r="H1030" t="b">
        <v>1</v>
      </c>
    </row>
    <row r="1031" spans="1:8" x14ac:dyDescent="0.25">
      <c r="A1031">
        <v>861</v>
      </c>
      <c r="B1031" t="s">
        <v>996</v>
      </c>
      <c r="C1031" t="s">
        <v>136</v>
      </c>
      <c r="D1031" t="s">
        <v>1474</v>
      </c>
      <c r="E1031" t="s">
        <v>2729</v>
      </c>
      <c r="F1031" t="s">
        <v>2730</v>
      </c>
      <c r="G1031" t="b">
        <v>1</v>
      </c>
    </row>
    <row r="1032" spans="1:8" x14ac:dyDescent="0.25">
      <c r="A1032">
        <v>862</v>
      </c>
      <c r="B1032" t="s">
        <v>997</v>
      </c>
      <c r="C1032" t="s">
        <v>136</v>
      </c>
      <c r="D1032" t="s">
        <v>1474</v>
      </c>
      <c r="E1032" t="s">
        <v>2731</v>
      </c>
      <c r="F1032" t="s">
        <v>2732</v>
      </c>
      <c r="G1032" t="b">
        <v>1</v>
      </c>
    </row>
    <row r="1033" spans="1:8" x14ac:dyDescent="0.25">
      <c r="A1033">
        <v>863</v>
      </c>
      <c r="B1033" t="s">
        <v>998</v>
      </c>
      <c r="C1033" t="s">
        <v>136</v>
      </c>
      <c r="D1033" t="s">
        <v>1474</v>
      </c>
      <c r="E1033" t="s">
        <v>2733</v>
      </c>
      <c r="F1033" t="s">
        <v>2734</v>
      </c>
      <c r="G1033" t="b">
        <v>1</v>
      </c>
    </row>
    <row r="1034" spans="1:8" x14ac:dyDescent="0.25">
      <c r="A1034">
        <v>864</v>
      </c>
      <c r="B1034" t="s">
        <v>999</v>
      </c>
      <c r="C1034" t="s">
        <v>138</v>
      </c>
      <c r="D1034" t="s">
        <v>1471</v>
      </c>
      <c r="E1034" t="s">
        <v>2735</v>
      </c>
      <c r="F1034" t="s">
        <v>2736</v>
      </c>
      <c r="G1034" t="b">
        <v>1</v>
      </c>
    </row>
    <row r="1035" spans="1:8" x14ac:dyDescent="0.25">
      <c r="A1035">
        <v>865</v>
      </c>
      <c r="B1035" t="s">
        <v>1000</v>
      </c>
      <c r="C1035" t="s">
        <v>136</v>
      </c>
      <c r="D1035" t="s">
        <v>1474</v>
      </c>
      <c r="E1035" t="s">
        <v>2737</v>
      </c>
      <c r="F1035" t="s">
        <v>2738</v>
      </c>
      <c r="G1035" t="b">
        <v>1</v>
      </c>
    </row>
    <row r="1036" spans="1:8" x14ac:dyDescent="0.25">
      <c r="A1036">
        <v>866</v>
      </c>
      <c r="B1036" t="s">
        <v>1001</v>
      </c>
      <c r="C1036" t="s">
        <v>136</v>
      </c>
      <c r="D1036" t="s">
        <v>1474</v>
      </c>
      <c r="E1036" t="s">
        <v>2739</v>
      </c>
      <c r="F1036" t="s">
        <v>1525</v>
      </c>
      <c r="G1036" t="b">
        <v>1</v>
      </c>
    </row>
    <row r="1037" spans="1:8" x14ac:dyDescent="0.25">
      <c r="A1037">
        <v>867</v>
      </c>
      <c r="B1037" t="s">
        <v>1002</v>
      </c>
      <c r="C1037" t="s">
        <v>136</v>
      </c>
      <c r="D1037" t="s">
        <v>1474</v>
      </c>
      <c r="E1037" t="s">
        <v>2740</v>
      </c>
      <c r="F1037" t="s">
        <v>2741</v>
      </c>
      <c r="G1037" t="b">
        <v>1</v>
      </c>
    </row>
    <row r="1038" spans="1:8" x14ac:dyDescent="0.25">
      <c r="A1038">
        <v>868</v>
      </c>
      <c r="B1038" t="s">
        <v>1003</v>
      </c>
      <c r="C1038" t="s">
        <v>136</v>
      </c>
      <c r="D1038" t="s">
        <v>1476</v>
      </c>
      <c r="E1038" t="s">
        <v>2742</v>
      </c>
      <c r="F1038" t="s">
        <v>2741</v>
      </c>
      <c r="G1038" t="b">
        <v>1</v>
      </c>
    </row>
    <row r="1039" spans="1:8" x14ac:dyDescent="0.25">
      <c r="A1039">
        <v>869</v>
      </c>
      <c r="B1039" t="s">
        <v>1004</v>
      </c>
      <c r="C1039" t="s">
        <v>138</v>
      </c>
      <c r="D1039" t="s">
        <v>1471</v>
      </c>
      <c r="E1039" t="s">
        <v>2743</v>
      </c>
      <c r="F1039" t="s">
        <v>2744</v>
      </c>
      <c r="G1039" t="b">
        <v>1</v>
      </c>
    </row>
    <row r="1040" spans="1:8" x14ac:dyDescent="0.25">
      <c r="A1040">
        <v>870</v>
      </c>
      <c r="B1040" t="s">
        <v>1005</v>
      </c>
      <c r="C1040" t="s">
        <v>138</v>
      </c>
      <c r="D1040" t="s">
        <v>1471</v>
      </c>
      <c r="E1040" t="s">
        <v>2745</v>
      </c>
      <c r="F1040" t="s">
        <v>2746</v>
      </c>
      <c r="G1040" t="b">
        <v>1</v>
      </c>
    </row>
    <row r="1041" spans="1:7" x14ac:dyDescent="0.25">
      <c r="A1041">
        <v>871</v>
      </c>
      <c r="B1041" t="s">
        <v>1006</v>
      </c>
      <c r="C1041" t="s">
        <v>136</v>
      </c>
      <c r="D1041" t="s">
        <v>1474</v>
      </c>
      <c r="E1041" t="s">
        <v>2747</v>
      </c>
      <c r="F1041" t="s">
        <v>2748</v>
      </c>
      <c r="G1041" t="b">
        <v>1</v>
      </c>
    </row>
    <row r="1042" spans="1:7" x14ac:dyDescent="0.25">
      <c r="A1042">
        <v>872</v>
      </c>
      <c r="B1042" t="s">
        <v>1007</v>
      </c>
      <c r="C1042" t="s">
        <v>138</v>
      </c>
      <c r="D1042" t="s">
        <v>1471</v>
      </c>
      <c r="E1042" t="s">
        <v>1646</v>
      </c>
      <c r="F1042" t="s">
        <v>2749</v>
      </c>
      <c r="G1042" t="b">
        <v>1</v>
      </c>
    </row>
    <row r="1043" spans="1:7" x14ac:dyDescent="0.25">
      <c r="A1043">
        <v>873</v>
      </c>
      <c r="B1043" t="s">
        <v>1008</v>
      </c>
      <c r="C1043" t="s">
        <v>136</v>
      </c>
      <c r="D1043" t="s">
        <v>1474</v>
      </c>
      <c r="E1043" t="s">
        <v>2750</v>
      </c>
      <c r="F1043" t="s">
        <v>2169</v>
      </c>
      <c r="G1043" t="b">
        <v>1</v>
      </c>
    </row>
    <row r="1044" spans="1:7" x14ac:dyDescent="0.25">
      <c r="A1044">
        <v>874</v>
      </c>
      <c r="B1044" t="s">
        <v>1009</v>
      </c>
      <c r="C1044" t="s">
        <v>138</v>
      </c>
      <c r="D1044" t="s">
        <v>1471</v>
      </c>
      <c r="E1044" t="s">
        <v>2751</v>
      </c>
      <c r="F1044" t="s">
        <v>2752</v>
      </c>
      <c r="G1044" t="b">
        <v>1</v>
      </c>
    </row>
    <row r="1045" spans="1:7" x14ac:dyDescent="0.25">
      <c r="A1045">
        <v>875</v>
      </c>
      <c r="B1045" t="s">
        <v>1010</v>
      </c>
      <c r="C1045" t="s">
        <v>138</v>
      </c>
      <c r="D1045" t="s">
        <v>1471</v>
      </c>
      <c r="E1045" t="s">
        <v>2719</v>
      </c>
      <c r="F1045" t="s">
        <v>2753</v>
      </c>
      <c r="G1045" t="b">
        <v>1</v>
      </c>
    </row>
    <row r="1046" spans="1:7" x14ac:dyDescent="0.25">
      <c r="A1046">
        <v>876</v>
      </c>
      <c r="B1046" t="s">
        <v>1011</v>
      </c>
      <c r="C1046" t="s">
        <v>138</v>
      </c>
      <c r="D1046" t="s">
        <v>1471</v>
      </c>
      <c r="E1046" t="s">
        <v>2754</v>
      </c>
      <c r="F1046" t="s">
        <v>2755</v>
      </c>
      <c r="G1046" t="b">
        <v>1</v>
      </c>
    </row>
    <row r="1047" spans="1:7" x14ac:dyDescent="0.25">
      <c r="A1047">
        <v>877</v>
      </c>
      <c r="B1047" t="s">
        <v>1012</v>
      </c>
      <c r="C1047" t="s">
        <v>138</v>
      </c>
      <c r="D1047" t="s">
        <v>1471</v>
      </c>
      <c r="E1047" t="s">
        <v>2756</v>
      </c>
      <c r="F1047" t="s">
        <v>2757</v>
      </c>
      <c r="G1047" t="b">
        <v>1</v>
      </c>
    </row>
    <row r="1048" spans="1:7" x14ac:dyDescent="0.25">
      <c r="A1048">
        <v>878</v>
      </c>
      <c r="B1048" t="s">
        <v>1013</v>
      </c>
      <c r="C1048" t="s">
        <v>136</v>
      </c>
      <c r="D1048" t="s">
        <v>1474</v>
      </c>
      <c r="E1048" t="s">
        <v>2758</v>
      </c>
      <c r="F1048" t="s">
        <v>2759</v>
      </c>
      <c r="G1048" t="b">
        <v>1</v>
      </c>
    </row>
    <row r="1049" spans="1:7" x14ac:dyDescent="0.25">
      <c r="A1049">
        <v>879</v>
      </c>
      <c r="B1049" t="s">
        <v>1014</v>
      </c>
      <c r="C1049" t="s">
        <v>136</v>
      </c>
      <c r="D1049" t="s">
        <v>1474</v>
      </c>
      <c r="E1049" t="s">
        <v>2760</v>
      </c>
      <c r="F1049" t="s">
        <v>2759</v>
      </c>
      <c r="G1049" t="b">
        <v>1</v>
      </c>
    </row>
    <row r="1050" spans="1:7" x14ac:dyDescent="0.25">
      <c r="A1050">
        <v>880</v>
      </c>
      <c r="B1050" t="s">
        <v>1015</v>
      </c>
      <c r="C1050" t="s">
        <v>138</v>
      </c>
      <c r="D1050" t="s">
        <v>1471</v>
      </c>
      <c r="E1050" t="s">
        <v>2761</v>
      </c>
      <c r="F1050" t="s">
        <v>2762</v>
      </c>
      <c r="G1050" t="b">
        <v>1</v>
      </c>
    </row>
    <row r="1051" spans="1:7" x14ac:dyDescent="0.25">
      <c r="A1051">
        <v>881</v>
      </c>
      <c r="B1051" t="s">
        <v>1016</v>
      </c>
      <c r="C1051" t="s">
        <v>138</v>
      </c>
      <c r="D1051" t="s">
        <v>1471</v>
      </c>
      <c r="E1051" t="s">
        <v>2564</v>
      </c>
      <c r="F1051" t="s">
        <v>2763</v>
      </c>
      <c r="G1051" t="b">
        <v>1</v>
      </c>
    </row>
    <row r="1052" spans="1:7" x14ac:dyDescent="0.25">
      <c r="A1052">
        <v>882</v>
      </c>
      <c r="B1052" t="s">
        <v>1017</v>
      </c>
      <c r="C1052" t="s">
        <v>138</v>
      </c>
      <c r="D1052" t="s">
        <v>1471</v>
      </c>
      <c r="E1052" t="s">
        <v>2764</v>
      </c>
      <c r="F1052" t="s">
        <v>2765</v>
      </c>
      <c r="G1052" t="b">
        <v>1</v>
      </c>
    </row>
    <row r="1053" spans="1:7" x14ac:dyDescent="0.25">
      <c r="A1053">
        <v>883</v>
      </c>
      <c r="B1053" t="s">
        <v>1018</v>
      </c>
      <c r="C1053" t="s">
        <v>138</v>
      </c>
      <c r="D1053" t="s">
        <v>1471</v>
      </c>
      <c r="E1053" t="s">
        <v>2766</v>
      </c>
      <c r="F1053" t="s">
        <v>2767</v>
      </c>
      <c r="G1053" t="b">
        <v>1</v>
      </c>
    </row>
    <row r="1054" spans="1:7" x14ac:dyDescent="0.25">
      <c r="A1054">
        <v>884</v>
      </c>
      <c r="B1054" t="s">
        <v>1019</v>
      </c>
      <c r="C1054" t="s">
        <v>138</v>
      </c>
      <c r="D1054" t="s">
        <v>1471</v>
      </c>
      <c r="E1054" t="s">
        <v>2768</v>
      </c>
      <c r="F1054" t="s">
        <v>2769</v>
      </c>
      <c r="G1054" t="b">
        <v>1</v>
      </c>
    </row>
    <row r="1055" spans="1:7" x14ac:dyDescent="0.25">
      <c r="A1055">
        <v>885</v>
      </c>
      <c r="B1055" t="s">
        <v>1020</v>
      </c>
      <c r="C1055" t="s">
        <v>138</v>
      </c>
      <c r="D1055" t="s">
        <v>1471</v>
      </c>
      <c r="E1055" t="s">
        <v>2770</v>
      </c>
      <c r="F1055" t="s">
        <v>2769</v>
      </c>
      <c r="G1055" t="b">
        <v>1</v>
      </c>
    </row>
    <row r="1056" spans="1:7" x14ac:dyDescent="0.25">
      <c r="A1056">
        <v>886</v>
      </c>
      <c r="B1056" t="s">
        <v>1021</v>
      </c>
      <c r="C1056" t="s">
        <v>138</v>
      </c>
      <c r="D1056" t="s">
        <v>1471</v>
      </c>
      <c r="E1056" t="s">
        <v>2771</v>
      </c>
      <c r="F1056" t="s">
        <v>2769</v>
      </c>
      <c r="G1056" t="b">
        <v>1</v>
      </c>
    </row>
    <row r="1057" spans="1:8" x14ac:dyDescent="0.25">
      <c r="A1057">
        <v>887</v>
      </c>
      <c r="B1057" t="s">
        <v>1022</v>
      </c>
      <c r="C1057" t="s">
        <v>136</v>
      </c>
      <c r="D1057" t="s">
        <v>1474</v>
      </c>
      <c r="E1057" t="s">
        <v>2772</v>
      </c>
      <c r="F1057" t="s">
        <v>2773</v>
      </c>
      <c r="G1057" t="b">
        <v>1</v>
      </c>
    </row>
    <row r="1058" spans="1:8" x14ac:dyDescent="0.25">
      <c r="A1058">
        <v>888</v>
      </c>
      <c r="B1058" t="s">
        <v>1023</v>
      </c>
      <c r="C1058" t="s">
        <v>138</v>
      </c>
      <c r="D1058" t="s">
        <v>1471</v>
      </c>
      <c r="E1058" t="s">
        <v>2774</v>
      </c>
      <c r="F1058" t="s">
        <v>2775</v>
      </c>
      <c r="G1058" t="b">
        <v>1</v>
      </c>
    </row>
    <row r="1059" spans="1:8" x14ac:dyDescent="0.25">
      <c r="A1059">
        <v>889</v>
      </c>
      <c r="B1059" t="s">
        <v>1024</v>
      </c>
      <c r="C1059" t="s">
        <v>138</v>
      </c>
      <c r="D1059" t="s">
        <v>1471</v>
      </c>
      <c r="E1059" t="s">
        <v>2776</v>
      </c>
      <c r="F1059" t="s">
        <v>2777</v>
      </c>
      <c r="G1059" t="b">
        <v>1</v>
      </c>
    </row>
    <row r="1060" spans="1:8" x14ac:dyDescent="0.25">
      <c r="A1060">
        <v>890</v>
      </c>
      <c r="B1060" t="s">
        <v>1025</v>
      </c>
      <c r="C1060" t="s">
        <v>138</v>
      </c>
      <c r="D1060" t="s">
        <v>1471</v>
      </c>
      <c r="E1060" t="s">
        <v>2778</v>
      </c>
      <c r="F1060" t="s">
        <v>2779</v>
      </c>
      <c r="G1060" t="b">
        <v>1</v>
      </c>
    </row>
    <row r="1061" spans="1:8" x14ac:dyDescent="0.25">
      <c r="A1061">
        <v>891</v>
      </c>
      <c r="B1061" t="s">
        <v>1026</v>
      </c>
      <c r="C1061" t="s">
        <v>138</v>
      </c>
      <c r="D1061" t="s">
        <v>1471</v>
      </c>
      <c r="E1061" t="s">
        <v>2780</v>
      </c>
      <c r="F1061" t="s">
        <v>2781</v>
      </c>
      <c r="G1061" t="b">
        <v>1</v>
      </c>
    </row>
    <row r="1062" spans="1:8" x14ac:dyDescent="0.25">
      <c r="A1062">
        <v>892</v>
      </c>
      <c r="B1062" t="s">
        <v>1027</v>
      </c>
      <c r="C1062" t="s">
        <v>138</v>
      </c>
      <c r="D1062" t="s">
        <v>1471</v>
      </c>
      <c r="E1062" t="s">
        <v>2782</v>
      </c>
      <c r="F1062" t="s">
        <v>2781</v>
      </c>
      <c r="G1062" t="b">
        <v>1</v>
      </c>
    </row>
    <row r="1063" spans="1:8" x14ac:dyDescent="0.25">
      <c r="A1063">
        <v>893</v>
      </c>
      <c r="B1063" t="s">
        <v>1028</v>
      </c>
      <c r="C1063" t="s">
        <v>138</v>
      </c>
      <c r="D1063" t="s">
        <v>1471</v>
      </c>
      <c r="E1063" t="s">
        <v>2783</v>
      </c>
      <c r="F1063" t="s">
        <v>2781</v>
      </c>
      <c r="G1063" t="b">
        <v>1</v>
      </c>
    </row>
    <row r="1064" spans="1:8" x14ac:dyDescent="0.25">
      <c r="A1064">
        <v>894</v>
      </c>
      <c r="B1064" t="s">
        <v>1029</v>
      </c>
      <c r="C1064" t="s">
        <v>138</v>
      </c>
      <c r="D1064" t="s">
        <v>1471</v>
      </c>
      <c r="E1064" t="s">
        <v>2784</v>
      </c>
      <c r="F1064" t="s">
        <v>2781</v>
      </c>
      <c r="G1064" t="b">
        <v>1</v>
      </c>
    </row>
    <row r="1065" spans="1:8" x14ac:dyDescent="0.25">
      <c r="A1065">
        <v>895</v>
      </c>
      <c r="B1065" t="s">
        <v>1030</v>
      </c>
      <c r="C1065" t="s">
        <v>138</v>
      </c>
      <c r="D1065" t="s">
        <v>1475</v>
      </c>
      <c r="E1065" t="s">
        <v>2785</v>
      </c>
      <c r="F1065" t="s">
        <v>2786</v>
      </c>
      <c r="G1065" t="b">
        <v>1</v>
      </c>
    </row>
    <row r="1066" spans="1:8" x14ac:dyDescent="0.25">
      <c r="A1066">
        <v>896</v>
      </c>
      <c r="B1066" t="s">
        <v>1031</v>
      </c>
      <c r="C1066" t="s">
        <v>136</v>
      </c>
      <c r="D1066" t="s">
        <v>1474</v>
      </c>
      <c r="E1066" t="s">
        <v>2787</v>
      </c>
      <c r="F1066" t="s">
        <v>2786</v>
      </c>
      <c r="G1066" t="b">
        <v>1</v>
      </c>
    </row>
    <row r="1067" spans="1:8" x14ac:dyDescent="0.25">
      <c r="A1067">
        <v>897</v>
      </c>
      <c r="B1067" t="s">
        <v>1032</v>
      </c>
      <c r="C1067" t="s">
        <v>138</v>
      </c>
      <c r="D1067" t="s">
        <v>1471</v>
      </c>
      <c r="E1067" t="s">
        <v>2123</v>
      </c>
      <c r="F1067" t="s">
        <v>2786</v>
      </c>
      <c r="G1067" t="b">
        <v>1</v>
      </c>
    </row>
    <row r="1068" spans="1:8" x14ac:dyDescent="0.25">
      <c r="A1068">
        <v>898</v>
      </c>
      <c r="B1068" t="s">
        <v>1033</v>
      </c>
      <c r="C1068" t="s">
        <v>138</v>
      </c>
      <c r="D1068" t="s">
        <v>1471</v>
      </c>
      <c r="E1068" t="s">
        <v>2788</v>
      </c>
      <c r="F1068" t="s">
        <v>2786</v>
      </c>
      <c r="G1068" t="b">
        <v>1</v>
      </c>
    </row>
    <row r="1069" spans="1:8" x14ac:dyDescent="0.25">
      <c r="A1069">
        <v>899</v>
      </c>
      <c r="B1069" t="s">
        <v>1034</v>
      </c>
      <c r="C1069" t="s">
        <v>138</v>
      </c>
      <c r="D1069" t="s">
        <v>1471</v>
      </c>
      <c r="E1069" t="s">
        <v>3389</v>
      </c>
      <c r="F1069" t="s">
        <v>2786</v>
      </c>
      <c r="G1069" t="b">
        <v>1</v>
      </c>
      <c r="H1069" t="b">
        <v>1</v>
      </c>
    </row>
    <row r="1070" spans="1:8" x14ac:dyDescent="0.25">
      <c r="A1070">
        <v>900</v>
      </c>
      <c r="B1070" t="s">
        <v>1035</v>
      </c>
      <c r="C1070" t="s">
        <v>136</v>
      </c>
      <c r="D1070" t="s">
        <v>1476</v>
      </c>
      <c r="E1070" t="s">
        <v>2789</v>
      </c>
      <c r="F1070" t="s">
        <v>2786</v>
      </c>
      <c r="G1070" t="b">
        <v>1</v>
      </c>
    </row>
    <row r="1071" spans="1:8" x14ac:dyDescent="0.25">
      <c r="A1071">
        <v>901</v>
      </c>
      <c r="B1071" t="s">
        <v>1036</v>
      </c>
      <c r="C1071" t="s">
        <v>138</v>
      </c>
      <c r="D1071" t="s">
        <v>1475</v>
      </c>
      <c r="E1071" t="s">
        <v>2884</v>
      </c>
      <c r="F1071" t="s">
        <v>2790</v>
      </c>
      <c r="G1071" t="b">
        <v>1</v>
      </c>
      <c r="H1071" t="b">
        <v>1</v>
      </c>
    </row>
    <row r="1072" spans="1:8" x14ac:dyDescent="0.25">
      <c r="A1072">
        <v>902</v>
      </c>
      <c r="B1072" t="s">
        <v>1037</v>
      </c>
      <c r="C1072" t="s">
        <v>136</v>
      </c>
      <c r="D1072" t="s">
        <v>1474</v>
      </c>
      <c r="E1072" t="s">
        <v>3368</v>
      </c>
      <c r="F1072" t="s">
        <v>2790</v>
      </c>
      <c r="G1072" t="b">
        <v>1</v>
      </c>
      <c r="H1072" t="b">
        <v>1</v>
      </c>
    </row>
    <row r="1073" spans="1:8" x14ac:dyDescent="0.25">
      <c r="A1073">
        <v>903</v>
      </c>
      <c r="B1073" t="s">
        <v>1038</v>
      </c>
      <c r="C1073" t="s">
        <v>138</v>
      </c>
      <c r="D1073" t="s">
        <v>1471</v>
      </c>
      <c r="E1073" t="s">
        <v>2791</v>
      </c>
      <c r="F1073" t="s">
        <v>2790</v>
      </c>
      <c r="G1073" t="b">
        <v>1</v>
      </c>
    </row>
    <row r="1074" spans="1:8" x14ac:dyDescent="0.25">
      <c r="A1074">
        <v>904</v>
      </c>
      <c r="B1074" t="s">
        <v>1039</v>
      </c>
      <c r="C1074" t="s">
        <v>136</v>
      </c>
      <c r="D1074" t="s">
        <v>1476</v>
      </c>
      <c r="E1074" t="s">
        <v>1529</v>
      </c>
      <c r="F1074" t="s">
        <v>2790</v>
      </c>
      <c r="G1074" t="b">
        <v>1</v>
      </c>
      <c r="H1074" t="b">
        <v>1</v>
      </c>
    </row>
    <row r="1075" spans="1:8" x14ac:dyDescent="0.25">
      <c r="A1075">
        <v>905</v>
      </c>
      <c r="B1075" t="s">
        <v>1040</v>
      </c>
      <c r="C1075" t="s">
        <v>138</v>
      </c>
      <c r="D1075" t="s">
        <v>1471</v>
      </c>
      <c r="E1075" t="s">
        <v>2792</v>
      </c>
      <c r="F1075" t="s">
        <v>2793</v>
      </c>
      <c r="G1075" t="b">
        <v>1</v>
      </c>
    </row>
    <row r="1076" spans="1:8" x14ac:dyDescent="0.25">
      <c r="A1076">
        <v>906</v>
      </c>
      <c r="B1076" t="s">
        <v>1041</v>
      </c>
      <c r="C1076" t="s">
        <v>138</v>
      </c>
      <c r="D1076" t="s">
        <v>1471</v>
      </c>
      <c r="E1076" t="s">
        <v>2794</v>
      </c>
      <c r="F1076" t="s">
        <v>2795</v>
      </c>
      <c r="G1076" t="b">
        <v>1</v>
      </c>
    </row>
    <row r="1077" spans="1:8" x14ac:dyDescent="0.25">
      <c r="A1077">
        <v>907</v>
      </c>
      <c r="B1077" t="s">
        <v>1042</v>
      </c>
      <c r="C1077" t="s">
        <v>138</v>
      </c>
      <c r="D1077" t="s">
        <v>1471</v>
      </c>
      <c r="E1077" t="s">
        <v>2796</v>
      </c>
      <c r="F1077" t="s">
        <v>2795</v>
      </c>
      <c r="G1077" t="b">
        <v>1</v>
      </c>
    </row>
    <row r="1078" spans="1:8" x14ac:dyDescent="0.25">
      <c r="A1078">
        <v>908</v>
      </c>
      <c r="B1078" t="s">
        <v>1043</v>
      </c>
      <c r="C1078" t="s">
        <v>136</v>
      </c>
      <c r="D1078" t="s">
        <v>1474</v>
      </c>
      <c r="E1078" t="s">
        <v>2797</v>
      </c>
      <c r="F1078" t="s">
        <v>2798</v>
      </c>
      <c r="G1078" t="b">
        <v>1</v>
      </c>
    </row>
    <row r="1079" spans="1:8" x14ac:dyDescent="0.25">
      <c r="A1079">
        <v>909</v>
      </c>
      <c r="B1079" t="s">
        <v>1044</v>
      </c>
      <c r="C1079" t="s">
        <v>136</v>
      </c>
      <c r="D1079" t="s">
        <v>1474</v>
      </c>
      <c r="E1079" t="s">
        <v>2799</v>
      </c>
      <c r="F1079" t="s">
        <v>2798</v>
      </c>
      <c r="G1079" t="b">
        <v>1</v>
      </c>
    </row>
    <row r="1080" spans="1:8" x14ac:dyDescent="0.25">
      <c r="A1080">
        <v>910</v>
      </c>
      <c r="B1080" t="s">
        <v>1045</v>
      </c>
      <c r="C1080" t="s">
        <v>138</v>
      </c>
      <c r="D1080" t="s">
        <v>1471</v>
      </c>
      <c r="E1080" t="s">
        <v>2800</v>
      </c>
      <c r="F1080" t="s">
        <v>2798</v>
      </c>
      <c r="G1080" t="b">
        <v>1</v>
      </c>
    </row>
    <row r="1081" spans="1:8" x14ac:dyDescent="0.25">
      <c r="A1081">
        <v>911</v>
      </c>
      <c r="B1081" t="s">
        <v>1046</v>
      </c>
      <c r="C1081" t="s">
        <v>138</v>
      </c>
      <c r="D1081" t="s">
        <v>1471</v>
      </c>
      <c r="E1081" t="s">
        <v>2801</v>
      </c>
      <c r="F1081" t="s">
        <v>2802</v>
      </c>
      <c r="G1081" t="b">
        <v>1</v>
      </c>
    </row>
    <row r="1082" spans="1:8" x14ac:dyDescent="0.25">
      <c r="A1082">
        <v>912</v>
      </c>
      <c r="B1082" t="s">
        <v>1047</v>
      </c>
      <c r="C1082" t="s">
        <v>138</v>
      </c>
      <c r="D1082" t="s">
        <v>1471</v>
      </c>
      <c r="E1082" t="s">
        <v>2803</v>
      </c>
      <c r="F1082" t="s">
        <v>2804</v>
      </c>
      <c r="G1082" t="b">
        <v>1</v>
      </c>
    </row>
    <row r="1083" spans="1:8" x14ac:dyDescent="0.25">
      <c r="A1083">
        <v>913</v>
      </c>
      <c r="B1083" t="s">
        <v>1048</v>
      </c>
      <c r="C1083" t="s">
        <v>138</v>
      </c>
      <c r="D1083" t="s">
        <v>1471</v>
      </c>
      <c r="E1083" t="s">
        <v>2805</v>
      </c>
      <c r="F1083" t="s">
        <v>2806</v>
      </c>
      <c r="G1083" t="b">
        <v>1</v>
      </c>
    </row>
    <row r="1084" spans="1:8" x14ac:dyDescent="0.25">
      <c r="A1084">
        <v>914</v>
      </c>
      <c r="B1084" t="s">
        <v>1049</v>
      </c>
      <c r="C1084" t="s">
        <v>138</v>
      </c>
      <c r="D1084" t="s">
        <v>1471</v>
      </c>
      <c r="E1084" t="s">
        <v>2807</v>
      </c>
      <c r="F1084" t="s">
        <v>2808</v>
      </c>
      <c r="G1084" t="b">
        <v>1</v>
      </c>
    </row>
    <row r="1085" spans="1:8" x14ac:dyDescent="0.25">
      <c r="A1085">
        <v>915</v>
      </c>
      <c r="B1085" t="s">
        <v>1050</v>
      </c>
      <c r="C1085" t="s">
        <v>138</v>
      </c>
      <c r="D1085" t="s">
        <v>1471</v>
      </c>
      <c r="E1085" t="s">
        <v>2809</v>
      </c>
      <c r="F1085" t="s">
        <v>2808</v>
      </c>
      <c r="G1085" t="b">
        <v>1</v>
      </c>
    </row>
    <row r="1086" spans="1:8" x14ac:dyDescent="0.25">
      <c r="A1086">
        <v>916</v>
      </c>
      <c r="B1086" t="s">
        <v>1051</v>
      </c>
      <c r="C1086" t="s">
        <v>138</v>
      </c>
      <c r="D1086" t="s">
        <v>1471</v>
      </c>
      <c r="E1086" t="s">
        <v>2810</v>
      </c>
      <c r="F1086" t="s">
        <v>2808</v>
      </c>
      <c r="G1086" t="b">
        <v>1</v>
      </c>
    </row>
    <row r="1087" spans="1:8" x14ac:dyDescent="0.25">
      <c r="A1087">
        <v>917</v>
      </c>
      <c r="B1087" t="s">
        <v>1052</v>
      </c>
      <c r="C1087" t="s">
        <v>136</v>
      </c>
      <c r="D1087" t="s">
        <v>1474</v>
      </c>
      <c r="E1087" t="s">
        <v>2811</v>
      </c>
      <c r="F1087" t="s">
        <v>2812</v>
      </c>
      <c r="G1087" t="b">
        <v>1</v>
      </c>
    </row>
    <row r="1088" spans="1:8" x14ac:dyDescent="0.25">
      <c r="A1088">
        <v>918</v>
      </c>
      <c r="B1088" t="s">
        <v>1053</v>
      </c>
      <c r="C1088" t="s">
        <v>138</v>
      </c>
      <c r="D1088" t="s">
        <v>1471</v>
      </c>
      <c r="E1088" t="s">
        <v>2292</v>
      </c>
      <c r="F1088" t="s">
        <v>2812</v>
      </c>
      <c r="G1088" t="b">
        <v>1</v>
      </c>
    </row>
    <row r="1089" spans="1:8" x14ac:dyDescent="0.25">
      <c r="A1089">
        <v>919</v>
      </c>
      <c r="B1089" t="s">
        <v>1054</v>
      </c>
      <c r="C1089" t="s">
        <v>138</v>
      </c>
      <c r="D1089" t="s">
        <v>1471</v>
      </c>
      <c r="E1089" t="s">
        <v>2813</v>
      </c>
      <c r="F1089" t="s">
        <v>2814</v>
      </c>
      <c r="G1089" t="b">
        <v>1</v>
      </c>
    </row>
    <row r="1090" spans="1:8" x14ac:dyDescent="0.25">
      <c r="A1090">
        <v>920</v>
      </c>
      <c r="B1090" t="s">
        <v>1055</v>
      </c>
      <c r="C1090" t="s">
        <v>138</v>
      </c>
      <c r="D1090" t="s">
        <v>1471</v>
      </c>
      <c r="E1090" t="s">
        <v>2815</v>
      </c>
      <c r="F1090" t="s">
        <v>2816</v>
      </c>
      <c r="G1090" t="b">
        <v>1</v>
      </c>
    </row>
    <row r="1091" spans="1:8" x14ac:dyDescent="0.25">
      <c r="A1091">
        <v>921</v>
      </c>
      <c r="B1091" t="s">
        <v>1056</v>
      </c>
      <c r="C1091" t="s">
        <v>138</v>
      </c>
      <c r="D1091" t="s">
        <v>1471</v>
      </c>
      <c r="E1091" t="s">
        <v>1993</v>
      </c>
      <c r="F1091" t="s">
        <v>2192</v>
      </c>
      <c r="G1091" t="b">
        <v>1</v>
      </c>
      <c r="H1091" t="b">
        <v>1</v>
      </c>
    </row>
    <row r="1092" spans="1:8" x14ac:dyDescent="0.25">
      <c r="A1092">
        <v>922</v>
      </c>
      <c r="B1092" t="s">
        <v>1057</v>
      </c>
      <c r="C1092" t="s">
        <v>138</v>
      </c>
      <c r="D1092" t="s">
        <v>1471</v>
      </c>
      <c r="E1092" t="s">
        <v>2664</v>
      </c>
      <c r="F1092" t="s">
        <v>2817</v>
      </c>
      <c r="G1092" t="b">
        <v>1</v>
      </c>
    </row>
    <row r="1093" spans="1:8" x14ac:dyDescent="0.25">
      <c r="A1093">
        <v>923</v>
      </c>
      <c r="B1093" t="s">
        <v>1058</v>
      </c>
      <c r="C1093" t="s">
        <v>136</v>
      </c>
      <c r="D1093" t="s">
        <v>1474</v>
      </c>
      <c r="E1093" t="s">
        <v>3369</v>
      </c>
      <c r="F1093" t="s">
        <v>2193</v>
      </c>
      <c r="G1093" t="b">
        <v>1</v>
      </c>
      <c r="H1093" t="b">
        <v>1</v>
      </c>
    </row>
    <row r="1094" spans="1:8" x14ac:dyDescent="0.25">
      <c r="A1094">
        <v>924</v>
      </c>
      <c r="B1094" t="s">
        <v>1059</v>
      </c>
      <c r="C1094" t="s">
        <v>136</v>
      </c>
      <c r="D1094" t="s">
        <v>1474</v>
      </c>
      <c r="E1094" t="s">
        <v>1660</v>
      </c>
      <c r="F1094" t="s">
        <v>2193</v>
      </c>
      <c r="G1094" t="b">
        <v>1</v>
      </c>
    </row>
    <row r="1095" spans="1:8" x14ac:dyDescent="0.25">
      <c r="A1095">
        <v>925</v>
      </c>
      <c r="B1095" t="s">
        <v>1060</v>
      </c>
      <c r="C1095" t="s">
        <v>138</v>
      </c>
      <c r="D1095" t="s">
        <v>1471</v>
      </c>
      <c r="E1095" t="s">
        <v>2350</v>
      </c>
      <c r="F1095" t="s">
        <v>2193</v>
      </c>
      <c r="G1095" t="b">
        <v>1</v>
      </c>
    </row>
    <row r="1096" spans="1:8" x14ac:dyDescent="0.25">
      <c r="A1096">
        <v>926</v>
      </c>
      <c r="B1096" t="s">
        <v>1060</v>
      </c>
      <c r="C1096" t="s">
        <v>138</v>
      </c>
      <c r="D1096" t="s">
        <v>1471</v>
      </c>
      <c r="E1096" t="s">
        <v>2350</v>
      </c>
      <c r="F1096" t="s">
        <v>2193</v>
      </c>
      <c r="G1096" t="b">
        <v>1</v>
      </c>
    </row>
    <row r="1097" spans="1:8" x14ac:dyDescent="0.25">
      <c r="A1097">
        <v>927</v>
      </c>
      <c r="B1097" t="s">
        <v>1061</v>
      </c>
      <c r="C1097" t="s">
        <v>138</v>
      </c>
      <c r="D1097" t="s">
        <v>1471</v>
      </c>
      <c r="E1097" t="s">
        <v>1646</v>
      </c>
      <c r="F1097" t="s">
        <v>2818</v>
      </c>
      <c r="G1097" t="b">
        <v>1</v>
      </c>
    </row>
    <row r="1098" spans="1:8" x14ac:dyDescent="0.25">
      <c r="A1098">
        <v>928</v>
      </c>
      <c r="B1098" t="s">
        <v>1062</v>
      </c>
      <c r="C1098" t="s">
        <v>138</v>
      </c>
      <c r="D1098" t="s">
        <v>1471</v>
      </c>
      <c r="E1098" t="s">
        <v>2488</v>
      </c>
      <c r="F1098" t="s">
        <v>2819</v>
      </c>
      <c r="G1098" t="b">
        <v>1</v>
      </c>
    </row>
    <row r="1099" spans="1:8" x14ac:dyDescent="0.25">
      <c r="A1099">
        <v>929</v>
      </c>
      <c r="B1099" t="s">
        <v>1063</v>
      </c>
      <c r="C1099" t="s">
        <v>136</v>
      </c>
      <c r="D1099" t="s">
        <v>1476</v>
      </c>
      <c r="E1099" t="s">
        <v>3352</v>
      </c>
      <c r="F1099" t="s">
        <v>2819</v>
      </c>
      <c r="G1099" t="b">
        <v>1</v>
      </c>
      <c r="H1099" t="b">
        <v>1</v>
      </c>
    </row>
    <row r="1100" spans="1:8" x14ac:dyDescent="0.25">
      <c r="A1100">
        <v>930</v>
      </c>
      <c r="B1100" t="s">
        <v>1064</v>
      </c>
      <c r="C1100" t="s">
        <v>138</v>
      </c>
      <c r="D1100" t="s">
        <v>1471</v>
      </c>
      <c r="E1100" t="s">
        <v>1646</v>
      </c>
      <c r="F1100" t="s">
        <v>2820</v>
      </c>
      <c r="G1100" t="b">
        <v>1</v>
      </c>
    </row>
    <row r="1101" spans="1:8" x14ac:dyDescent="0.25">
      <c r="A1101">
        <v>931</v>
      </c>
      <c r="B1101" t="s">
        <v>1065</v>
      </c>
      <c r="C1101" t="s">
        <v>138</v>
      </c>
      <c r="D1101" t="s">
        <v>1471</v>
      </c>
      <c r="E1101" t="s">
        <v>2821</v>
      </c>
      <c r="F1101" t="s">
        <v>2820</v>
      </c>
      <c r="G1101" t="b">
        <v>1</v>
      </c>
    </row>
    <row r="1102" spans="1:8" x14ac:dyDescent="0.25">
      <c r="A1102">
        <v>932</v>
      </c>
      <c r="B1102" t="s">
        <v>1066</v>
      </c>
      <c r="C1102" t="s">
        <v>138</v>
      </c>
      <c r="D1102" t="s">
        <v>1471</v>
      </c>
      <c r="E1102" t="s">
        <v>2822</v>
      </c>
      <c r="F1102" t="s">
        <v>2823</v>
      </c>
      <c r="G1102" t="b">
        <v>1</v>
      </c>
    </row>
    <row r="1103" spans="1:8" x14ac:dyDescent="0.25">
      <c r="A1103">
        <v>933</v>
      </c>
      <c r="B1103" t="s">
        <v>1067</v>
      </c>
      <c r="C1103" t="s">
        <v>136</v>
      </c>
      <c r="D1103" t="s">
        <v>1474</v>
      </c>
      <c r="E1103" t="s">
        <v>2532</v>
      </c>
      <c r="F1103" t="s">
        <v>2824</v>
      </c>
      <c r="G1103" t="b">
        <v>1</v>
      </c>
    </row>
    <row r="1104" spans="1:8" x14ac:dyDescent="0.25">
      <c r="A1104">
        <v>934</v>
      </c>
      <c r="B1104" t="s">
        <v>1068</v>
      </c>
      <c r="C1104" t="s">
        <v>138</v>
      </c>
      <c r="D1104" t="s">
        <v>1471</v>
      </c>
      <c r="E1104" t="s">
        <v>2825</v>
      </c>
      <c r="F1104" t="s">
        <v>2824</v>
      </c>
      <c r="G1104" t="b">
        <v>1</v>
      </c>
    </row>
    <row r="1105" spans="1:7" x14ac:dyDescent="0.25">
      <c r="A1105">
        <v>935</v>
      </c>
      <c r="B1105" t="s">
        <v>1069</v>
      </c>
      <c r="C1105" t="s">
        <v>136</v>
      </c>
      <c r="D1105" t="s">
        <v>1474</v>
      </c>
      <c r="E1105" t="s">
        <v>2826</v>
      </c>
      <c r="F1105" t="s">
        <v>2827</v>
      </c>
      <c r="G1105" t="b">
        <v>1</v>
      </c>
    </row>
    <row r="1106" spans="1:7" x14ac:dyDescent="0.25">
      <c r="A1106">
        <v>936</v>
      </c>
      <c r="B1106" t="s">
        <v>1070</v>
      </c>
      <c r="C1106" t="s">
        <v>138</v>
      </c>
      <c r="D1106" t="s">
        <v>1471</v>
      </c>
      <c r="E1106" t="s">
        <v>2828</v>
      </c>
      <c r="F1106" t="s">
        <v>2827</v>
      </c>
      <c r="G1106" t="b">
        <v>1</v>
      </c>
    </row>
    <row r="1107" spans="1:7" x14ac:dyDescent="0.25">
      <c r="A1107">
        <v>937</v>
      </c>
      <c r="B1107" t="s">
        <v>1071</v>
      </c>
      <c r="C1107" t="s">
        <v>136</v>
      </c>
      <c r="D1107" t="s">
        <v>1476</v>
      </c>
      <c r="E1107" t="s">
        <v>2829</v>
      </c>
      <c r="F1107" t="s">
        <v>2827</v>
      </c>
      <c r="G1107" t="b">
        <v>1</v>
      </c>
    </row>
    <row r="1108" spans="1:7" x14ac:dyDescent="0.25">
      <c r="A1108">
        <v>938</v>
      </c>
      <c r="B1108" t="s">
        <v>1072</v>
      </c>
      <c r="C1108" t="s">
        <v>136</v>
      </c>
      <c r="D1108" t="s">
        <v>1474</v>
      </c>
      <c r="E1108" t="s">
        <v>2830</v>
      </c>
      <c r="F1108" t="s">
        <v>2831</v>
      </c>
      <c r="G1108" t="b">
        <v>1</v>
      </c>
    </row>
    <row r="1109" spans="1:7" x14ac:dyDescent="0.25">
      <c r="A1109">
        <v>939</v>
      </c>
      <c r="B1109" t="s">
        <v>1073</v>
      </c>
      <c r="C1109" t="s">
        <v>138</v>
      </c>
      <c r="D1109" t="s">
        <v>1471</v>
      </c>
      <c r="E1109" t="s">
        <v>2832</v>
      </c>
      <c r="F1109" t="s">
        <v>2831</v>
      </c>
      <c r="G1109" t="b">
        <v>1</v>
      </c>
    </row>
    <row r="1110" spans="1:7" x14ac:dyDescent="0.25">
      <c r="A1110">
        <v>940</v>
      </c>
      <c r="B1110" t="s">
        <v>1074</v>
      </c>
      <c r="C1110" t="s">
        <v>136</v>
      </c>
      <c r="D1110" t="s">
        <v>1476</v>
      </c>
      <c r="E1110" t="s">
        <v>2833</v>
      </c>
      <c r="F1110" t="s">
        <v>2831</v>
      </c>
      <c r="G1110" t="b">
        <v>1</v>
      </c>
    </row>
    <row r="1111" spans="1:7" x14ac:dyDescent="0.25">
      <c r="A1111">
        <v>941</v>
      </c>
      <c r="B1111" t="s">
        <v>1075</v>
      </c>
      <c r="C1111" t="s">
        <v>138</v>
      </c>
      <c r="D1111" t="s">
        <v>1471</v>
      </c>
      <c r="E1111" t="s">
        <v>2834</v>
      </c>
      <c r="F1111" t="s">
        <v>2835</v>
      </c>
      <c r="G1111" t="b">
        <v>1</v>
      </c>
    </row>
    <row r="1112" spans="1:7" x14ac:dyDescent="0.25">
      <c r="A1112">
        <v>942</v>
      </c>
      <c r="B1112" t="s">
        <v>1076</v>
      </c>
      <c r="C1112" t="s">
        <v>138</v>
      </c>
      <c r="D1112" t="s">
        <v>1471</v>
      </c>
      <c r="E1112" t="s">
        <v>2836</v>
      </c>
      <c r="F1112" t="s">
        <v>2837</v>
      </c>
      <c r="G1112" t="b">
        <v>1</v>
      </c>
    </row>
    <row r="1113" spans="1:7" x14ac:dyDescent="0.25">
      <c r="A1113">
        <v>943</v>
      </c>
      <c r="B1113" t="s">
        <v>1077</v>
      </c>
      <c r="C1113" t="s">
        <v>138</v>
      </c>
      <c r="D1113" t="s">
        <v>1471</v>
      </c>
      <c r="E1113" t="s">
        <v>2838</v>
      </c>
      <c r="F1113" t="s">
        <v>2839</v>
      </c>
      <c r="G1113" t="b">
        <v>1</v>
      </c>
    </row>
    <row r="1114" spans="1:7" x14ac:dyDescent="0.25">
      <c r="A1114">
        <v>944</v>
      </c>
      <c r="B1114" t="s">
        <v>1078</v>
      </c>
      <c r="C1114" t="s">
        <v>136</v>
      </c>
      <c r="D1114" t="s">
        <v>1474</v>
      </c>
      <c r="E1114" t="s">
        <v>2840</v>
      </c>
      <c r="F1114" t="s">
        <v>2841</v>
      </c>
      <c r="G1114" t="b">
        <v>1</v>
      </c>
    </row>
    <row r="1115" spans="1:7" x14ac:dyDescent="0.25">
      <c r="A1115">
        <v>945</v>
      </c>
      <c r="B1115" t="s">
        <v>1079</v>
      </c>
      <c r="C1115" t="s">
        <v>138</v>
      </c>
      <c r="D1115" t="s">
        <v>1471</v>
      </c>
      <c r="E1115" t="s">
        <v>2842</v>
      </c>
      <c r="F1115" t="s">
        <v>2843</v>
      </c>
      <c r="G1115" t="b">
        <v>1</v>
      </c>
    </row>
    <row r="1116" spans="1:7" x14ac:dyDescent="0.25">
      <c r="A1116">
        <v>946</v>
      </c>
      <c r="B1116" t="s">
        <v>1080</v>
      </c>
      <c r="C1116" t="s">
        <v>138</v>
      </c>
      <c r="D1116" t="s">
        <v>1471</v>
      </c>
      <c r="E1116" t="s">
        <v>2408</v>
      </c>
      <c r="F1116" t="s">
        <v>2844</v>
      </c>
      <c r="G1116" t="b">
        <v>1</v>
      </c>
    </row>
    <row r="1117" spans="1:7" x14ac:dyDescent="0.25">
      <c r="A1117">
        <v>947</v>
      </c>
      <c r="B1117" t="s">
        <v>1081</v>
      </c>
      <c r="C1117" t="s">
        <v>138</v>
      </c>
      <c r="D1117" t="s">
        <v>1471</v>
      </c>
      <c r="E1117" t="s">
        <v>2845</v>
      </c>
      <c r="F1117" t="s">
        <v>2844</v>
      </c>
      <c r="G1117" t="b">
        <v>1</v>
      </c>
    </row>
    <row r="1118" spans="1:7" x14ac:dyDescent="0.25">
      <c r="A1118">
        <v>948</v>
      </c>
      <c r="B1118" t="s">
        <v>1082</v>
      </c>
      <c r="C1118" t="s">
        <v>136</v>
      </c>
      <c r="D1118" t="s">
        <v>1474</v>
      </c>
      <c r="E1118" t="s">
        <v>2846</v>
      </c>
      <c r="F1118" t="s">
        <v>2847</v>
      </c>
      <c r="G1118" t="b">
        <v>1</v>
      </c>
    </row>
    <row r="1119" spans="1:7" x14ac:dyDescent="0.25">
      <c r="A1119">
        <v>949</v>
      </c>
      <c r="B1119" t="s">
        <v>1083</v>
      </c>
      <c r="C1119" t="s">
        <v>138</v>
      </c>
      <c r="D1119" t="s">
        <v>1471</v>
      </c>
      <c r="E1119" t="s">
        <v>2527</v>
      </c>
      <c r="F1119" t="s">
        <v>2848</v>
      </c>
      <c r="G1119" t="b">
        <v>1</v>
      </c>
    </row>
    <row r="1120" spans="1:7" x14ac:dyDescent="0.25">
      <c r="A1120">
        <v>950</v>
      </c>
      <c r="B1120" t="s">
        <v>1084</v>
      </c>
      <c r="C1120" t="s">
        <v>138</v>
      </c>
      <c r="D1120" t="s">
        <v>1471</v>
      </c>
      <c r="E1120" t="s">
        <v>2849</v>
      </c>
      <c r="F1120" t="s">
        <v>2850</v>
      </c>
      <c r="G1120" t="b">
        <v>1</v>
      </c>
    </row>
    <row r="1121" spans="1:8" x14ac:dyDescent="0.25">
      <c r="A1121">
        <v>951</v>
      </c>
      <c r="B1121" t="s">
        <v>1085</v>
      </c>
      <c r="C1121" t="s">
        <v>138</v>
      </c>
      <c r="D1121" t="s">
        <v>1471</v>
      </c>
      <c r="E1121" t="s">
        <v>2851</v>
      </c>
      <c r="F1121" t="s">
        <v>2852</v>
      </c>
      <c r="G1121" t="b">
        <v>1</v>
      </c>
    </row>
    <row r="1122" spans="1:8" x14ac:dyDescent="0.25">
      <c r="A1122">
        <v>952</v>
      </c>
      <c r="B1122" t="s">
        <v>1086</v>
      </c>
      <c r="C1122" t="s">
        <v>138</v>
      </c>
      <c r="D1122" t="s">
        <v>1471</v>
      </c>
      <c r="E1122" t="s">
        <v>2853</v>
      </c>
      <c r="F1122" t="s">
        <v>2852</v>
      </c>
      <c r="G1122" t="b">
        <v>1</v>
      </c>
    </row>
    <row r="1123" spans="1:8" x14ac:dyDescent="0.25">
      <c r="A1123">
        <v>953</v>
      </c>
      <c r="B1123" t="s">
        <v>1087</v>
      </c>
      <c r="C1123" t="s">
        <v>138</v>
      </c>
      <c r="D1123" t="s">
        <v>1471</v>
      </c>
      <c r="E1123" t="s">
        <v>2854</v>
      </c>
      <c r="F1123" t="s">
        <v>2855</v>
      </c>
      <c r="G1123" t="b">
        <v>1</v>
      </c>
    </row>
    <row r="1124" spans="1:8" x14ac:dyDescent="0.25">
      <c r="A1124">
        <v>954</v>
      </c>
      <c r="B1124" t="s">
        <v>1088</v>
      </c>
      <c r="C1124" t="s">
        <v>138</v>
      </c>
      <c r="D1124" t="s">
        <v>1471</v>
      </c>
      <c r="E1124" t="s">
        <v>2856</v>
      </c>
      <c r="F1124" t="s">
        <v>2857</v>
      </c>
      <c r="G1124" t="b">
        <v>1</v>
      </c>
    </row>
    <row r="1125" spans="1:8" x14ac:dyDescent="0.25">
      <c r="A1125">
        <v>955</v>
      </c>
      <c r="B1125" t="s">
        <v>1089</v>
      </c>
      <c r="C1125" t="s">
        <v>138</v>
      </c>
      <c r="D1125" t="s">
        <v>1475</v>
      </c>
      <c r="E1125" t="s">
        <v>1751</v>
      </c>
      <c r="F1125" t="s">
        <v>2858</v>
      </c>
      <c r="G1125" t="b">
        <v>1</v>
      </c>
    </row>
    <row r="1126" spans="1:8" x14ac:dyDescent="0.25">
      <c r="A1126">
        <v>956</v>
      </c>
      <c r="B1126" t="s">
        <v>1090</v>
      </c>
      <c r="C1126" t="s">
        <v>136</v>
      </c>
      <c r="D1126" t="s">
        <v>1474</v>
      </c>
      <c r="E1126" t="s">
        <v>2859</v>
      </c>
      <c r="F1126" t="s">
        <v>2858</v>
      </c>
      <c r="G1126" t="b">
        <v>1</v>
      </c>
    </row>
    <row r="1127" spans="1:8" x14ac:dyDescent="0.25">
      <c r="A1127">
        <v>957</v>
      </c>
      <c r="B1127" t="s">
        <v>1091</v>
      </c>
      <c r="C1127" t="s">
        <v>136</v>
      </c>
      <c r="D1127" t="s">
        <v>1474</v>
      </c>
      <c r="E1127" t="s">
        <v>2536</v>
      </c>
      <c r="F1127" t="s">
        <v>2858</v>
      </c>
      <c r="G1127" t="b">
        <v>1</v>
      </c>
    </row>
    <row r="1128" spans="1:8" x14ac:dyDescent="0.25">
      <c r="A1128">
        <v>958</v>
      </c>
      <c r="B1128" t="s">
        <v>1092</v>
      </c>
      <c r="C1128" t="s">
        <v>136</v>
      </c>
      <c r="D1128" t="s">
        <v>1474</v>
      </c>
      <c r="E1128" t="s">
        <v>2860</v>
      </c>
      <c r="F1128" t="s">
        <v>2858</v>
      </c>
      <c r="G1128" t="b">
        <v>1</v>
      </c>
    </row>
    <row r="1129" spans="1:8" x14ac:dyDescent="0.25">
      <c r="A1129">
        <v>959</v>
      </c>
      <c r="B1129" t="s">
        <v>1093</v>
      </c>
      <c r="C1129" t="s">
        <v>136</v>
      </c>
      <c r="D1129" t="s">
        <v>1476</v>
      </c>
      <c r="E1129" t="s">
        <v>3353</v>
      </c>
      <c r="F1129" t="s">
        <v>2858</v>
      </c>
      <c r="G1129" t="b">
        <v>1</v>
      </c>
      <c r="H1129" t="b">
        <v>1</v>
      </c>
    </row>
    <row r="1130" spans="1:8" x14ac:dyDescent="0.25">
      <c r="A1130">
        <v>960</v>
      </c>
      <c r="B1130" t="s">
        <v>1094</v>
      </c>
      <c r="C1130" t="s">
        <v>138</v>
      </c>
      <c r="D1130" t="s">
        <v>1471</v>
      </c>
      <c r="E1130" t="s">
        <v>2861</v>
      </c>
      <c r="F1130" t="s">
        <v>2862</v>
      </c>
      <c r="G1130" t="b">
        <v>1</v>
      </c>
    </row>
    <row r="1131" spans="1:8" x14ac:dyDescent="0.25">
      <c r="A1131">
        <v>961</v>
      </c>
      <c r="B1131" t="s">
        <v>1095</v>
      </c>
      <c r="C1131" t="s">
        <v>138</v>
      </c>
      <c r="D1131" t="s">
        <v>1471</v>
      </c>
      <c r="E1131" t="s">
        <v>2863</v>
      </c>
      <c r="F1131" t="s">
        <v>2864</v>
      </c>
      <c r="G1131" t="b">
        <v>1</v>
      </c>
    </row>
    <row r="1132" spans="1:8" x14ac:dyDescent="0.25">
      <c r="A1132">
        <v>962</v>
      </c>
      <c r="B1132" t="s">
        <v>1096</v>
      </c>
      <c r="C1132" t="s">
        <v>136</v>
      </c>
      <c r="D1132" t="s">
        <v>1474</v>
      </c>
      <c r="E1132" t="s">
        <v>1660</v>
      </c>
      <c r="F1132" t="s">
        <v>2865</v>
      </c>
      <c r="G1132" t="b">
        <v>1</v>
      </c>
    </row>
    <row r="1133" spans="1:8" x14ac:dyDescent="0.25">
      <c r="A1133">
        <v>963</v>
      </c>
      <c r="B1133" t="s">
        <v>1097</v>
      </c>
      <c r="C1133" t="s">
        <v>138</v>
      </c>
      <c r="D1133" t="s">
        <v>1471</v>
      </c>
      <c r="E1133" t="s">
        <v>2866</v>
      </c>
      <c r="F1133" t="s">
        <v>2865</v>
      </c>
      <c r="G1133" t="b">
        <v>1</v>
      </c>
    </row>
    <row r="1134" spans="1:8" x14ac:dyDescent="0.25">
      <c r="A1134">
        <v>964</v>
      </c>
      <c r="B1134" t="s">
        <v>1098</v>
      </c>
      <c r="C1134" t="s">
        <v>138</v>
      </c>
      <c r="D1134" t="s">
        <v>1471</v>
      </c>
      <c r="E1134" t="s">
        <v>2867</v>
      </c>
      <c r="F1134" t="s">
        <v>2868</v>
      </c>
      <c r="G1134" t="b">
        <v>1</v>
      </c>
    </row>
    <row r="1135" spans="1:8" x14ac:dyDescent="0.25">
      <c r="A1135">
        <v>965</v>
      </c>
      <c r="B1135" t="s">
        <v>1099</v>
      </c>
      <c r="C1135" t="s">
        <v>138</v>
      </c>
      <c r="D1135" t="s">
        <v>1471</v>
      </c>
      <c r="E1135" t="s">
        <v>2350</v>
      </c>
      <c r="F1135" t="s">
        <v>2869</v>
      </c>
      <c r="G1135" t="b">
        <v>1</v>
      </c>
    </row>
    <row r="1136" spans="1:8" x14ac:dyDescent="0.25">
      <c r="A1136">
        <v>966</v>
      </c>
      <c r="B1136" t="s">
        <v>1100</v>
      </c>
      <c r="C1136" t="s">
        <v>138</v>
      </c>
      <c r="D1136" t="s">
        <v>1471</v>
      </c>
      <c r="E1136" t="s">
        <v>2870</v>
      </c>
      <c r="F1136" t="s">
        <v>2871</v>
      </c>
      <c r="G1136" t="b">
        <v>1</v>
      </c>
    </row>
    <row r="1137" spans="1:7" x14ac:dyDescent="0.25">
      <c r="A1137">
        <v>967</v>
      </c>
      <c r="B1137" t="s">
        <v>1101</v>
      </c>
      <c r="C1137" t="s">
        <v>136</v>
      </c>
      <c r="D1137" t="s">
        <v>1474</v>
      </c>
      <c r="E1137" t="s">
        <v>2872</v>
      </c>
      <c r="F1137" t="s">
        <v>2873</v>
      </c>
      <c r="G1137" t="b">
        <v>1</v>
      </c>
    </row>
    <row r="1138" spans="1:7" x14ac:dyDescent="0.25">
      <c r="A1138">
        <v>968</v>
      </c>
      <c r="B1138" t="s">
        <v>1102</v>
      </c>
      <c r="C1138" t="s">
        <v>136</v>
      </c>
      <c r="D1138" t="s">
        <v>1474</v>
      </c>
      <c r="E1138" t="s">
        <v>2874</v>
      </c>
      <c r="F1138" t="s">
        <v>2875</v>
      </c>
      <c r="G1138" t="b">
        <v>1</v>
      </c>
    </row>
    <row r="1139" spans="1:7" x14ac:dyDescent="0.25">
      <c r="A1139">
        <v>969</v>
      </c>
      <c r="B1139" t="s">
        <v>1103</v>
      </c>
      <c r="C1139" t="s">
        <v>138</v>
      </c>
      <c r="D1139" t="s">
        <v>1471</v>
      </c>
      <c r="E1139" t="s">
        <v>2876</v>
      </c>
      <c r="F1139" t="s">
        <v>2877</v>
      </c>
      <c r="G1139" t="b">
        <v>1</v>
      </c>
    </row>
    <row r="1140" spans="1:7" x14ac:dyDescent="0.25">
      <c r="A1140">
        <v>970</v>
      </c>
      <c r="B1140" t="s">
        <v>1104</v>
      </c>
      <c r="C1140" t="s">
        <v>136</v>
      </c>
      <c r="D1140" t="s">
        <v>1476</v>
      </c>
      <c r="E1140" t="s">
        <v>2878</v>
      </c>
      <c r="F1140" t="s">
        <v>2877</v>
      </c>
      <c r="G1140" t="b">
        <v>1</v>
      </c>
    </row>
    <row r="1141" spans="1:7" x14ac:dyDescent="0.25">
      <c r="A1141">
        <v>971</v>
      </c>
      <c r="B1141" t="s">
        <v>1105</v>
      </c>
      <c r="C1141" t="s">
        <v>138</v>
      </c>
      <c r="D1141" t="s">
        <v>1471</v>
      </c>
      <c r="E1141" t="s">
        <v>2879</v>
      </c>
      <c r="F1141" t="s">
        <v>2880</v>
      </c>
      <c r="G1141" t="b">
        <v>1</v>
      </c>
    </row>
    <row r="1142" spans="1:7" x14ac:dyDescent="0.25">
      <c r="A1142">
        <v>972</v>
      </c>
      <c r="B1142" t="s">
        <v>1106</v>
      </c>
      <c r="C1142" t="s">
        <v>138</v>
      </c>
      <c r="D1142" t="s">
        <v>1471</v>
      </c>
      <c r="E1142" t="s">
        <v>2557</v>
      </c>
      <c r="F1142" t="s">
        <v>2881</v>
      </c>
      <c r="G1142" t="b">
        <v>1</v>
      </c>
    </row>
    <row r="1143" spans="1:7" x14ac:dyDescent="0.25">
      <c r="A1143">
        <v>973</v>
      </c>
      <c r="B1143" t="s">
        <v>1107</v>
      </c>
      <c r="C1143" t="s">
        <v>138</v>
      </c>
      <c r="D1143" t="s">
        <v>1471</v>
      </c>
      <c r="E1143" t="s">
        <v>2490</v>
      </c>
      <c r="F1143" t="s">
        <v>2726</v>
      </c>
      <c r="G1143" t="b">
        <v>1</v>
      </c>
    </row>
    <row r="1144" spans="1:7" x14ac:dyDescent="0.25">
      <c r="A1144">
        <v>974</v>
      </c>
      <c r="B1144" t="s">
        <v>1108</v>
      </c>
      <c r="C1144" t="s">
        <v>138</v>
      </c>
      <c r="D1144" t="s">
        <v>1471</v>
      </c>
      <c r="E1144" t="s">
        <v>2882</v>
      </c>
      <c r="F1144" t="s">
        <v>2883</v>
      </c>
      <c r="G1144" t="b">
        <v>1</v>
      </c>
    </row>
    <row r="1145" spans="1:7" x14ac:dyDescent="0.25">
      <c r="A1145">
        <v>975</v>
      </c>
      <c r="B1145" t="s">
        <v>1109</v>
      </c>
      <c r="C1145" t="s">
        <v>138</v>
      </c>
      <c r="D1145" t="s">
        <v>1471</v>
      </c>
      <c r="E1145" t="s">
        <v>2884</v>
      </c>
      <c r="F1145" t="s">
        <v>2885</v>
      </c>
      <c r="G1145" t="b">
        <v>1</v>
      </c>
    </row>
    <row r="1146" spans="1:7" x14ac:dyDescent="0.25">
      <c r="A1146">
        <v>976</v>
      </c>
      <c r="B1146" t="s">
        <v>1110</v>
      </c>
      <c r="C1146" t="s">
        <v>136</v>
      </c>
      <c r="D1146" t="s">
        <v>1476</v>
      </c>
      <c r="E1146" t="s">
        <v>2886</v>
      </c>
      <c r="F1146" t="s">
        <v>2885</v>
      </c>
      <c r="G1146" t="b">
        <v>1</v>
      </c>
    </row>
    <row r="1147" spans="1:7" x14ac:dyDescent="0.25">
      <c r="A1147">
        <v>977</v>
      </c>
      <c r="B1147" t="s">
        <v>1111</v>
      </c>
      <c r="C1147" t="s">
        <v>138</v>
      </c>
      <c r="D1147" t="s">
        <v>1471</v>
      </c>
      <c r="E1147" t="s">
        <v>2008</v>
      </c>
      <c r="F1147" t="s">
        <v>2887</v>
      </c>
      <c r="G1147" t="b">
        <v>1</v>
      </c>
    </row>
    <row r="1148" spans="1:7" x14ac:dyDescent="0.25">
      <c r="A1148">
        <v>978</v>
      </c>
      <c r="B1148" t="s">
        <v>1112</v>
      </c>
      <c r="C1148" t="s">
        <v>138</v>
      </c>
      <c r="D1148" t="s">
        <v>1471</v>
      </c>
      <c r="E1148" t="s">
        <v>2888</v>
      </c>
      <c r="F1148" t="s">
        <v>2889</v>
      </c>
      <c r="G1148" t="b">
        <v>1</v>
      </c>
    </row>
    <row r="1149" spans="1:7" x14ac:dyDescent="0.25">
      <c r="A1149">
        <v>979</v>
      </c>
      <c r="B1149" t="s">
        <v>1113</v>
      </c>
      <c r="C1149" t="s">
        <v>138</v>
      </c>
      <c r="D1149" t="s">
        <v>1471</v>
      </c>
      <c r="E1149" t="s">
        <v>2890</v>
      </c>
      <c r="F1149" t="s">
        <v>2891</v>
      </c>
      <c r="G1149" t="b">
        <v>1</v>
      </c>
    </row>
    <row r="1150" spans="1:7" x14ac:dyDescent="0.25">
      <c r="A1150">
        <v>980</v>
      </c>
      <c r="B1150" t="s">
        <v>1114</v>
      </c>
      <c r="C1150" t="s">
        <v>138</v>
      </c>
      <c r="D1150" t="s">
        <v>1471</v>
      </c>
      <c r="E1150" t="s">
        <v>2892</v>
      </c>
      <c r="F1150" t="s">
        <v>2893</v>
      </c>
      <c r="G1150" t="b">
        <v>1</v>
      </c>
    </row>
    <row r="1151" spans="1:7" x14ac:dyDescent="0.25">
      <c r="A1151">
        <v>981</v>
      </c>
      <c r="B1151" t="s">
        <v>1115</v>
      </c>
      <c r="C1151" t="s">
        <v>136</v>
      </c>
      <c r="D1151" t="s">
        <v>1474</v>
      </c>
      <c r="E1151" t="s">
        <v>2894</v>
      </c>
      <c r="F1151" t="s">
        <v>2895</v>
      </c>
      <c r="G1151" t="b">
        <v>1</v>
      </c>
    </row>
    <row r="1152" spans="1:7" x14ac:dyDescent="0.25">
      <c r="A1152">
        <v>982</v>
      </c>
      <c r="B1152" t="s">
        <v>1116</v>
      </c>
      <c r="C1152" t="s">
        <v>138</v>
      </c>
      <c r="D1152" t="s">
        <v>1471</v>
      </c>
      <c r="E1152" t="s">
        <v>2896</v>
      </c>
      <c r="F1152" t="s">
        <v>2897</v>
      </c>
      <c r="G1152" t="b">
        <v>1</v>
      </c>
    </row>
    <row r="1153" spans="1:8" x14ac:dyDescent="0.25">
      <c r="A1153">
        <v>983</v>
      </c>
      <c r="B1153" t="s">
        <v>1117</v>
      </c>
      <c r="C1153" t="s">
        <v>138</v>
      </c>
      <c r="D1153" t="s">
        <v>1471</v>
      </c>
      <c r="E1153" t="s">
        <v>2898</v>
      </c>
      <c r="F1153" t="s">
        <v>2899</v>
      </c>
      <c r="G1153" t="b">
        <v>1</v>
      </c>
    </row>
    <row r="1154" spans="1:8" x14ac:dyDescent="0.25">
      <c r="A1154">
        <v>984</v>
      </c>
      <c r="B1154" t="s">
        <v>1118</v>
      </c>
      <c r="C1154" t="s">
        <v>138</v>
      </c>
      <c r="D1154" t="s">
        <v>1471</v>
      </c>
      <c r="E1154" t="s">
        <v>2900</v>
      </c>
      <c r="F1154" t="s">
        <v>2901</v>
      </c>
      <c r="G1154" t="b">
        <v>1</v>
      </c>
    </row>
    <row r="1155" spans="1:8" x14ac:dyDescent="0.25">
      <c r="A1155">
        <v>985</v>
      </c>
      <c r="B1155" t="s">
        <v>1119</v>
      </c>
      <c r="C1155" t="s">
        <v>136</v>
      </c>
      <c r="D1155" t="s">
        <v>1474</v>
      </c>
      <c r="E1155" t="s">
        <v>1542</v>
      </c>
      <c r="F1155" t="s">
        <v>2902</v>
      </c>
      <c r="G1155" t="b">
        <v>1</v>
      </c>
      <c r="H1155" t="b">
        <v>1</v>
      </c>
    </row>
    <row r="1156" spans="1:8" x14ac:dyDescent="0.25">
      <c r="A1156">
        <v>986</v>
      </c>
      <c r="B1156" t="s">
        <v>1120</v>
      </c>
      <c r="C1156" t="s">
        <v>138</v>
      </c>
      <c r="D1156" t="s">
        <v>1471</v>
      </c>
      <c r="E1156" t="s">
        <v>2903</v>
      </c>
      <c r="F1156" t="s">
        <v>2904</v>
      </c>
      <c r="G1156" t="b">
        <v>1</v>
      </c>
    </row>
    <row r="1157" spans="1:8" x14ac:dyDescent="0.25">
      <c r="A1157">
        <v>987</v>
      </c>
      <c r="B1157" t="s">
        <v>1121</v>
      </c>
      <c r="C1157" t="s">
        <v>138</v>
      </c>
      <c r="D1157" t="s">
        <v>1471</v>
      </c>
      <c r="E1157" t="s">
        <v>2905</v>
      </c>
      <c r="F1157" t="s">
        <v>2906</v>
      </c>
      <c r="G1157" t="b">
        <v>1</v>
      </c>
    </row>
    <row r="1158" spans="1:8" x14ac:dyDescent="0.25">
      <c r="A1158">
        <v>988</v>
      </c>
      <c r="B1158" t="s">
        <v>1122</v>
      </c>
      <c r="C1158" t="s">
        <v>136</v>
      </c>
      <c r="D1158" t="s">
        <v>1474</v>
      </c>
      <c r="E1158" t="s">
        <v>2503</v>
      </c>
      <c r="F1158" t="s">
        <v>2907</v>
      </c>
      <c r="G1158" t="b">
        <v>1</v>
      </c>
    </row>
    <row r="1159" spans="1:8" x14ac:dyDescent="0.25">
      <c r="A1159">
        <v>989</v>
      </c>
      <c r="B1159" t="s">
        <v>1123</v>
      </c>
      <c r="C1159" t="s">
        <v>138</v>
      </c>
      <c r="D1159" t="s">
        <v>1471</v>
      </c>
      <c r="E1159" t="s">
        <v>1646</v>
      </c>
      <c r="F1159" t="s">
        <v>2907</v>
      </c>
      <c r="G1159" t="b">
        <v>1</v>
      </c>
    </row>
    <row r="1160" spans="1:8" x14ac:dyDescent="0.25">
      <c r="A1160">
        <v>990</v>
      </c>
      <c r="B1160" t="s">
        <v>1124</v>
      </c>
      <c r="C1160" t="s">
        <v>138</v>
      </c>
      <c r="D1160" t="s">
        <v>1471</v>
      </c>
      <c r="E1160" t="s">
        <v>2882</v>
      </c>
      <c r="F1160" t="s">
        <v>2908</v>
      </c>
      <c r="G1160" t="b">
        <v>1</v>
      </c>
    </row>
    <row r="1161" spans="1:8" x14ac:dyDescent="0.25">
      <c r="A1161">
        <v>991</v>
      </c>
      <c r="B1161" t="s">
        <v>1125</v>
      </c>
      <c r="C1161" t="s">
        <v>138</v>
      </c>
      <c r="D1161" t="s">
        <v>1471</v>
      </c>
      <c r="E1161" t="s">
        <v>2909</v>
      </c>
      <c r="F1161" t="s">
        <v>2910</v>
      </c>
      <c r="G1161" t="b">
        <v>1</v>
      </c>
    </row>
    <row r="1162" spans="1:8" x14ac:dyDescent="0.25">
      <c r="A1162">
        <v>992</v>
      </c>
      <c r="B1162" t="s">
        <v>1126</v>
      </c>
      <c r="C1162" t="s">
        <v>138</v>
      </c>
      <c r="D1162" t="s">
        <v>1471</v>
      </c>
      <c r="E1162" t="s">
        <v>2501</v>
      </c>
      <c r="F1162" t="s">
        <v>2911</v>
      </c>
      <c r="G1162" t="b">
        <v>1</v>
      </c>
    </row>
    <row r="1163" spans="1:8" x14ac:dyDescent="0.25">
      <c r="A1163">
        <v>993</v>
      </c>
      <c r="B1163" t="s">
        <v>1127</v>
      </c>
      <c r="C1163" t="s">
        <v>136</v>
      </c>
      <c r="D1163" t="s">
        <v>1474</v>
      </c>
      <c r="E1163" t="s">
        <v>1660</v>
      </c>
      <c r="F1163" t="s">
        <v>2912</v>
      </c>
      <c r="G1163" t="b">
        <v>1</v>
      </c>
    </row>
    <row r="1164" spans="1:8" x14ac:dyDescent="0.25">
      <c r="A1164">
        <v>994</v>
      </c>
      <c r="B1164" t="s">
        <v>1128</v>
      </c>
      <c r="C1164" t="s">
        <v>136</v>
      </c>
      <c r="D1164" t="s">
        <v>1474</v>
      </c>
      <c r="E1164" t="s">
        <v>2913</v>
      </c>
      <c r="F1164" t="s">
        <v>2914</v>
      </c>
      <c r="G1164" t="b">
        <v>1</v>
      </c>
    </row>
    <row r="1165" spans="1:8" x14ac:dyDescent="0.25">
      <c r="A1165">
        <v>995</v>
      </c>
      <c r="B1165" t="s">
        <v>1129</v>
      </c>
      <c r="C1165" t="s">
        <v>138</v>
      </c>
      <c r="D1165" t="s">
        <v>1471</v>
      </c>
      <c r="E1165" t="s">
        <v>2838</v>
      </c>
      <c r="F1165" t="s">
        <v>2915</v>
      </c>
      <c r="G1165" t="b">
        <v>1</v>
      </c>
    </row>
    <row r="1166" spans="1:8" x14ac:dyDescent="0.25">
      <c r="A1166">
        <v>996</v>
      </c>
      <c r="B1166" t="s">
        <v>1130</v>
      </c>
      <c r="C1166" t="s">
        <v>138</v>
      </c>
      <c r="D1166" t="s">
        <v>1471</v>
      </c>
      <c r="E1166" t="s">
        <v>2916</v>
      </c>
      <c r="F1166" t="s">
        <v>2917</v>
      </c>
      <c r="G1166" t="b">
        <v>1</v>
      </c>
    </row>
    <row r="1167" spans="1:8" x14ac:dyDescent="0.25">
      <c r="A1167">
        <v>997</v>
      </c>
      <c r="B1167" t="s">
        <v>1131</v>
      </c>
      <c r="C1167" t="s">
        <v>138</v>
      </c>
      <c r="D1167" t="s">
        <v>1471</v>
      </c>
      <c r="E1167" t="s">
        <v>2918</v>
      </c>
      <c r="F1167" t="s">
        <v>2919</v>
      </c>
      <c r="G1167" t="b">
        <v>1</v>
      </c>
    </row>
    <row r="1168" spans="1:8" x14ac:dyDescent="0.25">
      <c r="A1168">
        <v>998</v>
      </c>
      <c r="B1168" t="s">
        <v>1132</v>
      </c>
      <c r="C1168" t="s">
        <v>136</v>
      </c>
      <c r="D1168" t="s">
        <v>1476</v>
      </c>
      <c r="E1168" t="s">
        <v>2920</v>
      </c>
      <c r="F1168" t="s">
        <v>2921</v>
      </c>
      <c r="G1168" t="b">
        <v>1</v>
      </c>
    </row>
    <row r="1169" spans="1:8" x14ac:dyDescent="0.25">
      <c r="A1169">
        <v>999</v>
      </c>
      <c r="B1169" t="s">
        <v>1133</v>
      </c>
      <c r="C1169" t="s">
        <v>138</v>
      </c>
      <c r="D1169" t="s">
        <v>1471</v>
      </c>
      <c r="E1169" t="s">
        <v>2922</v>
      </c>
      <c r="F1169" t="s">
        <v>2923</v>
      </c>
      <c r="G1169" t="b">
        <v>1</v>
      </c>
    </row>
    <row r="1170" spans="1:8" x14ac:dyDescent="0.25">
      <c r="A1170">
        <v>1000</v>
      </c>
      <c r="B1170" t="s">
        <v>1134</v>
      </c>
      <c r="C1170" t="s">
        <v>136</v>
      </c>
      <c r="D1170" t="s">
        <v>1474</v>
      </c>
      <c r="E1170" t="s">
        <v>2477</v>
      </c>
      <c r="F1170" t="s">
        <v>1801</v>
      </c>
      <c r="G1170" t="b">
        <v>1</v>
      </c>
      <c r="H1170" t="b">
        <v>1</v>
      </c>
    </row>
    <row r="1171" spans="1:8" x14ac:dyDescent="0.25">
      <c r="A1171">
        <v>1001</v>
      </c>
      <c r="B1171" t="s">
        <v>1135</v>
      </c>
      <c r="C1171" t="s">
        <v>138</v>
      </c>
      <c r="D1171" t="s">
        <v>1471</v>
      </c>
      <c r="E1171" t="s">
        <v>2924</v>
      </c>
      <c r="F1171" t="s">
        <v>2925</v>
      </c>
      <c r="G1171" t="b">
        <v>1</v>
      </c>
    </row>
    <row r="1172" spans="1:8" x14ac:dyDescent="0.25">
      <c r="A1172">
        <v>1002</v>
      </c>
      <c r="B1172" t="s">
        <v>1136</v>
      </c>
      <c r="C1172" t="s">
        <v>136</v>
      </c>
      <c r="D1172" t="s">
        <v>1474</v>
      </c>
      <c r="E1172" t="s">
        <v>2926</v>
      </c>
      <c r="F1172" t="s">
        <v>2927</v>
      </c>
      <c r="G1172" t="b">
        <v>1</v>
      </c>
    </row>
    <row r="1173" spans="1:8" x14ac:dyDescent="0.25">
      <c r="A1173">
        <v>1003</v>
      </c>
      <c r="B1173" t="s">
        <v>1137</v>
      </c>
      <c r="C1173" t="s">
        <v>136</v>
      </c>
      <c r="D1173" t="s">
        <v>1474</v>
      </c>
      <c r="E1173" t="s">
        <v>2928</v>
      </c>
      <c r="F1173" t="s">
        <v>2927</v>
      </c>
      <c r="G1173" t="b">
        <v>1</v>
      </c>
    </row>
    <row r="1174" spans="1:8" x14ac:dyDescent="0.25">
      <c r="A1174">
        <v>1004</v>
      </c>
      <c r="B1174" t="s">
        <v>1138</v>
      </c>
      <c r="C1174" t="s">
        <v>138</v>
      </c>
      <c r="D1174" t="s">
        <v>1471</v>
      </c>
      <c r="E1174" t="s">
        <v>2929</v>
      </c>
      <c r="F1174" t="s">
        <v>2927</v>
      </c>
      <c r="G1174" t="b">
        <v>1</v>
      </c>
    </row>
    <row r="1175" spans="1:8" x14ac:dyDescent="0.25">
      <c r="A1175">
        <v>1005</v>
      </c>
      <c r="B1175" t="s">
        <v>1139</v>
      </c>
      <c r="C1175" t="s">
        <v>136</v>
      </c>
      <c r="D1175" t="s">
        <v>1474</v>
      </c>
      <c r="E1175" t="s">
        <v>2930</v>
      </c>
      <c r="F1175" t="s">
        <v>2931</v>
      </c>
      <c r="G1175" t="b">
        <v>1</v>
      </c>
    </row>
    <row r="1176" spans="1:8" x14ac:dyDescent="0.25">
      <c r="A1176">
        <v>1006</v>
      </c>
      <c r="B1176" t="s">
        <v>1140</v>
      </c>
      <c r="C1176" t="s">
        <v>138</v>
      </c>
      <c r="D1176" t="s">
        <v>1471</v>
      </c>
      <c r="E1176" t="s">
        <v>2557</v>
      </c>
      <c r="F1176" t="s">
        <v>2932</v>
      </c>
      <c r="G1176" t="b">
        <v>1</v>
      </c>
    </row>
    <row r="1177" spans="1:8" x14ac:dyDescent="0.25">
      <c r="A1177">
        <v>1007</v>
      </c>
      <c r="B1177" t="s">
        <v>1141</v>
      </c>
      <c r="C1177" t="s">
        <v>136</v>
      </c>
      <c r="D1177" t="s">
        <v>1474</v>
      </c>
      <c r="E1177" t="s">
        <v>1660</v>
      </c>
      <c r="F1177" t="s">
        <v>2933</v>
      </c>
      <c r="G1177" t="b">
        <v>1</v>
      </c>
    </row>
    <row r="1178" spans="1:8" x14ac:dyDescent="0.25">
      <c r="A1178">
        <v>1008</v>
      </c>
      <c r="B1178" t="s">
        <v>1142</v>
      </c>
      <c r="C1178" t="s">
        <v>136</v>
      </c>
      <c r="D1178" t="s">
        <v>1474</v>
      </c>
      <c r="E1178" t="s">
        <v>1733</v>
      </c>
      <c r="F1178" t="s">
        <v>2934</v>
      </c>
      <c r="G1178" t="b">
        <v>1</v>
      </c>
      <c r="H1178" t="b">
        <v>1</v>
      </c>
    </row>
    <row r="1179" spans="1:8" x14ac:dyDescent="0.25">
      <c r="A1179">
        <v>1009</v>
      </c>
      <c r="B1179" t="s">
        <v>1143</v>
      </c>
      <c r="C1179" t="s">
        <v>136</v>
      </c>
      <c r="D1179" t="s">
        <v>1474</v>
      </c>
      <c r="E1179" t="s">
        <v>2513</v>
      </c>
      <c r="F1179" t="s">
        <v>2934</v>
      </c>
      <c r="G1179" t="b">
        <v>1</v>
      </c>
    </row>
    <row r="1180" spans="1:8" x14ac:dyDescent="0.25">
      <c r="A1180">
        <v>1010</v>
      </c>
      <c r="B1180" t="s">
        <v>1144</v>
      </c>
      <c r="C1180" t="s">
        <v>138</v>
      </c>
      <c r="D1180" t="s">
        <v>1471</v>
      </c>
      <c r="E1180" t="s">
        <v>1873</v>
      </c>
      <c r="F1180" t="s">
        <v>2935</v>
      </c>
      <c r="G1180" t="b">
        <v>1</v>
      </c>
    </row>
    <row r="1181" spans="1:8" x14ac:dyDescent="0.25">
      <c r="A1181">
        <v>1011</v>
      </c>
      <c r="B1181" t="s">
        <v>1145</v>
      </c>
      <c r="C1181" t="s">
        <v>138</v>
      </c>
      <c r="D1181" t="s">
        <v>1471</v>
      </c>
      <c r="E1181" t="s">
        <v>2936</v>
      </c>
      <c r="F1181" t="s">
        <v>2937</v>
      </c>
      <c r="G1181" t="b">
        <v>1</v>
      </c>
    </row>
    <row r="1182" spans="1:8" x14ac:dyDescent="0.25">
      <c r="A1182">
        <v>1012</v>
      </c>
      <c r="B1182" t="s">
        <v>1146</v>
      </c>
      <c r="C1182" t="s">
        <v>136</v>
      </c>
      <c r="D1182" t="s">
        <v>1476</v>
      </c>
      <c r="E1182" t="s">
        <v>2938</v>
      </c>
      <c r="F1182" t="s">
        <v>2937</v>
      </c>
      <c r="G1182" t="b">
        <v>1</v>
      </c>
    </row>
    <row r="1183" spans="1:8" x14ac:dyDescent="0.25">
      <c r="A1183">
        <v>1013</v>
      </c>
      <c r="B1183" t="s">
        <v>1147</v>
      </c>
      <c r="C1183" t="s">
        <v>136</v>
      </c>
      <c r="D1183" t="s">
        <v>1474</v>
      </c>
      <c r="E1183" t="s">
        <v>2939</v>
      </c>
      <c r="F1183" t="s">
        <v>2940</v>
      </c>
      <c r="G1183" t="b">
        <v>1</v>
      </c>
    </row>
    <row r="1184" spans="1:8" x14ac:dyDescent="0.25">
      <c r="A1184">
        <v>1014</v>
      </c>
      <c r="B1184" t="s">
        <v>1148</v>
      </c>
      <c r="C1184" t="s">
        <v>136</v>
      </c>
      <c r="D1184" t="s">
        <v>1474</v>
      </c>
      <c r="E1184" t="s">
        <v>2380</v>
      </c>
      <c r="F1184" t="s">
        <v>2941</v>
      </c>
      <c r="G1184" t="b">
        <v>1</v>
      </c>
    </row>
    <row r="1185" spans="1:8" x14ac:dyDescent="0.25">
      <c r="A1185">
        <v>1015</v>
      </c>
      <c r="B1185" t="s">
        <v>1149</v>
      </c>
      <c r="C1185" t="s">
        <v>136</v>
      </c>
      <c r="D1185" t="s">
        <v>1476</v>
      </c>
      <c r="E1185" t="s">
        <v>2942</v>
      </c>
      <c r="F1185" t="s">
        <v>2943</v>
      </c>
      <c r="G1185" t="b">
        <v>1</v>
      </c>
    </row>
    <row r="1186" spans="1:8" x14ac:dyDescent="0.25">
      <c r="A1186">
        <v>1016</v>
      </c>
      <c r="B1186" t="s">
        <v>1150</v>
      </c>
      <c r="C1186" t="s">
        <v>138</v>
      </c>
      <c r="D1186" t="s">
        <v>1471</v>
      </c>
      <c r="E1186" t="s">
        <v>2944</v>
      </c>
      <c r="F1186" t="s">
        <v>2945</v>
      </c>
      <c r="G1186" t="b">
        <v>1</v>
      </c>
    </row>
    <row r="1187" spans="1:8" x14ac:dyDescent="0.25">
      <c r="A1187">
        <v>1017</v>
      </c>
      <c r="B1187" t="s">
        <v>1151</v>
      </c>
      <c r="C1187" t="s">
        <v>138</v>
      </c>
      <c r="D1187" t="s">
        <v>1471</v>
      </c>
      <c r="E1187" t="s">
        <v>1861</v>
      </c>
      <c r="F1187" t="s">
        <v>2946</v>
      </c>
      <c r="G1187" t="b">
        <v>1</v>
      </c>
    </row>
    <row r="1188" spans="1:8" x14ac:dyDescent="0.25">
      <c r="A1188">
        <v>1018</v>
      </c>
      <c r="B1188" t="s">
        <v>1152</v>
      </c>
      <c r="C1188" t="s">
        <v>138</v>
      </c>
      <c r="D1188" t="s">
        <v>1471</v>
      </c>
      <c r="E1188" t="s">
        <v>2947</v>
      </c>
      <c r="F1188" t="s">
        <v>2948</v>
      </c>
      <c r="G1188" t="b">
        <v>1</v>
      </c>
    </row>
    <row r="1189" spans="1:8" x14ac:dyDescent="0.25">
      <c r="A1189">
        <v>1019</v>
      </c>
      <c r="B1189" t="s">
        <v>1153</v>
      </c>
      <c r="C1189" t="s">
        <v>138</v>
      </c>
      <c r="D1189" t="s">
        <v>1471</v>
      </c>
      <c r="E1189" t="s">
        <v>2633</v>
      </c>
      <c r="F1189" t="s">
        <v>2949</v>
      </c>
      <c r="G1189" t="b">
        <v>1</v>
      </c>
    </row>
    <row r="1190" spans="1:8" x14ac:dyDescent="0.25">
      <c r="A1190">
        <v>1020</v>
      </c>
      <c r="B1190" t="s">
        <v>1154</v>
      </c>
      <c r="C1190" t="s">
        <v>138</v>
      </c>
      <c r="D1190" t="s">
        <v>1471</v>
      </c>
      <c r="E1190" t="s">
        <v>2564</v>
      </c>
      <c r="F1190" t="s">
        <v>2950</v>
      </c>
      <c r="G1190" t="b">
        <v>1</v>
      </c>
    </row>
    <row r="1191" spans="1:8" x14ac:dyDescent="0.25">
      <c r="A1191">
        <v>1021</v>
      </c>
      <c r="B1191" t="s">
        <v>1155</v>
      </c>
      <c r="C1191" t="s">
        <v>138</v>
      </c>
      <c r="D1191" t="s">
        <v>1471</v>
      </c>
      <c r="E1191" t="s">
        <v>2951</v>
      </c>
      <c r="F1191" t="s">
        <v>2952</v>
      </c>
      <c r="G1191" t="b">
        <v>1</v>
      </c>
    </row>
    <row r="1192" spans="1:8" x14ac:dyDescent="0.25">
      <c r="A1192">
        <v>1022</v>
      </c>
      <c r="B1192" t="s">
        <v>1156</v>
      </c>
      <c r="C1192" t="s">
        <v>138</v>
      </c>
      <c r="D1192" t="s">
        <v>1471</v>
      </c>
      <c r="E1192" t="s">
        <v>2953</v>
      </c>
      <c r="F1192" t="s">
        <v>2954</v>
      </c>
      <c r="G1192" t="b">
        <v>1</v>
      </c>
    </row>
    <row r="1193" spans="1:8" x14ac:dyDescent="0.25">
      <c r="A1193">
        <v>1023</v>
      </c>
      <c r="B1193" t="s">
        <v>1157</v>
      </c>
      <c r="C1193" t="s">
        <v>138</v>
      </c>
      <c r="D1193" t="s">
        <v>1471</v>
      </c>
      <c r="E1193" t="s">
        <v>2955</v>
      </c>
      <c r="F1193" t="s">
        <v>2956</v>
      </c>
      <c r="G1193" t="b">
        <v>1</v>
      </c>
    </row>
    <row r="1194" spans="1:8" x14ac:dyDescent="0.25">
      <c r="A1194">
        <v>1024</v>
      </c>
      <c r="B1194" t="s">
        <v>1158</v>
      </c>
      <c r="C1194" t="s">
        <v>136</v>
      </c>
      <c r="D1194" t="s">
        <v>1474</v>
      </c>
      <c r="E1194" t="s">
        <v>3370</v>
      </c>
      <c r="F1194" t="s">
        <v>2957</v>
      </c>
      <c r="G1194" t="b">
        <v>1</v>
      </c>
      <c r="H1194" t="b">
        <v>1</v>
      </c>
    </row>
    <row r="1195" spans="1:8" x14ac:dyDescent="0.25">
      <c r="A1195">
        <v>1025</v>
      </c>
      <c r="B1195" t="s">
        <v>1159</v>
      </c>
      <c r="C1195" t="s">
        <v>138</v>
      </c>
      <c r="D1195" t="s">
        <v>1471</v>
      </c>
      <c r="E1195" t="s">
        <v>2958</v>
      </c>
      <c r="F1195" t="s">
        <v>2959</v>
      </c>
      <c r="G1195" t="b">
        <v>1</v>
      </c>
    </row>
    <row r="1196" spans="1:8" x14ac:dyDescent="0.25">
      <c r="A1196">
        <v>1026</v>
      </c>
      <c r="B1196" t="s">
        <v>1160</v>
      </c>
      <c r="C1196" t="s">
        <v>138</v>
      </c>
      <c r="D1196" t="s">
        <v>1475</v>
      </c>
      <c r="E1196" t="s">
        <v>2960</v>
      </c>
      <c r="F1196" t="s">
        <v>2961</v>
      </c>
      <c r="G1196" t="b">
        <v>1</v>
      </c>
    </row>
    <row r="1197" spans="1:8" x14ac:dyDescent="0.25">
      <c r="A1197">
        <v>1027</v>
      </c>
      <c r="B1197" t="s">
        <v>1161</v>
      </c>
      <c r="C1197" t="s">
        <v>136</v>
      </c>
      <c r="D1197" t="s">
        <v>1476</v>
      </c>
      <c r="E1197" t="s">
        <v>3354</v>
      </c>
      <c r="F1197" t="s">
        <v>2961</v>
      </c>
      <c r="G1197" t="b">
        <v>1</v>
      </c>
    </row>
    <row r="1198" spans="1:8" x14ac:dyDescent="0.25">
      <c r="A1198">
        <v>1028</v>
      </c>
      <c r="B1198" t="s">
        <v>1162</v>
      </c>
      <c r="C1198" t="s">
        <v>138</v>
      </c>
      <c r="D1198" t="s">
        <v>1471</v>
      </c>
      <c r="E1198" t="s">
        <v>2962</v>
      </c>
      <c r="F1198" t="s">
        <v>1817</v>
      </c>
      <c r="G1198" t="b">
        <v>1</v>
      </c>
    </row>
    <row r="1199" spans="1:8" x14ac:dyDescent="0.25">
      <c r="A1199">
        <v>1029</v>
      </c>
      <c r="B1199" t="s">
        <v>1163</v>
      </c>
      <c r="C1199" t="s">
        <v>136</v>
      </c>
      <c r="D1199" t="s">
        <v>1474</v>
      </c>
      <c r="E1199" t="s">
        <v>1581</v>
      </c>
      <c r="F1199" t="s">
        <v>2963</v>
      </c>
      <c r="G1199" t="b">
        <v>1</v>
      </c>
    </row>
    <row r="1200" spans="1:8" x14ac:dyDescent="0.25">
      <c r="A1200">
        <v>1030</v>
      </c>
      <c r="B1200" t="s">
        <v>1164</v>
      </c>
      <c r="C1200" t="s">
        <v>138</v>
      </c>
      <c r="D1200" t="s">
        <v>1471</v>
      </c>
      <c r="E1200" t="s">
        <v>2964</v>
      </c>
      <c r="F1200" t="s">
        <v>2963</v>
      </c>
      <c r="G1200" t="b">
        <v>1</v>
      </c>
    </row>
    <row r="1201" spans="1:8" x14ac:dyDescent="0.25">
      <c r="A1201">
        <v>1031</v>
      </c>
      <c r="B1201" t="s">
        <v>1165</v>
      </c>
      <c r="C1201" t="s">
        <v>138</v>
      </c>
      <c r="D1201" t="s">
        <v>1471</v>
      </c>
      <c r="E1201" t="s">
        <v>2350</v>
      </c>
      <c r="F1201" t="s">
        <v>2963</v>
      </c>
      <c r="G1201" t="b">
        <v>1</v>
      </c>
    </row>
    <row r="1202" spans="1:8" x14ac:dyDescent="0.25">
      <c r="A1202">
        <v>1032</v>
      </c>
      <c r="B1202" t="s">
        <v>1166</v>
      </c>
      <c r="C1202" t="s">
        <v>138</v>
      </c>
      <c r="D1202" t="s">
        <v>1471</v>
      </c>
      <c r="E1202" t="s">
        <v>1714</v>
      </c>
      <c r="F1202" t="s">
        <v>2250</v>
      </c>
      <c r="G1202" t="b">
        <v>1</v>
      </c>
    </row>
    <row r="1203" spans="1:8" x14ac:dyDescent="0.25">
      <c r="A1203">
        <v>1033</v>
      </c>
      <c r="B1203" t="s">
        <v>1167</v>
      </c>
      <c r="C1203" t="s">
        <v>138</v>
      </c>
      <c r="D1203" t="s">
        <v>1471</v>
      </c>
      <c r="E1203" t="s">
        <v>2965</v>
      </c>
      <c r="F1203" t="s">
        <v>2966</v>
      </c>
      <c r="G1203" t="b">
        <v>1</v>
      </c>
    </row>
    <row r="1204" spans="1:8" x14ac:dyDescent="0.25">
      <c r="A1204">
        <v>1034</v>
      </c>
      <c r="B1204" t="s">
        <v>1168</v>
      </c>
      <c r="C1204" t="s">
        <v>138</v>
      </c>
      <c r="D1204" t="s">
        <v>1471</v>
      </c>
      <c r="E1204" t="s">
        <v>2967</v>
      </c>
      <c r="F1204" t="s">
        <v>2968</v>
      </c>
      <c r="G1204" t="b">
        <v>1</v>
      </c>
    </row>
    <row r="1205" spans="1:8" x14ac:dyDescent="0.25">
      <c r="A1205">
        <v>1035</v>
      </c>
      <c r="B1205" t="s">
        <v>1169</v>
      </c>
      <c r="C1205" t="s">
        <v>138</v>
      </c>
      <c r="D1205" t="s">
        <v>1475</v>
      </c>
      <c r="E1205" t="s">
        <v>2448</v>
      </c>
      <c r="F1205" t="s">
        <v>2969</v>
      </c>
      <c r="G1205" t="b">
        <v>1</v>
      </c>
    </row>
    <row r="1206" spans="1:8" x14ac:dyDescent="0.25">
      <c r="A1206">
        <v>1036</v>
      </c>
      <c r="B1206" t="s">
        <v>1170</v>
      </c>
      <c r="C1206" t="s">
        <v>138</v>
      </c>
      <c r="D1206" t="s">
        <v>1475</v>
      </c>
      <c r="E1206" t="s">
        <v>2970</v>
      </c>
      <c r="F1206" t="s">
        <v>2969</v>
      </c>
      <c r="G1206" t="b">
        <v>1</v>
      </c>
    </row>
    <row r="1207" spans="1:8" x14ac:dyDescent="0.25">
      <c r="A1207">
        <v>1037</v>
      </c>
      <c r="B1207" t="s">
        <v>1171</v>
      </c>
      <c r="C1207" t="s">
        <v>136</v>
      </c>
      <c r="D1207" t="s">
        <v>1476</v>
      </c>
      <c r="E1207" t="s">
        <v>3355</v>
      </c>
      <c r="F1207" t="s">
        <v>2969</v>
      </c>
      <c r="G1207" t="b">
        <v>1</v>
      </c>
      <c r="H1207" t="b">
        <v>1</v>
      </c>
    </row>
    <row r="1208" spans="1:8" x14ac:dyDescent="0.25">
      <c r="A1208">
        <v>1038</v>
      </c>
      <c r="B1208" t="s">
        <v>1172</v>
      </c>
      <c r="C1208" t="s">
        <v>136</v>
      </c>
      <c r="D1208" t="s">
        <v>1476</v>
      </c>
      <c r="E1208" t="s">
        <v>2971</v>
      </c>
      <c r="F1208" t="s">
        <v>2972</v>
      </c>
      <c r="G1208" t="b">
        <v>1</v>
      </c>
    </row>
    <row r="1209" spans="1:8" x14ac:dyDescent="0.25">
      <c r="A1209">
        <v>1039</v>
      </c>
      <c r="B1209" t="s">
        <v>1173</v>
      </c>
      <c r="C1209" t="s">
        <v>138</v>
      </c>
      <c r="D1209" t="s">
        <v>1471</v>
      </c>
      <c r="E1209" t="s">
        <v>2973</v>
      </c>
      <c r="F1209" t="s">
        <v>2974</v>
      </c>
      <c r="G1209" t="b">
        <v>1</v>
      </c>
    </row>
    <row r="1210" spans="1:8" x14ac:dyDescent="0.25">
      <c r="A1210">
        <v>1040</v>
      </c>
      <c r="B1210" t="s">
        <v>1174</v>
      </c>
      <c r="C1210" t="s">
        <v>136</v>
      </c>
      <c r="D1210" t="s">
        <v>1474</v>
      </c>
      <c r="E1210" t="s">
        <v>2513</v>
      </c>
      <c r="F1210" t="s">
        <v>2975</v>
      </c>
      <c r="G1210" t="b">
        <v>1</v>
      </c>
      <c r="H1210" t="b">
        <v>1</v>
      </c>
    </row>
    <row r="1211" spans="1:8" x14ac:dyDescent="0.25">
      <c r="A1211">
        <v>1041</v>
      </c>
      <c r="B1211" t="s">
        <v>1175</v>
      </c>
      <c r="C1211" t="s">
        <v>136</v>
      </c>
      <c r="D1211" t="s">
        <v>1474</v>
      </c>
      <c r="E1211" t="s">
        <v>2976</v>
      </c>
      <c r="F1211" t="s">
        <v>2977</v>
      </c>
      <c r="G1211" t="b">
        <v>1</v>
      </c>
    </row>
    <row r="1212" spans="1:8" x14ac:dyDescent="0.25">
      <c r="A1212">
        <v>1042</v>
      </c>
      <c r="B1212" t="s">
        <v>1176</v>
      </c>
      <c r="C1212" t="s">
        <v>138</v>
      </c>
      <c r="D1212" t="s">
        <v>1471</v>
      </c>
      <c r="E1212" t="s">
        <v>2530</v>
      </c>
      <c r="F1212" t="s">
        <v>2978</v>
      </c>
      <c r="G1212" t="b">
        <v>1</v>
      </c>
    </row>
    <row r="1213" spans="1:8" x14ac:dyDescent="0.25">
      <c r="A1213">
        <v>1043</v>
      </c>
      <c r="B1213" t="s">
        <v>1177</v>
      </c>
      <c r="C1213" t="s">
        <v>136</v>
      </c>
      <c r="D1213" t="s">
        <v>1474</v>
      </c>
      <c r="E1213" t="s">
        <v>2513</v>
      </c>
      <c r="F1213" t="s">
        <v>2979</v>
      </c>
      <c r="G1213" t="b">
        <v>1</v>
      </c>
      <c r="H1213" t="b">
        <v>1</v>
      </c>
    </row>
    <row r="1214" spans="1:8" x14ac:dyDescent="0.25">
      <c r="A1214">
        <v>1044</v>
      </c>
      <c r="B1214" t="s">
        <v>1178</v>
      </c>
      <c r="C1214" t="s">
        <v>136</v>
      </c>
      <c r="D1214" t="s">
        <v>1474</v>
      </c>
      <c r="E1214" t="s">
        <v>2980</v>
      </c>
      <c r="F1214" t="s">
        <v>2979</v>
      </c>
      <c r="G1214" t="b">
        <v>1</v>
      </c>
    </row>
    <row r="1215" spans="1:8" x14ac:dyDescent="0.25">
      <c r="A1215">
        <v>1045</v>
      </c>
      <c r="B1215" t="s">
        <v>1179</v>
      </c>
      <c r="C1215" t="s">
        <v>136</v>
      </c>
      <c r="D1215" t="s">
        <v>1474</v>
      </c>
      <c r="E1215" t="s">
        <v>2981</v>
      </c>
      <c r="F1215" t="s">
        <v>2979</v>
      </c>
      <c r="G1215" t="b">
        <v>1</v>
      </c>
    </row>
    <row r="1216" spans="1:8" x14ac:dyDescent="0.25">
      <c r="A1216">
        <v>1046</v>
      </c>
      <c r="B1216" t="s">
        <v>1180</v>
      </c>
      <c r="C1216" t="s">
        <v>138</v>
      </c>
      <c r="D1216" t="s">
        <v>1471</v>
      </c>
      <c r="E1216" t="s">
        <v>2982</v>
      </c>
      <c r="F1216" t="s">
        <v>2983</v>
      </c>
      <c r="G1216" t="b">
        <v>1</v>
      </c>
    </row>
    <row r="1217" spans="1:8" x14ac:dyDescent="0.25">
      <c r="A1217">
        <v>1047</v>
      </c>
      <c r="B1217" t="s">
        <v>1181</v>
      </c>
      <c r="C1217" t="s">
        <v>138</v>
      </c>
      <c r="D1217" t="s">
        <v>1471</v>
      </c>
      <c r="E1217" t="s">
        <v>2984</v>
      </c>
      <c r="F1217" t="s">
        <v>2985</v>
      </c>
      <c r="G1217" t="b">
        <v>1</v>
      </c>
    </row>
    <row r="1218" spans="1:8" x14ac:dyDescent="0.25">
      <c r="A1218">
        <v>1048</v>
      </c>
      <c r="B1218" t="s">
        <v>1182</v>
      </c>
      <c r="C1218" t="s">
        <v>136</v>
      </c>
      <c r="D1218" t="s">
        <v>1474</v>
      </c>
      <c r="E1218" t="s">
        <v>3371</v>
      </c>
      <c r="F1218" t="s">
        <v>2986</v>
      </c>
      <c r="G1218" t="b">
        <v>1</v>
      </c>
      <c r="H1218" t="b">
        <v>1</v>
      </c>
    </row>
    <row r="1219" spans="1:8" x14ac:dyDescent="0.25">
      <c r="A1219">
        <v>1049</v>
      </c>
      <c r="B1219" t="s">
        <v>1183</v>
      </c>
      <c r="C1219" t="s">
        <v>136</v>
      </c>
      <c r="D1219" t="s">
        <v>1474</v>
      </c>
      <c r="E1219" t="s">
        <v>2532</v>
      </c>
      <c r="F1219" t="s">
        <v>2987</v>
      </c>
      <c r="G1219" t="b">
        <v>1</v>
      </c>
      <c r="H1219" t="b">
        <v>1</v>
      </c>
    </row>
    <row r="1220" spans="1:8" x14ac:dyDescent="0.25">
      <c r="A1220">
        <v>1050</v>
      </c>
      <c r="B1220" t="s">
        <v>1184</v>
      </c>
      <c r="C1220" t="s">
        <v>138</v>
      </c>
      <c r="D1220" t="s">
        <v>1471</v>
      </c>
      <c r="E1220" t="s">
        <v>2988</v>
      </c>
      <c r="F1220" t="s">
        <v>2987</v>
      </c>
      <c r="G1220" t="b">
        <v>1</v>
      </c>
    </row>
    <row r="1221" spans="1:8" x14ac:dyDescent="0.25">
      <c r="A1221">
        <v>1051</v>
      </c>
      <c r="B1221" t="s">
        <v>1185</v>
      </c>
      <c r="C1221" t="s">
        <v>136</v>
      </c>
      <c r="D1221" t="s">
        <v>1476</v>
      </c>
      <c r="E1221" t="s">
        <v>3356</v>
      </c>
      <c r="F1221" t="s">
        <v>2987</v>
      </c>
      <c r="G1221" t="b">
        <v>1</v>
      </c>
      <c r="H1221" t="b">
        <v>1</v>
      </c>
    </row>
    <row r="1222" spans="1:8" x14ac:dyDescent="0.25">
      <c r="A1222">
        <v>1052</v>
      </c>
      <c r="B1222" t="s">
        <v>1186</v>
      </c>
      <c r="C1222" t="s">
        <v>138</v>
      </c>
      <c r="D1222" t="s">
        <v>1471</v>
      </c>
      <c r="E1222" t="s">
        <v>2133</v>
      </c>
      <c r="F1222" t="s">
        <v>2989</v>
      </c>
      <c r="G1222" t="b">
        <v>1</v>
      </c>
    </row>
    <row r="1223" spans="1:8" x14ac:dyDescent="0.25">
      <c r="A1223">
        <v>1053</v>
      </c>
      <c r="B1223" t="s">
        <v>1187</v>
      </c>
      <c r="C1223" t="s">
        <v>138</v>
      </c>
      <c r="D1223" t="s">
        <v>1471</v>
      </c>
      <c r="E1223" t="s">
        <v>2429</v>
      </c>
      <c r="F1223" t="s">
        <v>2990</v>
      </c>
      <c r="G1223" t="b">
        <v>1</v>
      </c>
    </row>
    <row r="1224" spans="1:8" x14ac:dyDescent="0.25">
      <c r="A1224">
        <v>1054</v>
      </c>
      <c r="B1224" t="s">
        <v>1188</v>
      </c>
      <c r="C1224" t="s">
        <v>138</v>
      </c>
      <c r="D1224" t="s">
        <v>1471</v>
      </c>
      <c r="E1224" t="s">
        <v>2991</v>
      </c>
      <c r="F1224" t="s">
        <v>2992</v>
      </c>
      <c r="G1224" t="b">
        <v>1</v>
      </c>
    </row>
    <row r="1225" spans="1:8" x14ac:dyDescent="0.25">
      <c r="A1225">
        <v>1055</v>
      </c>
      <c r="B1225" t="s">
        <v>1189</v>
      </c>
      <c r="C1225" t="s">
        <v>136</v>
      </c>
      <c r="D1225" t="s">
        <v>1474</v>
      </c>
      <c r="E1225" t="s">
        <v>1989</v>
      </c>
      <c r="F1225" t="s">
        <v>2993</v>
      </c>
      <c r="G1225" t="b">
        <v>1</v>
      </c>
    </row>
    <row r="1226" spans="1:8" x14ac:dyDescent="0.25">
      <c r="A1226">
        <v>1056</v>
      </c>
      <c r="B1226" t="s">
        <v>1190</v>
      </c>
      <c r="C1226" t="s">
        <v>138</v>
      </c>
      <c r="D1226" t="s">
        <v>1471</v>
      </c>
      <c r="E1226" t="s">
        <v>2994</v>
      </c>
      <c r="F1226" t="s">
        <v>2995</v>
      </c>
      <c r="G1226" t="b">
        <v>1</v>
      </c>
    </row>
    <row r="1227" spans="1:8" x14ac:dyDescent="0.25">
      <c r="A1227">
        <v>1057</v>
      </c>
      <c r="B1227" t="s">
        <v>1191</v>
      </c>
      <c r="C1227" t="s">
        <v>138</v>
      </c>
      <c r="D1227" t="s">
        <v>1475</v>
      </c>
      <c r="E1227" t="s">
        <v>2646</v>
      </c>
      <c r="F1227" t="s">
        <v>2996</v>
      </c>
      <c r="G1227" t="b">
        <v>1</v>
      </c>
    </row>
    <row r="1228" spans="1:8" x14ac:dyDescent="0.25">
      <c r="A1228">
        <v>1058</v>
      </c>
      <c r="B1228" t="s">
        <v>1192</v>
      </c>
      <c r="C1228" t="s">
        <v>136</v>
      </c>
      <c r="D1228" t="s">
        <v>1474</v>
      </c>
      <c r="E1228" t="s">
        <v>2997</v>
      </c>
      <c r="F1228" t="s">
        <v>2996</v>
      </c>
      <c r="G1228" t="b">
        <v>1</v>
      </c>
    </row>
    <row r="1229" spans="1:8" x14ac:dyDescent="0.25">
      <c r="A1229">
        <v>1059</v>
      </c>
      <c r="B1229" t="s">
        <v>1193</v>
      </c>
      <c r="C1229" t="s">
        <v>136</v>
      </c>
      <c r="D1229" t="s">
        <v>1474</v>
      </c>
      <c r="E1229" t="s">
        <v>2998</v>
      </c>
      <c r="F1229" t="s">
        <v>2999</v>
      </c>
      <c r="G1229" t="b">
        <v>1</v>
      </c>
    </row>
    <row r="1230" spans="1:8" x14ac:dyDescent="0.25">
      <c r="A1230">
        <v>1060</v>
      </c>
      <c r="B1230" t="s">
        <v>1194</v>
      </c>
      <c r="C1230" t="s">
        <v>138</v>
      </c>
      <c r="D1230" t="s">
        <v>1471</v>
      </c>
      <c r="E1230" t="s">
        <v>1987</v>
      </c>
      <c r="F1230" t="s">
        <v>3000</v>
      </c>
      <c r="G1230" t="b">
        <v>1</v>
      </c>
    </row>
    <row r="1231" spans="1:8" x14ac:dyDescent="0.25">
      <c r="A1231">
        <v>1061</v>
      </c>
      <c r="B1231" t="s">
        <v>1195</v>
      </c>
      <c r="C1231" t="s">
        <v>136</v>
      </c>
      <c r="D1231" t="s">
        <v>1474</v>
      </c>
      <c r="E1231" t="s">
        <v>3001</v>
      </c>
      <c r="F1231" t="s">
        <v>3002</v>
      </c>
      <c r="G1231" t="b">
        <v>1</v>
      </c>
    </row>
    <row r="1232" spans="1:8" x14ac:dyDescent="0.25">
      <c r="A1232">
        <v>1062</v>
      </c>
      <c r="B1232" t="s">
        <v>1196</v>
      </c>
      <c r="C1232" t="s">
        <v>136</v>
      </c>
      <c r="D1232" t="s">
        <v>1474</v>
      </c>
      <c r="E1232" t="s">
        <v>3003</v>
      </c>
      <c r="F1232" t="s">
        <v>3002</v>
      </c>
      <c r="G1232" t="b">
        <v>1</v>
      </c>
    </row>
    <row r="1233" spans="1:8" x14ac:dyDescent="0.25">
      <c r="A1233">
        <v>1063</v>
      </c>
      <c r="B1233" t="s">
        <v>1197</v>
      </c>
      <c r="C1233" t="s">
        <v>138</v>
      </c>
      <c r="D1233" t="s">
        <v>1471</v>
      </c>
      <c r="E1233" t="s">
        <v>3004</v>
      </c>
      <c r="F1233" t="s">
        <v>3002</v>
      </c>
      <c r="G1233" t="b">
        <v>1</v>
      </c>
    </row>
    <row r="1234" spans="1:8" x14ac:dyDescent="0.25">
      <c r="A1234">
        <v>1064</v>
      </c>
      <c r="B1234" t="s">
        <v>1198</v>
      </c>
      <c r="C1234" t="s">
        <v>138</v>
      </c>
      <c r="D1234" t="s">
        <v>1471</v>
      </c>
      <c r="E1234" t="s">
        <v>3005</v>
      </c>
      <c r="F1234" t="s">
        <v>3006</v>
      </c>
      <c r="G1234" t="b">
        <v>1</v>
      </c>
    </row>
    <row r="1235" spans="1:8" x14ac:dyDescent="0.25">
      <c r="A1235">
        <v>1065</v>
      </c>
      <c r="B1235" t="s">
        <v>1199</v>
      </c>
      <c r="C1235" t="s">
        <v>138</v>
      </c>
      <c r="D1235" t="s">
        <v>1471</v>
      </c>
      <c r="E1235" t="s">
        <v>3007</v>
      </c>
      <c r="F1235" t="s">
        <v>3008</v>
      </c>
      <c r="G1235" t="b">
        <v>1</v>
      </c>
    </row>
    <row r="1236" spans="1:8" x14ac:dyDescent="0.25">
      <c r="A1236">
        <v>1066</v>
      </c>
      <c r="B1236" t="s">
        <v>1200</v>
      </c>
      <c r="C1236" t="s">
        <v>138</v>
      </c>
      <c r="D1236" t="s">
        <v>1471</v>
      </c>
      <c r="E1236" t="s">
        <v>3009</v>
      </c>
      <c r="F1236" t="s">
        <v>3010</v>
      </c>
      <c r="G1236" t="b">
        <v>1</v>
      </c>
    </row>
    <row r="1237" spans="1:8" x14ac:dyDescent="0.25">
      <c r="A1237">
        <v>1067</v>
      </c>
      <c r="B1237" t="s">
        <v>1201</v>
      </c>
      <c r="C1237" t="s">
        <v>138</v>
      </c>
      <c r="D1237" t="s">
        <v>1471</v>
      </c>
      <c r="E1237" t="s">
        <v>3011</v>
      </c>
      <c r="F1237" t="s">
        <v>3012</v>
      </c>
      <c r="G1237" t="b">
        <v>1</v>
      </c>
    </row>
    <row r="1238" spans="1:8" x14ac:dyDescent="0.25">
      <c r="A1238">
        <v>1068</v>
      </c>
      <c r="B1238" t="s">
        <v>1202</v>
      </c>
      <c r="C1238" t="s">
        <v>136</v>
      </c>
      <c r="D1238" t="s">
        <v>1474</v>
      </c>
      <c r="E1238" t="s">
        <v>3013</v>
      </c>
      <c r="F1238" t="s">
        <v>3014</v>
      </c>
      <c r="G1238" t="b">
        <v>1</v>
      </c>
    </row>
    <row r="1239" spans="1:8" x14ac:dyDescent="0.25">
      <c r="A1239">
        <v>1069</v>
      </c>
      <c r="B1239" t="s">
        <v>1203</v>
      </c>
      <c r="C1239" t="s">
        <v>138</v>
      </c>
      <c r="D1239" t="s">
        <v>1471</v>
      </c>
      <c r="E1239" t="s">
        <v>3015</v>
      </c>
      <c r="F1239" t="s">
        <v>3016</v>
      </c>
      <c r="G1239" t="b">
        <v>1</v>
      </c>
    </row>
    <row r="1240" spans="1:8" x14ac:dyDescent="0.25">
      <c r="A1240">
        <v>1070</v>
      </c>
      <c r="B1240" t="s">
        <v>1204</v>
      </c>
      <c r="C1240" t="s">
        <v>138</v>
      </c>
      <c r="D1240" t="s">
        <v>1471</v>
      </c>
      <c r="E1240" t="s">
        <v>3017</v>
      </c>
      <c r="F1240" t="s">
        <v>3018</v>
      </c>
      <c r="G1240" t="b">
        <v>1</v>
      </c>
    </row>
    <row r="1241" spans="1:8" x14ac:dyDescent="0.25">
      <c r="A1241">
        <v>1071</v>
      </c>
      <c r="B1241" t="s">
        <v>1205</v>
      </c>
      <c r="C1241" t="s">
        <v>138</v>
      </c>
      <c r="D1241" t="s">
        <v>1471</v>
      </c>
      <c r="E1241" t="s">
        <v>3019</v>
      </c>
      <c r="F1241" t="s">
        <v>3018</v>
      </c>
      <c r="G1241" t="b">
        <v>1</v>
      </c>
    </row>
    <row r="1242" spans="1:8" x14ac:dyDescent="0.25">
      <c r="A1242">
        <v>1072</v>
      </c>
      <c r="B1242" t="s">
        <v>1206</v>
      </c>
      <c r="C1242" t="s">
        <v>136</v>
      </c>
      <c r="D1242" t="s">
        <v>1476</v>
      </c>
      <c r="E1242" t="s">
        <v>3357</v>
      </c>
      <c r="F1242" t="s">
        <v>3018</v>
      </c>
      <c r="G1242" t="b">
        <v>1</v>
      </c>
      <c r="H1242" t="b">
        <v>1</v>
      </c>
    </row>
    <row r="1243" spans="1:8" x14ac:dyDescent="0.25">
      <c r="A1243">
        <v>1073</v>
      </c>
      <c r="B1243" t="s">
        <v>1207</v>
      </c>
      <c r="C1243" t="s">
        <v>138</v>
      </c>
      <c r="D1243" t="s">
        <v>1471</v>
      </c>
      <c r="E1243" t="s">
        <v>3020</v>
      </c>
      <c r="F1243" t="s">
        <v>3021</v>
      </c>
      <c r="G1243" t="b">
        <v>1</v>
      </c>
    </row>
    <row r="1244" spans="1:8" x14ac:dyDescent="0.25">
      <c r="A1244">
        <v>1074</v>
      </c>
      <c r="B1244" t="s">
        <v>1208</v>
      </c>
      <c r="C1244" t="s">
        <v>138</v>
      </c>
      <c r="D1244" t="s">
        <v>1471</v>
      </c>
      <c r="E1244" t="s">
        <v>3022</v>
      </c>
      <c r="F1244" t="s">
        <v>3023</v>
      </c>
      <c r="G1244" t="b">
        <v>1</v>
      </c>
    </row>
    <row r="1245" spans="1:8" x14ac:dyDescent="0.25">
      <c r="A1245">
        <v>1075</v>
      </c>
      <c r="B1245" t="s">
        <v>1209</v>
      </c>
      <c r="C1245" t="s">
        <v>138</v>
      </c>
      <c r="D1245" t="s">
        <v>1471</v>
      </c>
      <c r="E1245" t="s">
        <v>2527</v>
      </c>
      <c r="F1245" t="s">
        <v>3023</v>
      </c>
      <c r="G1245" t="b">
        <v>1</v>
      </c>
    </row>
    <row r="1246" spans="1:8" x14ac:dyDescent="0.25">
      <c r="A1246">
        <v>1076</v>
      </c>
      <c r="B1246" t="s">
        <v>1210</v>
      </c>
      <c r="C1246" t="s">
        <v>138</v>
      </c>
      <c r="D1246" t="s">
        <v>1471</v>
      </c>
      <c r="E1246" t="s">
        <v>3024</v>
      </c>
      <c r="F1246" t="s">
        <v>3025</v>
      </c>
      <c r="G1246" t="b">
        <v>1</v>
      </c>
    </row>
    <row r="1247" spans="1:8" x14ac:dyDescent="0.25">
      <c r="A1247">
        <v>1077</v>
      </c>
      <c r="B1247" t="s">
        <v>1211</v>
      </c>
      <c r="C1247" t="s">
        <v>136</v>
      </c>
      <c r="D1247" t="s">
        <v>3406</v>
      </c>
      <c r="E1247" t="s">
        <v>2939</v>
      </c>
      <c r="F1247" t="s">
        <v>3026</v>
      </c>
      <c r="G1247" t="b">
        <v>1</v>
      </c>
      <c r="H1247" t="b">
        <v>1</v>
      </c>
    </row>
    <row r="1248" spans="1:8" x14ac:dyDescent="0.25">
      <c r="A1248">
        <v>1078</v>
      </c>
      <c r="B1248" t="s">
        <v>1212</v>
      </c>
      <c r="C1248" t="s">
        <v>136</v>
      </c>
      <c r="D1248" t="s">
        <v>1474</v>
      </c>
      <c r="E1248" t="s">
        <v>2939</v>
      </c>
      <c r="F1248" t="s">
        <v>3027</v>
      </c>
      <c r="G1248" t="b">
        <v>1</v>
      </c>
      <c r="H1248" t="b">
        <v>1</v>
      </c>
    </row>
    <row r="1249" spans="1:8" x14ac:dyDescent="0.25">
      <c r="A1249">
        <v>1079</v>
      </c>
      <c r="B1249" t="s">
        <v>1213</v>
      </c>
      <c r="C1249" t="s">
        <v>136</v>
      </c>
      <c r="D1249" t="s">
        <v>1474</v>
      </c>
      <c r="E1249" t="s">
        <v>1512</v>
      </c>
      <c r="F1249" t="s">
        <v>3028</v>
      </c>
      <c r="G1249" t="b">
        <v>1</v>
      </c>
      <c r="H1249" t="b">
        <v>1</v>
      </c>
    </row>
    <row r="1250" spans="1:8" x14ac:dyDescent="0.25">
      <c r="A1250">
        <v>1080</v>
      </c>
      <c r="B1250" t="s">
        <v>1214</v>
      </c>
      <c r="C1250" t="s">
        <v>136</v>
      </c>
      <c r="D1250" t="s">
        <v>1474</v>
      </c>
      <c r="E1250" t="s">
        <v>3029</v>
      </c>
      <c r="F1250" t="s">
        <v>3030</v>
      </c>
      <c r="G1250" t="b">
        <v>1</v>
      </c>
    </row>
    <row r="1251" spans="1:8" x14ac:dyDescent="0.25">
      <c r="A1251">
        <v>1081</v>
      </c>
      <c r="B1251" t="s">
        <v>1215</v>
      </c>
      <c r="C1251" t="s">
        <v>138</v>
      </c>
      <c r="D1251" t="s">
        <v>1471</v>
      </c>
      <c r="E1251" t="s">
        <v>2527</v>
      </c>
      <c r="F1251" t="s">
        <v>3031</v>
      </c>
      <c r="G1251" t="b">
        <v>1</v>
      </c>
    </row>
    <row r="1252" spans="1:8" x14ac:dyDescent="0.25">
      <c r="A1252">
        <v>1082</v>
      </c>
      <c r="B1252" t="s">
        <v>1216</v>
      </c>
      <c r="C1252" t="s">
        <v>136</v>
      </c>
      <c r="D1252" t="s">
        <v>1474</v>
      </c>
      <c r="E1252" t="s">
        <v>3367</v>
      </c>
      <c r="F1252" t="s">
        <v>3032</v>
      </c>
      <c r="G1252" t="b">
        <v>1</v>
      </c>
      <c r="H1252" t="b">
        <v>1</v>
      </c>
    </row>
    <row r="1253" spans="1:8" x14ac:dyDescent="0.25">
      <c r="A1253">
        <v>1083</v>
      </c>
      <c r="B1253" t="s">
        <v>1217</v>
      </c>
      <c r="C1253" t="s">
        <v>138</v>
      </c>
      <c r="D1253" t="s">
        <v>1475</v>
      </c>
      <c r="E1253" t="s">
        <v>3033</v>
      </c>
      <c r="F1253" t="s">
        <v>3034</v>
      </c>
      <c r="G1253" t="b">
        <v>1</v>
      </c>
    </row>
    <row r="1254" spans="1:8" x14ac:dyDescent="0.25">
      <c r="A1254">
        <v>1084</v>
      </c>
      <c r="B1254" t="s">
        <v>1218</v>
      </c>
      <c r="C1254" t="s">
        <v>138</v>
      </c>
      <c r="D1254" t="s">
        <v>1471</v>
      </c>
      <c r="E1254" t="s">
        <v>3035</v>
      </c>
      <c r="F1254" t="s">
        <v>3034</v>
      </c>
      <c r="G1254" t="b">
        <v>1</v>
      </c>
    </row>
    <row r="1255" spans="1:8" x14ac:dyDescent="0.25">
      <c r="A1255">
        <v>1085</v>
      </c>
      <c r="B1255" t="s">
        <v>1219</v>
      </c>
      <c r="C1255" t="s">
        <v>138</v>
      </c>
      <c r="D1255" t="s">
        <v>1471</v>
      </c>
      <c r="E1255" t="s">
        <v>3036</v>
      </c>
      <c r="F1255" t="s">
        <v>3034</v>
      </c>
      <c r="G1255" t="b">
        <v>1</v>
      </c>
    </row>
    <row r="1256" spans="1:8" x14ac:dyDescent="0.25">
      <c r="A1256">
        <v>1086</v>
      </c>
      <c r="B1256" t="s">
        <v>1220</v>
      </c>
      <c r="C1256" t="s">
        <v>138</v>
      </c>
      <c r="D1256" t="s">
        <v>1471</v>
      </c>
      <c r="E1256" t="s">
        <v>3037</v>
      </c>
      <c r="F1256" t="s">
        <v>3034</v>
      </c>
      <c r="G1256" t="b">
        <v>1</v>
      </c>
    </row>
    <row r="1257" spans="1:8" x14ac:dyDescent="0.25">
      <c r="A1257">
        <v>1087</v>
      </c>
      <c r="B1257" t="s">
        <v>1221</v>
      </c>
      <c r="C1257" t="s">
        <v>136</v>
      </c>
      <c r="D1257" t="s">
        <v>1474</v>
      </c>
      <c r="E1257" t="s">
        <v>3038</v>
      </c>
      <c r="F1257" t="s">
        <v>3039</v>
      </c>
      <c r="G1257" t="b">
        <v>1</v>
      </c>
    </row>
    <row r="1258" spans="1:8" x14ac:dyDescent="0.25">
      <c r="A1258">
        <v>1088</v>
      </c>
      <c r="B1258" t="s">
        <v>1222</v>
      </c>
      <c r="C1258" t="s">
        <v>138</v>
      </c>
      <c r="D1258" t="s">
        <v>1471</v>
      </c>
      <c r="E1258" t="s">
        <v>3040</v>
      </c>
      <c r="F1258" t="s">
        <v>3039</v>
      </c>
      <c r="G1258" t="b">
        <v>1</v>
      </c>
    </row>
    <row r="1259" spans="1:8" x14ac:dyDescent="0.25">
      <c r="A1259">
        <v>1089</v>
      </c>
      <c r="B1259" t="s">
        <v>1223</v>
      </c>
      <c r="C1259" t="s">
        <v>138</v>
      </c>
      <c r="D1259" t="s">
        <v>1471</v>
      </c>
      <c r="E1259" t="s">
        <v>3041</v>
      </c>
      <c r="F1259" t="s">
        <v>3039</v>
      </c>
      <c r="G1259" t="b">
        <v>1</v>
      </c>
    </row>
    <row r="1260" spans="1:8" x14ac:dyDescent="0.25">
      <c r="A1260">
        <v>1090</v>
      </c>
      <c r="B1260" t="s">
        <v>1224</v>
      </c>
      <c r="C1260" t="s">
        <v>138</v>
      </c>
      <c r="D1260" t="s">
        <v>1471</v>
      </c>
      <c r="E1260" t="s">
        <v>3042</v>
      </c>
      <c r="F1260" t="s">
        <v>3043</v>
      </c>
      <c r="G1260" t="b">
        <v>1</v>
      </c>
    </row>
    <row r="1261" spans="1:8" x14ac:dyDescent="0.25">
      <c r="A1261">
        <v>1091</v>
      </c>
      <c r="B1261" t="s">
        <v>1225</v>
      </c>
      <c r="C1261" t="s">
        <v>136</v>
      </c>
      <c r="D1261" t="s">
        <v>1474</v>
      </c>
      <c r="E1261" t="s">
        <v>3044</v>
      </c>
      <c r="F1261" t="s">
        <v>3045</v>
      </c>
      <c r="G1261" t="b">
        <v>1</v>
      </c>
    </row>
    <row r="1262" spans="1:8" x14ac:dyDescent="0.25">
      <c r="A1262">
        <v>1092</v>
      </c>
      <c r="B1262" t="s">
        <v>1226</v>
      </c>
      <c r="C1262" t="s">
        <v>136</v>
      </c>
      <c r="D1262" t="s">
        <v>1474</v>
      </c>
      <c r="E1262" t="s">
        <v>2520</v>
      </c>
      <c r="F1262" t="s">
        <v>3045</v>
      </c>
      <c r="G1262" t="b">
        <v>1</v>
      </c>
    </row>
    <row r="1263" spans="1:8" x14ac:dyDescent="0.25">
      <c r="A1263">
        <v>1093</v>
      </c>
      <c r="B1263" t="s">
        <v>1227</v>
      </c>
      <c r="C1263" t="s">
        <v>138</v>
      </c>
      <c r="D1263" t="s">
        <v>1471</v>
      </c>
      <c r="E1263" t="s">
        <v>2522</v>
      </c>
      <c r="F1263" t="s">
        <v>3045</v>
      </c>
      <c r="G1263" t="b">
        <v>1</v>
      </c>
    </row>
    <row r="1264" spans="1:8" x14ac:dyDescent="0.25">
      <c r="A1264">
        <v>1094</v>
      </c>
      <c r="B1264" t="s">
        <v>1228</v>
      </c>
      <c r="C1264" t="s">
        <v>138</v>
      </c>
      <c r="D1264" t="s">
        <v>1471</v>
      </c>
      <c r="E1264" t="s">
        <v>3046</v>
      </c>
      <c r="F1264" t="s">
        <v>3047</v>
      </c>
      <c r="G1264" t="b">
        <v>1</v>
      </c>
    </row>
    <row r="1265" spans="1:8" x14ac:dyDescent="0.25">
      <c r="A1265">
        <v>1095</v>
      </c>
      <c r="B1265" t="s">
        <v>1229</v>
      </c>
      <c r="C1265" t="s">
        <v>136</v>
      </c>
      <c r="D1265" t="s">
        <v>1476</v>
      </c>
      <c r="E1265" t="s">
        <v>3048</v>
      </c>
      <c r="F1265" t="s">
        <v>3049</v>
      </c>
      <c r="G1265" t="b">
        <v>1</v>
      </c>
    </row>
    <row r="1266" spans="1:8" x14ac:dyDescent="0.25">
      <c r="A1266">
        <v>1096</v>
      </c>
      <c r="B1266" t="s">
        <v>1230</v>
      </c>
      <c r="C1266" t="s">
        <v>136</v>
      </c>
      <c r="D1266" t="s">
        <v>1474</v>
      </c>
      <c r="E1266" t="s">
        <v>3050</v>
      </c>
      <c r="F1266" t="s">
        <v>3051</v>
      </c>
      <c r="G1266" t="b">
        <v>1</v>
      </c>
      <c r="H1266" t="b">
        <v>1</v>
      </c>
    </row>
    <row r="1267" spans="1:8" x14ac:dyDescent="0.25">
      <c r="A1267">
        <v>1097</v>
      </c>
      <c r="B1267" t="s">
        <v>1231</v>
      </c>
      <c r="C1267" t="s">
        <v>138</v>
      </c>
      <c r="D1267" t="s">
        <v>1475</v>
      </c>
      <c r="E1267" t="s">
        <v>3052</v>
      </c>
      <c r="F1267" t="s">
        <v>3053</v>
      </c>
      <c r="G1267" t="b">
        <v>1</v>
      </c>
    </row>
    <row r="1268" spans="1:8" x14ac:dyDescent="0.25">
      <c r="A1268">
        <v>1098</v>
      </c>
      <c r="B1268" t="s">
        <v>1232</v>
      </c>
      <c r="C1268" t="s">
        <v>138</v>
      </c>
      <c r="D1268" t="s">
        <v>1475</v>
      </c>
      <c r="E1268" t="s">
        <v>3054</v>
      </c>
      <c r="F1268" t="s">
        <v>3053</v>
      </c>
      <c r="G1268" t="b">
        <v>1</v>
      </c>
    </row>
    <row r="1269" spans="1:8" x14ac:dyDescent="0.25">
      <c r="A1269">
        <v>1099</v>
      </c>
      <c r="B1269" t="s">
        <v>1233</v>
      </c>
      <c r="C1269" t="s">
        <v>136</v>
      </c>
      <c r="D1269" t="s">
        <v>1474</v>
      </c>
      <c r="E1269" t="s">
        <v>3055</v>
      </c>
      <c r="F1269" t="s">
        <v>3053</v>
      </c>
      <c r="G1269" t="b">
        <v>1</v>
      </c>
    </row>
    <row r="1270" spans="1:8" x14ac:dyDescent="0.25">
      <c r="A1270">
        <v>1100</v>
      </c>
      <c r="B1270" t="s">
        <v>1234</v>
      </c>
      <c r="C1270" t="s">
        <v>136</v>
      </c>
      <c r="D1270" t="s">
        <v>1474</v>
      </c>
      <c r="E1270" t="s">
        <v>3056</v>
      </c>
      <c r="F1270" t="s">
        <v>3053</v>
      </c>
      <c r="G1270" t="b">
        <v>1</v>
      </c>
    </row>
    <row r="1271" spans="1:8" x14ac:dyDescent="0.25">
      <c r="A1271">
        <v>1101</v>
      </c>
      <c r="B1271" t="s">
        <v>1235</v>
      </c>
      <c r="C1271" t="s">
        <v>136</v>
      </c>
      <c r="D1271" t="s">
        <v>1476</v>
      </c>
      <c r="E1271" t="s">
        <v>3057</v>
      </c>
      <c r="F1271" t="s">
        <v>3053</v>
      </c>
      <c r="G1271" t="b">
        <v>1</v>
      </c>
    </row>
    <row r="1272" spans="1:8" x14ac:dyDescent="0.25">
      <c r="A1272">
        <v>1102</v>
      </c>
      <c r="B1272" t="s">
        <v>1236</v>
      </c>
      <c r="C1272" t="s">
        <v>138</v>
      </c>
      <c r="D1272" t="s">
        <v>1475</v>
      </c>
      <c r="E1272" t="s">
        <v>3058</v>
      </c>
      <c r="F1272" t="s">
        <v>3059</v>
      </c>
      <c r="G1272" t="b">
        <v>1</v>
      </c>
    </row>
    <row r="1273" spans="1:8" x14ac:dyDescent="0.25">
      <c r="A1273">
        <v>1103</v>
      </c>
      <c r="B1273" t="s">
        <v>1237</v>
      </c>
      <c r="C1273" t="s">
        <v>138</v>
      </c>
      <c r="D1273" t="s">
        <v>1475</v>
      </c>
      <c r="E1273" t="s">
        <v>3060</v>
      </c>
      <c r="F1273" t="s">
        <v>3059</v>
      </c>
      <c r="G1273" t="b">
        <v>1</v>
      </c>
    </row>
    <row r="1274" spans="1:8" x14ac:dyDescent="0.25">
      <c r="A1274">
        <v>1104</v>
      </c>
      <c r="B1274" t="s">
        <v>1238</v>
      </c>
      <c r="C1274" t="s">
        <v>138</v>
      </c>
      <c r="D1274" t="s">
        <v>1475</v>
      </c>
      <c r="E1274" t="s">
        <v>3061</v>
      </c>
      <c r="F1274" t="s">
        <v>3059</v>
      </c>
      <c r="G1274" t="b">
        <v>1</v>
      </c>
    </row>
    <row r="1275" spans="1:8" x14ac:dyDescent="0.25">
      <c r="A1275">
        <v>1105</v>
      </c>
      <c r="B1275" t="s">
        <v>1239</v>
      </c>
      <c r="C1275" t="s">
        <v>138</v>
      </c>
      <c r="D1275" t="s">
        <v>1471</v>
      </c>
      <c r="E1275" t="s">
        <v>3062</v>
      </c>
      <c r="F1275" t="s">
        <v>3059</v>
      </c>
      <c r="G1275" t="b">
        <v>1</v>
      </c>
    </row>
    <row r="1276" spans="1:8" x14ac:dyDescent="0.25">
      <c r="A1276">
        <v>1106</v>
      </c>
      <c r="B1276" t="s">
        <v>1240</v>
      </c>
      <c r="C1276" t="s">
        <v>138</v>
      </c>
      <c r="D1276" t="s">
        <v>1471</v>
      </c>
      <c r="E1276" t="s">
        <v>3063</v>
      </c>
      <c r="F1276" t="s">
        <v>3059</v>
      </c>
      <c r="G1276" t="b">
        <v>1</v>
      </c>
    </row>
    <row r="1277" spans="1:8" x14ac:dyDescent="0.25">
      <c r="A1277">
        <v>1107</v>
      </c>
      <c r="B1277" t="s">
        <v>1241</v>
      </c>
      <c r="C1277" t="s">
        <v>136</v>
      </c>
      <c r="D1277" t="s">
        <v>1476</v>
      </c>
      <c r="E1277" t="s">
        <v>3064</v>
      </c>
      <c r="F1277" t="s">
        <v>3059</v>
      </c>
      <c r="G1277" t="b">
        <v>1</v>
      </c>
    </row>
    <row r="1278" spans="1:8" x14ac:dyDescent="0.25">
      <c r="A1278">
        <v>1108</v>
      </c>
      <c r="B1278" t="s">
        <v>1242</v>
      </c>
      <c r="C1278" t="s">
        <v>138</v>
      </c>
      <c r="D1278" t="s">
        <v>1471</v>
      </c>
      <c r="E1278" t="s">
        <v>1514</v>
      </c>
      <c r="F1278" t="s">
        <v>3065</v>
      </c>
      <c r="G1278" t="b">
        <v>1</v>
      </c>
    </row>
    <row r="1279" spans="1:8" x14ac:dyDescent="0.25">
      <c r="A1279">
        <v>1109</v>
      </c>
      <c r="B1279" t="s">
        <v>1243</v>
      </c>
      <c r="C1279" t="s">
        <v>138</v>
      </c>
      <c r="D1279" t="s">
        <v>1471</v>
      </c>
      <c r="E1279" t="s">
        <v>1472</v>
      </c>
      <c r="F1279" t="s">
        <v>3066</v>
      </c>
      <c r="G1279" t="b">
        <v>1</v>
      </c>
    </row>
    <row r="1280" spans="1:8" x14ac:dyDescent="0.25">
      <c r="A1280">
        <v>1110</v>
      </c>
      <c r="B1280" t="s">
        <v>1244</v>
      </c>
      <c r="C1280" t="s">
        <v>138</v>
      </c>
      <c r="D1280" t="s">
        <v>1471</v>
      </c>
      <c r="E1280" t="s">
        <v>3067</v>
      </c>
      <c r="F1280" t="s">
        <v>3068</v>
      </c>
      <c r="G1280" t="b">
        <v>1</v>
      </c>
    </row>
    <row r="1281" spans="1:7" x14ac:dyDescent="0.25">
      <c r="A1281">
        <v>1111</v>
      </c>
      <c r="B1281" t="s">
        <v>1245</v>
      </c>
      <c r="C1281" t="s">
        <v>138</v>
      </c>
      <c r="D1281" t="s">
        <v>1471</v>
      </c>
      <c r="E1281" t="s">
        <v>3069</v>
      </c>
      <c r="F1281" t="s">
        <v>3070</v>
      </c>
      <c r="G1281" t="b">
        <v>1</v>
      </c>
    </row>
    <row r="1282" spans="1:7" x14ac:dyDescent="0.25">
      <c r="A1282">
        <v>1112</v>
      </c>
      <c r="B1282" t="s">
        <v>1246</v>
      </c>
      <c r="C1282" t="s">
        <v>138</v>
      </c>
      <c r="D1282" t="s">
        <v>1475</v>
      </c>
      <c r="E1282" t="s">
        <v>3071</v>
      </c>
      <c r="F1282" t="s">
        <v>3072</v>
      </c>
      <c r="G1282" t="b">
        <v>1</v>
      </c>
    </row>
    <row r="1283" spans="1:7" x14ac:dyDescent="0.25">
      <c r="A1283">
        <v>1113</v>
      </c>
      <c r="B1283" t="s">
        <v>1247</v>
      </c>
      <c r="C1283" t="s">
        <v>136</v>
      </c>
      <c r="D1283" t="s">
        <v>1474</v>
      </c>
      <c r="E1283" t="s">
        <v>3073</v>
      </c>
      <c r="F1283" t="s">
        <v>3072</v>
      </c>
      <c r="G1283" t="b">
        <v>1</v>
      </c>
    </row>
    <row r="1284" spans="1:7" x14ac:dyDescent="0.25">
      <c r="A1284">
        <v>1114</v>
      </c>
      <c r="B1284" t="s">
        <v>1248</v>
      </c>
      <c r="C1284" t="s">
        <v>136</v>
      </c>
      <c r="D1284" t="s">
        <v>1476</v>
      </c>
      <c r="E1284" t="s">
        <v>1697</v>
      </c>
      <c r="F1284" t="s">
        <v>3072</v>
      </c>
      <c r="G1284" t="b">
        <v>1</v>
      </c>
    </row>
    <row r="1285" spans="1:7" x14ac:dyDescent="0.25">
      <c r="A1285">
        <v>1115</v>
      </c>
      <c r="B1285" t="s">
        <v>1249</v>
      </c>
      <c r="C1285" t="s">
        <v>138</v>
      </c>
      <c r="D1285" t="s">
        <v>1471</v>
      </c>
      <c r="E1285" t="s">
        <v>2247</v>
      </c>
      <c r="F1285" t="s">
        <v>3074</v>
      </c>
      <c r="G1285" t="b">
        <v>1</v>
      </c>
    </row>
    <row r="1286" spans="1:7" x14ac:dyDescent="0.25">
      <c r="A1286">
        <v>1116</v>
      </c>
      <c r="B1286" t="s">
        <v>1250</v>
      </c>
      <c r="C1286" t="s">
        <v>138</v>
      </c>
      <c r="D1286" t="s">
        <v>1471</v>
      </c>
      <c r="E1286" t="s">
        <v>3075</v>
      </c>
      <c r="F1286" t="s">
        <v>3076</v>
      </c>
      <c r="G1286" t="b">
        <v>1</v>
      </c>
    </row>
    <row r="1287" spans="1:7" x14ac:dyDescent="0.25">
      <c r="A1287">
        <v>1117</v>
      </c>
      <c r="B1287" t="s">
        <v>1251</v>
      </c>
      <c r="C1287" t="s">
        <v>138</v>
      </c>
      <c r="D1287" t="s">
        <v>1471</v>
      </c>
      <c r="E1287" t="s">
        <v>2530</v>
      </c>
      <c r="F1287" t="s">
        <v>3077</v>
      </c>
      <c r="G1287" t="b">
        <v>1</v>
      </c>
    </row>
    <row r="1288" spans="1:7" x14ac:dyDescent="0.25">
      <c r="A1288">
        <v>1118</v>
      </c>
      <c r="B1288" t="s">
        <v>1252</v>
      </c>
      <c r="C1288" t="s">
        <v>138</v>
      </c>
      <c r="D1288" t="s">
        <v>1471</v>
      </c>
      <c r="E1288" t="s">
        <v>3078</v>
      </c>
      <c r="F1288" t="s">
        <v>3079</v>
      </c>
      <c r="G1288" t="b">
        <v>1</v>
      </c>
    </row>
    <row r="1289" spans="1:7" x14ac:dyDescent="0.25">
      <c r="A1289">
        <v>1119</v>
      </c>
      <c r="B1289" t="s">
        <v>1253</v>
      </c>
      <c r="C1289" t="s">
        <v>138</v>
      </c>
      <c r="D1289" t="s">
        <v>1471</v>
      </c>
      <c r="E1289" t="s">
        <v>3080</v>
      </c>
      <c r="F1289" t="s">
        <v>3081</v>
      </c>
      <c r="G1289" t="b">
        <v>1</v>
      </c>
    </row>
    <row r="1290" spans="1:7" x14ac:dyDescent="0.25">
      <c r="A1290">
        <v>1120</v>
      </c>
      <c r="B1290" t="s">
        <v>1254</v>
      </c>
      <c r="C1290" t="s">
        <v>138</v>
      </c>
      <c r="D1290" t="s">
        <v>1471</v>
      </c>
      <c r="E1290" t="s">
        <v>2055</v>
      </c>
      <c r="F1290" t="s">
        <v>3082</v>
      </c>
      <c r="G1290" t="b">
        <v>1</v>
      </c>
    </row>
    <row r="1291" spans="1:7" x14ac:dyDescent="0.25">
      <c r="A1291">
        <v>1121</v>
      </c>
      <c r="B1291" t="s">
        <v>1255</v>
      </c>
      <c r="C1291" t="s">
        <v>138</v>
      </c>
      <c r="D1291" t="s">
        <v>1471</v>
      </c>
      <c r="E1291" t="s">
        <v>3083</v>
      </c>
      <c r="F1291" t="s">
        <v>3084</v>
      </c>
      <c r="G1291" t="b">
        <v>1</v>
      </c>
    </row>
    <row r="1292" spans="1:7" x14ac:dyDescent="0.25">
      <c r="A1292">
        <v>1122</v>
      </c>
      <c r="B1292" t="s">
        <v>1256</v>
      </c>
      <c r="C1292" t="s">
        <v>138</v>
      </c>
      <c r="D1292" t="s">
        <v>1475</v>
      </c>
      <c r="E1292" t="s">
        <v>3085</v>
      </c>
      <c r="F1292" t="s">
        <v>3086</v>
      </c>
      <c r="G1292" t="b">
        <v>1</v>
      </c>
    </row>
    <row r="1293" spans="1:7" x14ac:dyDescent="0.25">
      <c r="A1293">
        <v>1123</v>
      </c>
      <c r="B1293" t="s">
        <v>1257</v>
      </c>
      <c r="C1293" t="s">
        <v>136</v>
      </c>
      <c r="D1293" t="s">
        <v>1474</v>
      </c>
      <c r="E1293" t="s">
        <v>1733</v>
      </c>
      <c r="F1293" t="s">
        <v>3086</v>
      </c>
      <c r="G1293" t="b">
        <v>1</v>
      </c>
    </row>
    <row r="1294" spans="1:7" x14ac:dyDescent="0.25">
      <c r="A1294">
        <v>1124</v>
      </c>
      <c r="B1294" t="s">
        <v>1258</v>
      </c>
      <c r="C1294" t="s">
        <v>136</v>
      </c>
      <c r="D1294" t="s">
        <v>1476</v>
      </c>
      <c r="E1294" t="s">
        <v>2477</v>
      </c>
      <c r="F1294" t="s">
        <v>3086</v>
      </c>
      <c r="G1294" t="b">
        <v>1</v>
      </c>
    </row>
    <row r="1295" spans="1:7" x14ac:dyDescent="0.25">
      <c r="A1295">
        <v>1125</v>
      </c>
      <c r="B1295" t="s">
        <v>1259</v>
      </c>
      <c r="C1295" t="s">
        <v>136</v>
      </c>
      <c r="D1295" t="s">
        <v>1474</v>
      </c>
      <c r="E1295" t="s">
        <v>3087</v>
      </c>
      <c r="F1295" t="s">
        <v>3088</v>
      </c>
      <c r="G1295" t="b">
        <v>1</v>
      </c>
    </row>
    <row r="1296" spans="1:7" x14ac:dyDescent="0.25">
      <c r="A1296">
        <v>1126</v>
      </c>
      <c r="B1296" t="s">
        <v>1260</v>
      </c>
      <c r="C1296" t="s">
        <v>138</v>
      </c>
      <c r="D1296" t="s">
        <v>1471</v>
      </c>
      <c r="E1296" t="s">
        <v>3089</v>
      </c>
      <c r="F1296" t="s">
        <v>3090</v>
      </c>
      <c r="G1296" t="b">
        <v>1</v>
      </c>
    </row>
    <row r="1297" spans="1:7" x14ac:dyDescent="0.25">
      <c r="A1297">
        <v>1127</v>
      </c>
      <c r="B1297" t="s">
        <v>1261</v>
      </c>
      <c r="C1297" t="s">
        <v>136</v>
      </c>
      <c r="D1297" t="s">
        <v>1474</v>
      </c>
      <c r="E1297" t="s">
        <v>3091</v>
      </c>
      <c r="F1297" t="s">
        <v>3092</v>
      </c>
      <c r="G1297" t="b">
        <v>1</v>
      </c>
    </row>
    <row r="1298" spans="1:7" x14ac:dyDescent="0.25">
      <c r="A1298">
        <v>1128</v>
      </c>
      <c r="B1298" t="s">
        <v>1262</v>
      </c>
      <c r="C1298" t="s">
        <v>138</v>
      </c>
      <c r="D1298" t="s">
        <v>1471</v>
      </c>
      <c r="E1298" t="s">
        <v>3093</v>
      </c>
      <c r="F1298" t="s">
        <v>3094</v>
      </c>
      <c r="G1298" t="b">
        <v>1</v>
      </c>
    </row>
    <row r="1299" spans="1:7" x14ac:dyDescent="0.25">
      <c r="A1299">
        <v>1129</v>
      </c>
      <c r="B1299" t="s">
        <v>1263</v>
      </c>
      <c r="C1299" t="s">
        <v>138</v>
      </c>
      <c r="D1299" t="s">
        <v>1471</v>
      </c>
      <c r="E1299" t="s">
        <v>3095</v>
      </c>
      <c r="F1299" t="s">
        <v>3094</v>
      </c>
      <c r="G1299" t="b">
        <v>1</v>
      </c>
    </row>
    <row r="1300" spans="1:7" x14ac:dyDescent="0.25">
      <c r="A1300">
        <v>1130</v>
      </c>
      <c r="B1300" t="s">
        <v>1264</v>
      </c>
      <c r="C1300" t="s">
        <v>138</v>
      </c>
      <c r="D1300" t="s">
        <v>1471</v>
      </c>
      <c r="E1300" t="s">
        <v>3096</v>
      </c>
      <c r="F1300" t="s">
        <v>3097</v>
      </c>
      <c r="G1300" t="b">
        <v>1</v>
      </c>
    </row>
    <row r="1301" spans="1:7" x14ac:dyDescent="0.25">
      <c r="A1301">
        <v>1131</v>
      </c>
      <c r="B1301" t="s">
        <v>1265</v>
      </c>
      <c r="C1301" t="s">
        <v>136</v>
      </c>
      <c r="D1301" t="s">
        <v>1474</v>
      </c>
      <c r="E1301" t="s">
        <v>3098</v>
      </c>
      <c r="F1301" t="s">
        <v>3099</v>
      </c>
      <c r="G1301" t="b">
        <v>1</v>
      </c>
    </row>
    <row r="1302" spans="1:7" x14ac:dyDescent="0.25">
      <c r="A1302">
        <v>1132</v>
      </c>
      <c r="B1302" t="s">
        <v>1266</v>
      </c>
      <c r="C1302" t="s">
        <v>138</v>
      </c>
      <c r="D1302" t="s">
        <v>1471</v>
      </c>
      <c r="E1302" t="s">
        <v>3100</v>
      </c>
      <c r="F1302" t="s">
        <v>3101</v>
      </c>
      <c r="G1302" t="b">
        <v>1</v>
      </c>
    </row>
    <row r="1303" spans="1:7" x14ac:dyDescent="0.25">
      <c r="A1303">
        <v>1133</v>
      </c>
      <c r="B1303" t="s">
        <v>1267</v>
      </c>
      <c r="C1303" t="s">
        <v>138</v>
      </c>
      <c r="D1303" t="s">
        <v>1471</v>
      </c>
      <c r="E1303" t="s">
        <v>3102</v>
      </c>
      <c r="F1303" t="s">
        <v>3103</v>
      </c>
      <c r="G1303" t="b">
        <v>1</v>
      </c>
    </row>
    <row r="1304" spans="1:7" x14ac:dyDescent="0.25">
      <c r="A1304">
        <v>1134</v>
      </c>
      <c r="B1304" t="s">
        <v>1268</v>
      </c>
      <c r="C1304" t="s">
        <v>138</v>
      </c>
      <c r="D1304" t="s">
        <v>1471</v>
      </c>
      <c r="E1304" t="s">
        <v>3104</v>
      </c>
      <c r="F1304" t="s">
        <v>3105</v>
      </c>
      <c r="G1304" t="b">
        <v>1</v>
      </c>
    </row>
    <row r="1305" spans="1:7" x14ac:dyDescent="0.25">
      <c r="A1305">
        <v>1135</v>
      </c>
      <c r="B1305" t="s">
        <v>1269</v>
      </c>
      <c r="C1305" t="s">
        <v>138</v>
      </c>
      <c r="D1305" t="s">
        <v>1471</v>
      </c>
      <c r="E1305" t="s">
        <v>3106</v>
      </c>
      <c r="F1305" t="s">
        <v>3105</v>
      </c>
      <c r="G1305" t="b">
        <v>1</v>
      </c>
    </row>
    <row r="1306" spans="1:7" x14ac:dyDescent="0.25">
      <c r="A1306">
        <v>1136</v>
      </c>
      <c r="B1306" t="s">
        <v>1270</v>
      </c>
      <c r="C1306" t="s">
        <v>138</v>
      </c>
      <c r="D1306" t="s">
        <v>1471</v>
      </c>
      <c r="E1306" t="s">
        <v>1551</v>
      </c>
      <c r="F1306" t="s">
        <v>3107</v>
      </c>
      <c r="G1306" t="b">
        <v>1</v>
      </c>
    </row>
    <row r="1307" spans="1:7" x14ac:dyDescent="0.25">
      <c r="A1307">
        <v>1137</v>
      </c>
      <c r="B1307" t="s">
        <v>1271</v>
      </c>
      <c r="C1307" t="s">
        <v>136</v>
      </c>
      <c r="D1307" t="s">
        <v>1476</v>
      </c>
      <c r="E1307" t="s">
        <v>3108</v>
      </c>
      <c r="F1307" t="s">
        <v>3109</v>
      </c>
      <c r="G1307" t="b">
        <v>1</v>
      </c>
    </row>
    <row r="1308" spans="1:7" x14ac:dyDescent="0.25">
      <c r="A1308">
        <v>1138</v>
      </c>
      <c r="B1308" t="s">
        <v>1272</v>
      </c>
      <c r="C1308" t="s">
        <v>138</v>
      </c>
      <c r="D1308" t="s">
        <v>1471</v>
      </c>
      <c r="E1308" t="s">
        <v>3110</v>
      </c>
      <c r="F1308" t="s">
        <v>3111</v>
      </c>
      <c r="G1308" t="b">
        <v>1</v>
      </c>
    </row>
    <row r="1309" spans="1:7" x14ac:dyDescent="0.25">
      <c r="A1309">
        <v>1139</v>
      </c>
      <c r="B1309" t="s">
        <v>1273</v>
      </c>
      <c r="C1309" t="s">
        <v>138</v>
      </c>
      <c r="D1309" t="s">
        <v>1471</v>
      </c>
      <c r="E1309" t="s">
        <v>3112</v>
      </c>
      <c r="F1309" t="s">
        <v>3113</v>
      </c>
      <c r="G1309" t="b">
        <v>1</v>
      </c>
    </row>
    <row r="1310" spans="1:7" x14ac:dyDescent="0.25">
      <c r="A1310">
        <v>1140</v>
      </c>
      <c r="B1310" t="s">
        <v>1274</v>
      </c>
      <c r="C1310" t="s">
        <v>138</v>
      </c>
      <c r="D1310" t="s">
        <v>1471</v>
      </c>
      <c r="E1310" t="s">
        <v>3114</v>
      </c>
      <c r="F1310" t="s">
        <v>3115</v>
      </c>
      <c r="G1310" t="b">
        <v>1</v>
      </c>
    </row>
    <row r="1311" spans="1:7" x14ac:dyDescent="0.25">
      <c r="A1311">
        <v>1141</v>
      </c>
      <c r="B1311" t="s">
        <v>1275</v>
      </c>
      <c r="C1311" t="s">
        <v>138</v>
      </c>
      <c r="D1311" t="s">
        <v>1471</v>
      </c>
      <c r="E1311" t="s">
        <v>3116</v>
      </c>
      <c r="F1311" t="s">
        <v>3117</v>
      </c>
      <c r="G1311" t="b">
        <v>1</v>
      </c>
    </row>
    <row r="1312" spans="1:7" x14ac:dyDescent="0.25">
      <c r="A1312">
        <v>1142</v>
      </c>
      <c r="B1312" t="s">
        <v>1276</v>
      </c>
      <c r="C1312" t="s">
        <v>138</v>
      </c>
      <c r="D1312" t="s">
        <v>1475</v>
      </c>
      <c r="E1312" t="s">
        <v>2224</v>
      </c>
      <c r="F1312" t="s">
        <v>3118</v>
      </c>
      <c r="G1312" t="b">
        <v>1</v>
      </c>
    </row>
    <row r="1313" spans="1:8" x14ac:dyDescent="0.25">
      <c r="A1313">
        <v>1143</v>
      </c>
      <c r="B1313" t="s">
        <v>1277</v>
      </c>
      <c r="C1313" t="s">
        <v>138</v>
      </c>
      <c r="D1313" t="s">
        <v>1475</v>
      </c>
      <c r="E1313" t="s">
        <v>2664</v>
      </c>
      <c r="F1313" t="s">
        <v>3118</v>
      </c>
      <c r="G1313" t="b">
        <v>1</v>
      </c>
    </row>
    <row r="1314" spans="1:8" x14ac:dyDescent="0.25">
      <c r="A1314">
        <v>1144</v>
      </c>
      <c r="B1314" t="s">
        <v>1278</v>
      </c>
      <c r="C1314" t="s">
        <v>138</v>
      </c>
      <c r="D1314" t="s">
        <v>1475</v>
      </c>
      <c r="E1314" t="s">
        <v>3119</v>
      </c>
      <c r="F1314" t="s">
        <v>3118</v>
      </c>
      <c r="G1314" t="b">
        <v>1</v>
      </c>
    </row>
    <row r="1315" spans="1:8" x14ac:dyDescent="0.25">
      <c r="A1315">
        <v>1145</v>
      </c>
      <c r="B1315" t="s">
        <v>1279</v>
      </c>
      <c r="C1315" t="s">
        <v>138</v>
      </c>
      <c r="D1315" t="s">
        <v>1475</v>
      </c>
      <c r="E1315" t="s">
        <v>3120</v>
      </c>
      <c r="F1315" t="s">
        <v>3118</v>
      </c>
      <c r="G1315" t="b">
        <v>1</v>
      </c>
    </row>
    <row r="1316" spans="1:8" x14ac:dyDescent="0.25">
      <c r="A1316">
        <v>1146</v>
      </c>
      <c r="B1316" t="s">
        <v>1280</v>
      </c>
      <c r="C1316" t="s">
        <v>138</v>
      </c>
      <c r="D1316" t="s">
        <v>1475</v>
      </c>
      <c r="E1316" t="s">
        <v>3121</v>
      </c>
      <c r="F1316" t="s">
        <v>3118</v>
      </c>
      <c r="G1316" t="b">
        <v>1</v>
      </c>
    </row>
    <row r="1317" spans="1:8" x14ac:dyDescent="0.25">
      <c r="A1317">
        <v>1147</v>
      </c>
      <c r="B1317" t="s">
        <v>1281</v>
      </c>
      <c r="C1317" t="s">
        <v>136</v>
      </c>
      <c r="D1317" t="s">
        <v>1476</v>
      </c>
      <c r="E1317" t="s">
        <v>1542</v>
      </c>
      <c r="F1317" t="s">
        <v>3118</v>
      </c>
      <c r="G1317" t="b">
        <v>1</v>
      </c>
    </row>
    <row r="1318" spans="1:8" x14ac:dyDescent="0.25">
      <c r="A1318">
        <v>1148</v>
      </c>
      <c r="B1318" t="s">
        <v>1282</v>
      </c>
      <c r="C1318" t="s">
        <v>136</v>
      </c>
      <c r="D1318" t="s">
        <v>1474</v>
      </c>
      <c r="E1318" t="s">
        <v>3372</v>
      </c>
      <c r="F1318" t="s">
        <v>3122</v>
      </c>
      <c r="G1318" t="b">
        <v>1</v>
      </c>
      <c r="H1318" t="b">
        <v>1</v>
      </c>
    </row>
    <row r="1319" spans="1:8" x14ac:dyDescent="0.25">
      <c r="A1319">
        <v>1149</v>
      </c>
      <c r="B1319" t="s">
        <v>1283</v>
      </c>
      <c r="C1319" t="s">
        <v>138</v>
      </c>
      <c r="D1319" t="s">
        <v>1471</v>
      </c>
      <c r="E1319" t="s">
        <v>3123</v>
      </c>
      <c r="F1319" t="s">
        <v>3124</v>
      </c>
      <c r="G1319" t="b">
        <v>1</v>
      </c>
    </row>
    <row r="1320" spans="1:8" x14ac:dyDescent="0.25">
      <c r="A1320">
        <v>1150</v>
      </c>
      <c r="B1320" t="s">
        <v>1284</v>
      </c>
      <c r="C1320" t="s">
        <v>136</v>
      </c>
      <c r="D1320" t="s">
        <v>1474</v>
      </c>
      <c r="E1320" t="s">
        <v>3357</v>
      </c>
      <c r="F1320" t="s">
        <v>3125</v>
      </c>
      <c r="G1320" t="b">
        <v>1</v>
      </c>
      <c r="H1320" t="b">
        <v>1</v>
      </c>
    </row>
    <row r="1321" spans="1:8" x14ac:dyDescent="0.25">
      <c r="A1321">
        <v>1151</v>
      </c>
      <c r="B1321" t="s">
        <v>1285</v>
      </c>
      <c r="C1321" t="s">
        <v>138</v>
      </c>
      <c r="D1321" t="s">
        <v>1471</v>
      </c>
      <c r="E1321" t="s">
        <v>3126</v>
      </c>
      <c r="F1321" t="s">
        <v>3127</v>
      </c>
      <c r="G1321" t="b">
        <v>1</v>
      </c>
    </row>
    <row r="1322" spans="1:8" x14ac:dyDescent="0.25">
      <c r="A1322">
        <v>1152</v>
      </c>
      <c r="B1322" t="s">
        <v>1286</v>
      </c>
      <c r="C1322" t="s">
        <v>136</v>
      </c>
      <c r="D1322" t="s">
        <v>1476</v>
      </c>
      <c r="E1322" t="s">
        <v>1885</v>
      </c>
      <c r="F1322" t="s">
        <v>3127</v>
      </c>
      <c r="G1322" t="b">
        <v>1</v>
      </c>
    </row>
    <row r="1323" spans="1:8" x14ac:dyDescent="0.25">
      <c r="A1323">
        <v>1153</v>
      </c>
      <c r="B1323" t="s">
        <v>1287</v>
      </c>
      <c r="C1323" t="s">
        <v>138</v>
      </c>
      <c r="D1323" t="s">
        <v>1471</v>
      </c>
      <c r="E1323" t="s">
        <v>3128</v>
      </c>
      <c r="F1323" t="s">
        <v>3129</v>
      </c>
      <c r="G1323" t="b">
        <v>1</v>
      </c>
    </row>
    <row r="1324" spans="1:8" x14ac:dyDescent="0.25">
      <c r="A1324">
        <v>1154</v>
      </c>
      <c r="B1324" t="s">
        <v>1288</v>
      </c>
      <c r="C1324" t="s">
        <v>136</v>
      </c>
      <c r="D1324" t="s">
        <v>1476</v>
      </c>
      <c r="E1324" t="s">
        <v>3130</v>
      </c>
      <c r="F1324" t="s">
        <v>3129</v>
      </c>
      <c r="G1324" t="b">
        <v>1</v>
      </c>
    </row>
    <row r="1325" spans="1:8" x14ac:dyDescent="0.25">
      <c r="A1325">
        <v>1155</v>
      </c>
      <c r="B1325" t="s">
        <v>1289</v>
      </c>
      <c r="C1325" t="s">
        <v>138</v>
      </c>
      <c r="D1325" t="s">
        <v>1471</v>
      </c>
      <c r="E1325" t="s">
        <v>2022</v>
      </c>
      <c r="F1325" t="s">
        <v>2312</v>
      </c>
      <c r="G1325" t="b">
        <v>1</v>
      </c>
    </row>
    <row r="1326" spans="1:8" x14ac:dyDescent="0.25">
      <c r="A1326">
        <v>1156</v>
      </c>
      <c r="B1326" t="s">
        <v>1290</v>
      </c>
      <c r="C1326" t="s">
        <v>138</v>
      </c>
      <c r="D1326" t="s">
        <v>1471</v>
      </c>
      <c r="E1326" t="s">
        <v>3131</v>
      </c>
      <c r="F1326" t="s">
        <v>3132</v>
      </c>
      <c r="G1326" t="b">
        <v>1</v>
      </c>
    </row>
    <row r="1327" spans="1:8" x14ac:dyDescent="0.25">
      <c r="A1327">
        <v>1157</v>
      </c>
      <c r="B1327" t="s">
        <v>1291</v>
      </c>
      <c r="C1327" t="s">
        <v>136</v>
      </c>
      <c r="D1327" t="s">
        <v>1474</v>
      </c>
      <c r="E1327" t="s">
        <v>3133</v>
      </c>
      <c r="F1327" t="s">
        <v>3134</v>
      </c>
      <c r="G1327" t="b">
        <v>1</v>
      </c>
    </row>
    <row r="1328" spans="1:8" x14ac:dyDescent="0.25">
      <c r="A1328">
        <v>1158</v>
      </c>
      <c r="B1328" t="s">
        <v>1292</v>
      </c>
      <c r="C1328" t="s">
        <v>138</v>
      </c>
      <c r="D1328" t="s">
        <v>1471</v>
      </c>
      <c r="E1328" t="s">
        <v>3135</v>
      </c>
      <c r="F1328" t="s">
        <v>3134</v>
      </c>
      <c r="G1328" t="b">
        <v>1</v>
      </c>
    </row>
    <row r="1329" spans="1:7" x14ac:dyDescent="0.25">
      <c r="A1329">
        <v>1159</v>
      </c>
      <c r="B1329" t="s">
        <v>1293</v>
      </c>
      <c r="C1329" t="s">
        <v>136</v>
      </c>
      <c r="D1329" t="s">
        <v>1476</v>
      </c>
      <c r="E1329" t="s">
        <v>3136</v>
      </c>
      <c r="F1329" t="s">
        <v>3134</v>
      </c>
      <c r="G1329" t="b">
        <v>1</v>
      </c>
    </row>
    <row r="1330" spans="1:7" x14ac:dyDescent="0.25">
      <c r="A1330">
        <v>1160</v>
      </c>
      <c r="B1330" t="s">
        <v>1294</v>
      </c>
      <c r="C1330" t="s">
        <v>136</v>
      </c>
      <c r="D1330" t="s">
        <v>1474</v>
      </c>
      <c r="E1330" t="s">
        <v>3137</v>
      </c>
      <c r="F1330" t="s">
        <v>3138</v>
      </c>
      <c r="G1330" t="b">
        <v>1</v>
      </c>
    </row>
    <row r="1331" spans="1:7" x14ac:dyDescent="0.25">
      <c r="A1331">
        <v>1161</v>
      </c>
      <c r="B1331" t="s">
        <v>1295</v>
      </c>
      <c r="C1331" t="s">
        <v>138</v>
      </c>
      <c r="D1331" t="s">
        <v>1471</v>
      </c>
      <c r="E1331" t="s">
        <v>3139</v>
      </c>
      <c r="F1331" t="s">
        <v>3140</v>
      </c>
      <c r="G1331" t="b">
        <v>1</v>
      </c>
    </row>
    <row r="1332" spans="1:7" x14ac:dyDescent="0.25">
      <c r="A1332">
        <v>1162</v>
      </c>
      <c r="B1332" t="s">
        <v>1296</v>
      </c>
      <c r="C1332" t="s">
        <v>138</v>
      </c>
      <c r="D1332" t="s">
        <v>1471</v>
      </c>
      <c r="E1332" t="s">
        <v>3141</v>
      </c>
      <c r="F1332" t="s">
        <v>3142</v>
      </c>
      <c r="G1332" t="b">
        <v>1</v>
      </c>
    </row>
    <row r="1333" spans="1:7" x14ac:dyDescent="0.25">
      <c r="A1333">
        <v>1163</v>
      </c>
      <c r="B1333" t="s">
        <v>1297</v>
      </c>
      <c r="C1333" t="s">
        <v>138</v>
      </c>
      <c r="D1333" t="s">
        <v>1471</v>
      </c>
      <c r="E1333" t="s">
        <v>2008</v>
      </c>
      <c r="F1333" t="s">
        <v>3143</v>
      </c>
      <c r="G1333" t="b">
        <v>1</v>
      </c>
    </row>
    <row r="1334" spans="1:7" x14ac:dyDescent="0.25">
      <c r="A1334">
        <v>1164</v>
      </c>
      <c r="B1334" t="s">
        <v>1298</v>
      </c>
      <c r="C1334" t="s">
        <v>138</v>
      </c>
      <c r="D1334" t="s">
        <v>1471</v>
      </c>
      <c r="E1334" t="s">
        <v>2527</v>
      </c>
      <c r="F1334" t="s">
        <v>3143</v>
      </c>
      <c r="G1334" t="b">
        <v>1</v>
      </c>
    </row>
    <row r="1335" spans="1:7" x14ac:dyDescent="0.25">
      <c r="A1335">
        <v>1165</v>
      </c>
      <c r="B1335" t="s">
        <v>1299</v>
      </c>
      <c r="C1335" t="s">
        <v>138</v>
      </c>
      <c r="D1335" t="s">
        <v>1471</v>
      </c>
      <c r="E1335" t="s">
        <v>3144</v>
      </c>
      <c r="F1335" t="s">
        <v>3145</v>
      </c>
      <c r="G1335" t="b">
        <v>1</v>
      </c>
    </row>
    <row r="1336" spans="1:7" x14ac:dyDescent="0.25">
      <c r="A1336">
        <v>1166</v>
      </c>
      <c r="B1336" t="s">
        <v>1300</v>
      </c>
      <c r="C1336" t="s">
        <v>138</v>
      </c>
      <c r="D1336" t="s">
        <v>1471</v>
      </c>
      <c r="E1336" t="s">
        <v>2819</v>
      </c>
      <c r="F1336" t="s">
        <v>3145</v>
      </c>
      <c r="G1336" t="b">
        <v>1</v>
      </c>
    </row>
    <row r="1337" spans="1:7" x14ac:dyDescent="0.25">
      <c r="A1337">
        <v>1167</v>
      </c>
      <c r="B1337" t="s">
        <v>1301</v>
      </c>
      <c r="C1337" t="s">
        <v>138</v>
      </c>
      <c r="D1337" t="s">
        <v>1471</v>
      </c>
      <c r="E1337" t="s">
        <v>3146</v>
      </c>
      <c r="F1337" t="s">
        <v>3147</v>
      </c>
      <c r="G1337" t="b">
        <v>1</v>
      </c>
    </row>
    <row r="1338" spans="1:7" x14ac:dyDescent="0.25">
      <c r="A1338">
        <v>1168</v>
      </c>
      <c r="B1338" t="s">
        <v>1302</v>
      </c>
      <c r="C1338" t="s">
        <v>138</v>
      </c>
      <c r="D1338" t="s">
        <v>1471</v>
      </c>
      <c r="E1338" t="s">
        <v>3148</v>
      </c>
      <c r="F1338" t="s">
        <v>3149</v>
      </c>
      <c r="G1338" t="b">
        <v>1</v>
      </c>
    </row>
    <row r="1339" spans="1:7" x14ac:dyDescent="0.25">
      <c r="A1339">
        <v>1169</v>
      </c>
      <c r="B1339" t="s">
        <v>1303</v>
      </c>
      <c r="C1339" t="s">
        <v>138</v>
      </c>
      <c r="D1339" t="s">
        <v>1471</v>
      </c>
      <c r="E1339" t="s">
        <v>1480</v>
      </c>
      <c r="F1339" t="s">
        <v>3150</v>
      </c>
      <c r="G1339" t="b">
        <v>1</v>
      </c>
    </row>
    <row r="1340" spans="1:7" x14ac:dyDescent="0.25">
      <c r="A1340">
        <v>1170</v>
      </c>
      <c r="B1340" t="s">
        <v>1304</v>
      </c>
      <c r="C1340" t="s">
        <v>138</v>
      </c>
      <c r="D1340" t="s">
        <v>1471</v>
      </c>
      <c r="E1340" t="s">
        <v>3151</v>
      </c>
      <c r="F1340" t="s">
        <v>3152</v>
      </c>
      <c r="G1340" t="b">
        <v>1</v>
      </c>
    </row>
    <row r="1341" spans="1:7" x14ac:dyDescent="0.25">
      <c r="A1341">
        <v>1171</v>
      </c>
      <c r="B1341" t="s">
        <v>1305</v>
      </c>
      <c r="C1341" t="s">
        <v>138</v>
      </c>
      <c r="D1341" t="s">
        <v>1475</v>
      </c>
      <c r="E1341" t="s">
        <v>2555</v>
      </c>
      <c r="F1341" t="s">
        <v>3153</v>
      </c>
      <c r="G1341" t="b">
        <v>1</v>
      </c>
    </row>
    <row r="1342" spans="1:7" x14ac:dyDescent="0.25">
      <c r="A1342">
        <v>1172</v>
      </c>
      <c r="B1342" t="s">
        <v>1306</v>
      </c>
      <c r="C1342" t="s">
        <v>138</v>
      </c>
      <c r="D1342" t="s">
        <v>1475</v>
      </c>
      <c r="E1342" t="s">
        <v>2133</v>
      </c>
      <c r="F1342" t="s">
        <v>3153</v>
      </c>
      <c r="G1342" t="b">
        <v>1</v>
      </c>
    </row>
    <row r="1343" spans="1:7" x14ac:dyDescent="0.25">
      <c r="A1343">
        <v>1173</v>
      </c>
      <c r="B1343" t="s">
        <v>1307</v>
      </c>
      <c r="C1343" t="s">
        <v>136</v>
      </c>
      <c r="D1343" t="s">
        <v>1474</v>
      </c>
      <c r="E1343" t="s">
        <v>3154</v>
      </c>
      <c r="F1343" t="s">
        <v>3153</v>
      </c>
      <c r="G1343" t="b">
        <v>1</v>
      </c>
    </row>
    <row r="1344" spans="1:7" x14ac:dyDescent="0.25">
      <c r="A1344">
        <v>1174</v>
      </c>
      <c r="B1344" t="s">
        <v>1308</v>
      </c>
      <c r="C1344" t="s">
        <v>136</v>
      </c>
      <c r="D1344" t="s">
        <v>1474</v>
      </c>
      <c r="E1344" t="s">
        <v>3155</v>
      </c>
      <c r="F1344" t="s">
        <v>3153</v>
      </c>
      <c r="G1344" t="b">
        <v>1</v>
      </c>
    </row>
    <row r="1345" spans="1:8" x14ac:dyDescent="0.25">
      <c r="A1345">
        <v>1175</v>
      </c>
      <c r="B1345" t="s">
        <v>1309</v>
      </c>
      <c r="C1345" t="s">
        <v>136</v>
      </c>
      <c r="D1345" t="s">
        <v>1474</v>
      </c>
      <c r="E1345" t="s">
        <v>3373</v>
      </c>
      <c r="F1345" t="s">
        <v>3153</v>
      </c>
      <c r="G1345" t="b">
        <v>1</v>
      </c>
      <c r="H1345" t="b">
        <v>1</v>
      </c>
    </row>
    <row r="1346" spans="1:8" x14ac:dyDescent="0.25">
      <c r="A1346">
        <v>1176</v>
      </c>
      <c r="B1346" t="s">
        <v>1310</v>
      </c>
      <c r="C1346" t="s">
        <v>136</v>
      </c>
      <c r="D1346" t="s">
        <v>1474</v>
      </c>
      <c r="E1346" t="s">
        <v>3156</v>
      </c>
      <c r="F1346" t="s">
        <v>3153</v>
      </c>
      <c r="G1346" t="b">
        <v>1</v>
      </c>
    </row>
    <row r="1347" spans="1:8" x14ac:dyDescent="0.25">
      <c r="A1347">
        <v>1177</v>
      </c>
      <c r="B1347" t="s">
        <v>1311</v>
      </c>
      <c r="C1347" t="s">
        <v>138</v>
      </c>
      <c r="D1347" t="s">
        <v>1471</v>
      </c>
      <c r="E1347" t="s">
        <v>3157</v>
      </c>
      <c r="F1347" t="s">
        <v>3153</v>
      </c>
      <c r="G1347" t="b">
        <v>1</v>
      </c>
    </row>
    <row r="1348" spans="1:8" x14ac:dyDescent="0.25">
      <c r="A1348">
        <v>1178</v>
      </c>
      <c r="B1348" t="s">
        <v>1312</v>
      </c>
      <c r="C1348" t="s">
        <v>138</v>
      </c>
      <c r="D1348" t="s">
        <v>1471</v>
      </c>
      <c r="E1348" t="s">
        <v>1936</v>
      </c>
      <c r="F1348" t="s">
        <v>3153</v>
      </c>
      <c r="G1348" t="b">
        <v>1</v>
      </c>
    </row>
    <row r="1349" spans="1:8" x14ac:dyDescent="0.25">
      <c r="A1349">
        <v>1179</v>
      </c>
      <c r="B1349" t="s">
        <v>1313</v>
      </c>
      <c r="C1349" t="s">
        <v>138</v>
      </c>
      <c r="D1349" t="s">
        <v>1471</v>
      </c>
      <c r="E1349" t="s">
        <v>3390</v>
      </c>
      <c r="F1349" t="s">
        <v>3153</v>
      </c>
      <c r="G1349" t="b">
        <v>1</v>
      </c>
      <c r="H1349" t="b">
        <v>1</v>
      </c>
    </row>
    <row r="1350" spans="1:8" x14ac:dyDescent="0.25">
      <c r="A1350">
        <v>1180</v>
      </c>
      <c r="B1350" t="s">
        <v>1314</v>
      </c>
      <c r="C1350" t="s">
        <v>138</v>
      </c>
      <c r="D1350" t="s">
        <v>1471</v>
      </c>
      <c r="E1350" t="s">
        <v>1854</v>
      </c>
      <c r="F1350" t="s">
        <v>3153</v>
      </c>
      <c r="G1350" t="b">
        <v>1</v>
      </c>
    </row>
    <row r="1351" spans="1:8" x14ac:dyDescent="0.25">
      <c r="A1351">
        <v>1181</v>
      </c>
      <c r="B1351" t="s">
        <v>1315</v>
      </c>
      <c r="C1351" t="s">
        <v>136</v>
      </c>
      <c r="D1351" t="s">
        <v>1476</v>
      </c>
      <c r="E1351" t="s">
        <v>2772</v>
      </c>
      <c r="F1351" t="s">
        <v>3153</v>
      </c>
      <c r="G1351" t="b">
        <v>1</v>
      </c>
    </row>
    <row r="1352" spans="1:8" x14ac:dyDescent="0.25">
      <c r="A1352">
        <v>1182</v>
      </c>
      <c r="B1352" t="s">
        <v>1316</v>
      </c>
      <c r="C1352" t="s">
        <v>138</v>
      </c>
      <c r="D1352" t="s">
        <v>1471</v>
      </c>
      <c r="E1352" t="s">
        <v>2783</v>
      </c>
      <c r="F1352" t="s">
        <v>3158</v>
      </c>
      <c r="G1352" t="b">
        <v>1</v>
      </c>
    </row>
    <row r="1353" spans="1:8" x14ac:dyDescent="0.25">
      <c r="A1353">
        <v>1183</v>
      </c>
      <c r="B1353" t="s">
        <v>1317</v>
      </c>
      <c r="C1353" t="s">
        <v>136</v>
      </c>
      <c r="D1353" t="s">
        <v>1474</v>
      </c>
      <c r="E1353" t="s">
        <v>3159</v>
      </c>
      <c r="F1353" t="s">
        <v>3160</v>
      </c>
      <c r="G1353" t="b">
        <v>1</v>
      </c>
    </row>
    <row r="1354" spans="1:8" x14ac:dyDescent="0.25">
      <c r="A1354">
        <v>1184</v>
      </c>
      <c r="B1354" t="s">
        <v>1318</v>
      </c>
      <c r="C1354" t="s">
        <v>138</v>
      </c>
      <c r="D1354" t="s">
        <v>1471</v>
      </c>
      <c r="E1354" t="s">
        <v>3161</v>
      </c>
      <c r="F1354" t="s">
        <v>3162</v>
      </c>
      <c r="G1354" t="b">
        <v>1</v>
      </c>
    </row>
    <row r="1355" spans="1:8" x14ac:dyDescent="0.25">
      <c r="A1355">
        <v>1185</v>
      </c>
      <c r="B1355" t="s">
        <v>1319</v>
      </c>
      <c r="C1355" t="s">
        <v>138</v>
      </c>
      <c r="D1355" t="s">
        <v>1471</v>
      </c>
      <c r="E1355" t="s">
        <v>2646</v>
      </c>
      <c r="F1355" t="s">
        <v>3163</v>
      </c>
      <c r="G1355" t="b">
        <v>1</v>
      </c>
    </row>
    <row r="1356" spans="1:8" x14ac:dyDescent="0.25">
      <c r="A1356">
        <v>1186</v>
      </c>
      <c r="B1356" t="s">
        <v>1320</v>
      </c>
      <c r="C1356" t="s">
        <v>138</v>
      </c>
      <c r="D1356" t="s">
        <v>1471</v>
      </c>
      <c r="E1356" t="s">
        <v>2501</v>
      </c>
      <c r="F1356" t="s">
        <v>3163</v>
      </c>
      <c r="G1356" t="b">
        <v>1</v>
      </c>
    </row>
    <row r="1357" spans="1:8" x14ac:dyDescent="0.25">
      <c r="A1357">
        <v>1187</v>
      </c>
      <c r="B1357" t="s">
        <v>1321</v>
      </c>
      <c r="C1357" t="s">
        <v>138</v>
      </c>
      <c r="D1357" t="s">
        <v>1471</v>
      </c>
      <c r="E1357" t="s">
        <v>3164</v>
      </c>
      <c r="F1357" t="s">
        <v>3163</v>
      </c>
      <c r="G1357" t="b">
        <v>1</v>
      </c>
    </row>
    <row r="1358" spans="1:8" x14ac:dyDescent="0.25">
      <c r="A1358">
        <v>1188</v>
      </c>
      <c r="B1358" t="s">
        <v>1322</v>
      </c>
      <c r="C1358" t="s">
        <v>136</v>
      </c>
      <c r="D1358" t="s">
        <v>1474</v>
      </c>
      <c r="E1358" t="s">
        <v>3165</v>
      </c>
      <c r="F1358" t="s">
        <v>3166</v>
      </c>
      <c r="G1358" t="b">
        <v>1</v>
      </c>
    </row>
    <row r="1359" spans="1:8" x14ac:dyDescent="0.25">
      <c r="A1359">
        <v>1189</v>
      </c>
      <c r="B1359" t="s">
        <v>1323</v>
      </c>
      <c r="C1359" t="s">
        <v>136</v>
      </c>
      <c r="D1359" t="s">
        <v>1476</v>
      </c>
      <c r="E1359" t="s">
        <v>3167</v>
      </c>
      <c r="F1359" t="s">
        <v>3166</v>
      </c>
      <c r="G1359" t="b">
        <v>1</v>
      </c>
    </row>
    <row r="1360" spans="1:8" x14ac:dyDescent="0.25">
      <c r="A1360">
        <v>1190</v>
      </c>
      <c r="B1360" t="s">
        <v>1324</v>
      </c>
      <c r="C1360" t="s">
        <v>136</v>
      </c>
      <c r="D1360" t="s">
        <v>1474</v>
      </c>
      <c r="E1360" t="s">
        <v>3168</v>
      </c>
      <c r="F1360" t="s">
        <v>3166</v>
      </c>
      <c r="G1360" t="b">
        <v>1</v>
      </c>
    </row>
    <row r="1361" spans="1:7" x14ac:dyDescent="0.25">
      <c r="A1361">
        <v>1191</v>
      </c>
      <c r="B1361" t="s">
        <v>1325</v>
      </c>
      <c r="C1361" t="s">
        <v>138</v>
      </c>
      <c r="D1361" t="s">
        <v>1471</v>
      </c>
      <c r="E1361" t="s">
        <v>3169</v>
      </c>
      <c r="F1361" t="s">
        <v>3170</v>
      </c>
      <c r="G1361" t="b">
        <v>1</v>
      </c>
    </row>
    <row r="1362" spans="1:7" x14ac:dyDescent="0.25">
      <c r="A1362">
        <v>1192</v>
      </c>
      <c r="B1362" t="s">
        <v>1326</v>
      </c>
      <c r="C1362" t="s">
        <v>138</v>
      </c>
      <c r="D1362" t="s">
        <v>1471</v>
      </c>
      <c r="E1362" t="s">
        <v>2133</v>
      </c>
      <c r="F1362" t="s">
        <v>3171</v>
      </c>
      <c r="G1362" t="b">
        <v>1</v>
      </c>
    </row>
    <row r="1363" spans="1:7" x14ac:dyDescent="0.25">
      <c r="A1363">
        <v>1193</v>
      </c>
      <c r="B1363" t="s">
        <v>1327</v>
      </c>
      <c r="C1363" t="s">
        <v>138</v>
      </c>
      <c r="D1363" t="s">
        <v>1471</v>
      </c>
      <c r="E1363" t="s">
        <v>3172</v>
      </c>
      <c r="F1363" t="s">
        <v>3173</v>
      </c>
      <c r="G1363" t="b">
        <v>1</v>
      </c>
    </row>
    <row r="1364" spans="1:7" x14ac:dyDescent="0.25">
      <c r="A1364">
        <v>1194</v>
      </c>
      <c r="B1364" t="s">
        <v>1328</v>
      </c>
      <c r="C1364" t="s">
        <v>138</v>
      </c>
      <c r="D1364" t="s">
        <v>1471</v>
      </c>
      <c r="E1364" t="s">
        <v>2350</v>
      </c>
      <c r="F1364" t="s">
        <v>3174</v>
      </c>
      <c r="G1364" t="b">
        <v>1</v>
      </c>
    </row>
    <row r="1365" spans="1:7" x14ac:dyDescent="0.25">
      <c r="A1365">
        <v>1195</v>
      </c>
      <c r="B1365" t="s">
        <v>1329</v>
      </c>
      <c r="C1365" t="s">
        <v>138</v>
      </c>
      <c r="D1365" t="s">
        <v>1471</v>
      </c>
      <c r="E1365" t="s">
        <v>3175</v>
      </c>
      <c r="F1365" t="s">
        <v>3176</v>
      </c>
      <c r="G1365" t="b">
        <v>1</v>
      </c>
    </row>
    <row r="1366" spans="1:7" x14ac:dyDescent="0.25">
      <c r="A1366">
        <v>1196</v>
      </c>
      <c r="B1366" t="s">
        <v>1330</v>
      </c>
      <c r="C1366" t="s">
        <v>138</v>
      </c>
      <c r="D1366" t="s">
        <v>1471</v>
      </c>
      <c r="E1366" t="s">
        <v>2527</v>
      </c>
      <c r="F1366" t="s">
        <v>3177</v>
      </c>
      <c r="G1366" t="b">
        <v>1</v>
      </c>
    </row>
    <row r="1367" spans="1:7" x14ac:dyDescent="0.25">
      <c r="A1367">
        <v>1197</v>
      </c>
      <c r="B1367" t="s">
        <v>1331</v>
      </c>
      <c r="C1367" t="s">
        <v>138</v>
      </c>
      <c r="D1367" t="s">
        <v>1471</v>
      </c>
      <c r="E1367" t="s">
        <v>3178</v>
      </c>
      <c r="F1367" t="s">
        <v>3179</v>
      </c>
      <c r="G1367" t="b">
        <v>1</v>
      </c>
    </row>
    <row r="1368" spans="1:7" x14ac:dyDescent="0.25">
      <c r="A1368">
        <v>1198</v>
      </c>
      <c r="B1368" t="s">
        <v>1332</v>
      </c>
      <c r="C1368" t="s">
        <v>138</v>
      </c>
      <c r="D1368" t="s">
        <v>1471</v>
      </c>
      <c r="E1368" t="s">
        <v>2279</v>
      </c>
      <c r="F1368" t="s">
        <v>3180</v>
      </c>
      <c r="G1368" t="b">
        <v>1</v>
      </c>
    </row>
    <row r="1369" spans="1:7" x14ac:dyDescent="0.25">
      <c r="A1369">
        <v>1199</v>
      </c>
      <c r="B1369" t="s">
        <v>1333</v>
      </c>
      <c r="C1369" t="s">
        <v>136</v>
      </c>
      <c r="D1369" t="s">
        <v>1474</v>
      </c>
      <c r="E1369" t="s">
        <v>3098</v>
      </c>
      <c r="F1369" t="s">
        <v>3181</v>
      </c>
      <c r="G1369" t="b">
        <v>1</v>
      </c>
    </row>
    <row r="1370" spans="1:7" x14ac:dyDescent="0.25">
      <c r="A1370">
        <v>1200</v>
      </c>
      <c r="B1370" t="s">
        <v>1334</v>
      </c>
      <c r="C1370" t="s">
        <v>138</v>
      </c>
      <c r="D1370" t="s">
        <v>1471</v>
      </c>
      <c r="E1370" t="s">
        <v>3182</v>
      </c>
      <c r="F1370" t="s">
        <v>3183</v>
      </c>
      <c r="G1370" t="b">
        <v>1</v>
      </c>
    </row>
    <row r="1371" spans="1:7" x14ac:dyDescent="0.25">
      <c r="A1371">
        <v>1201</v>
      </c>
      <c r="B1371" t="s">
        <v>1335</v>
      </c>
      <c r="C1371" t="s">
        <v>138</v>
      </c>
      <c r="D1371" t="s">
        <v>1471</v>
      </c>
      <c r="E1371" t="s">
        <v>1646</v>
      </c>
      <c r="F1371" t="s">
        <v>3184</v>
      </c>
      <c r="G1371" t="b">
        <v>1</v>
      </c>
    </row>
    <row r="1372" spans="1:7" x14ac:dyDescent="0.25">
      <c r="A1372">
        <v>1202</v>
      </c>
      <c r="B1372" t="s">
        <v>1336</v>
      </c>
      <c r="C1372" t="s">
        <v>138</v>
      </c>
      <c r="D1372" t="s">
        <v>1471</v>
      </c>
      <c r="E1372" t="s">
        <v>3185</v>
      </c>
      <c r="F1372" t="s">
        <v>3186</v>
      </c>
      <c r="G1372" t="b">
        <v>1</v>
      </c>
    </row>
    <row r="1373" spans="1:7" x14ac:dyDescent="0.25">
      <c r="A1373">
        <v>1203</v>
      </c>
      <c r="B1373" t="s">
        <v>1337</v>
      </c>
      <c r="C1373" t="s">
        <v>138</v>
      </c>
      <c r="D1373" t="s">
        <v>1471</v>
      </c>
      <c r="E1373" t="s">
        <v>3022</v>
      </c>
      <c r="F1373" t="s">
        <v>3187</v>
      </c>
      <c r="G1373" t="b">
        <v>1</v>
      </c>
    </row>
    <row r="1374" spans="1:7" x14ac:dyDescent="0.25">
      <c r="A1374">
        <v>1204</v>
      </c>
      <c r="B1374" t="s">
        <v>1338</v>
      </c>
      <c r="C1374" t="s">
        <v>138</v>
      </c>
      <c r="D1374" t="s">
        <v>1471</v>
      </c>
      <c r="E1374" t="s">
        <v>3188</v>
      </c>
      <c r="F1374" t="s">
        <v>3189</v>
      </c>
      <c r="G1374" t="b">
        <v>1</v>
      </c>
    </row>
    <row r="1375" spans="1:7" x14ac:dyDescent="0.25">
      <c r="A1375">
        <v>1205</v>
      </c>
      <c r="B1375" t="s">
        <v>1339</v>
      </c>
      <c r="C1375" t="s">
        <v>138</v>
      </c>
      <c r="D1375" t="s">
        <v>1471</v>
      </c>
      <c r="E1375" t="s">
        <v>3190</v>
      </c>
      <c r="F1375" t="s">
        <v>3191</v>
      </c>
      <c r="G1375" t="b">
        <v>1</v>
      </c>
    </row>
    <row r="1376" spans="1:7" x14ac:dyDescent="0.25">
      <c r="A1376">
        <v>1206</v>
      </c>
      <c r="B1376" t="s">
        <v>1340</v>
      </c>
      <c r="C1376" t="s">
        <v>136</v>
      </c>
      <c r="D1376" t="s">
        <v>1474</v>
      </c>
      <c r="E1376" t="s">
        <v>3013</v>
      </c>
      <c r="F1376" t="s">
        <v>3192</v>
      </c>
      <c r="G1376" t="b">
        <v>1</v>
      </c>
    </row>
    <row r="1377" spans="1:7" x14ac:dyDescent="0.25">
      <c r="A1377">
        <v>1207</v>
      </c>
      <c r="B1377" t="s">
        <v>1341</v>
      </c>
      <c r="C1377" t="s">
        <v>138</v>
      </c>
      <c r="D1377" t="s">
        <v>1475</v>
      </c>
      <c r="E1377" t="s">
        <v>3193</v>
      </c>
      <c r="F1377" t="s">
        <v>3194</v>
      </c>
      <c r="G1377" t="b">
        <v>1</v>
      </c>
    </row>
    <row r="1378" spans="1:7" x14ac:dyDescent="0.25">
      <c r="A1378">
        <v>1208</v>
      </c>
      <c r="B1378" t="s">
        <v>1342</v>
      </c>
      <c r="C1378" t="s">
        <v>138</v>
      </c>
      <c r="D1378" t="s">
        <v>1475</v>
      </c>
      <c r="E1378" t="s">
        <v>3195</v>
      </c>
      <c r="F1378" t="s">
        <v>3194</v>
      </c>
      <c r="G1378" t="b">
        <v>1</v>
      </c>
    </row>
    <row r="1379" spans="1:7" x14ac:dyDescent="0.25">
      <c r="A1379">
        <v>1209</v>
      </c>
      <c r="B1379" t="s">
        <v>1343</v>
      </c>
      <c r="C1379" t="s">
        <v>136</v>
      </c>
      <c r="D1379" t="s">
        <v>1474</v>
      </c>
      <c r="E1379" t="s">
        <v>3196</v>
      </c>
      <c r="F1379" t="s">
        <v>3194</v>
      </c>
      <c r="G1379" t="b">
        <v>1</v>
      </c>
    </row>
    <row r="1380" spans="1:7" x14ac:dyDescent="0.25">
      <c r="A1380">
        <v>1210</v>
      </c>
      <c r="B1380" t="s">
        <v>1344</v>
      </c>
      <c r="C1380" t="s">
        <v>136</v>
      </c>
      <c r="D1380" t="s">
        <v>1474</v>
      </c>
      <c r="E1380" t="s">
        <v>3197</v>
      </c>
      <c r="F1380" t="s">
        <v>3194</v>
      </c>
      <c r="G1380" t="b">
        <v>1</v>
      </c>
    </row>
    <row r="1381" spans="1:7" x14ac:dyDescent="0.25">
      <c r="A1381">
        <v>1211</v>
      </c>
      <c r="B1381" t="s">
        <v>1345</v>
      </c>
      <c r="C1381" t="s">
        <v>138</v>
      </c>
      <c r="D1381" t="s">
        <v>1471</v>
      </c>
      <c r="E1381" t="s">
        <v>3198</v>
      </c>
      <c r="F1381" t="s">
        <v>3194</v>
      </c>
      <c r="G1381" t="b">
        <v>1</v>
      </c>
    </row>
    <row r="1382" spans="1:7" x14ac:dyDescent="0.25">
      <c r="A1382">
        <v>1212</v>
      </c>
      <c r="B1382" t="s">
        <v>1346</v>
      </c>
      <c r="C1382" t="s">
        <v>136</v>
      </c>
      <c r="D1382" t="s">
        <v>1476</v>
      </c>
      <c r="E1382" t="s">
        <v>3199</v>
      </c>
      <c r="F1382" t="s">
        <v>3194</v>
      </c>
      <c r="G1382" t="b">
        <v>1</v>
      </c>
    </row>
    <row r="1383" spans="1:7" x14ac:dyDescent="0.25">
      <c r="A1383">
        <v>1213</v>
      </c>
      <c r="B1383" t="s">
        <v>1347</v>
      </c>
      <c r="C1383" t="s">
        <v>138</v>
      </c>
      <c r="D1383" t="s">
        <v>1471</v>
      </c>
      <c r="E1383" t="s">
        <v>3200</v>
      </c>
      <c r="F1383" t="s">
        <v>3201</v>
      </c>
      <c r="G1383" t="b">
        <v>1</v>
      </c>
    </row>
    <row r="1384" spans="1:7" x14ac:dyDescent="0.25">
      <c r="A1384">
        <v>1214</v>
      </c>
      <c r="B1384" t="s">
        <v>1348</v>
      </c>
      <c r="C1384" t="s">
        <v>138</v>
      </c>
      <c r="D1384" t="s">
        <v>1471</v>
      </c>
      <c r="E1384" t="s">
        <v>3202</v>
      </c>
      <c r="F1384" t="s">
        <v>3203</v>
      </c>
      <c r="G1384" t="b">
        <v>1</v>
      </c>
    </row>
    <row r="1385" spans="1:7" x14ac:dyDescent="0.25">
      <c r="A1385">
        <v>1215</v>
      </c>
      <c r="B1385" t="s">
        <v>1349</v>
      </c>
      <c r="C1385" t="s">
        <v>138</v>
      </c>
      <c r="D1385" t="s">
        <v>1471</v>
      </c>
      <c r="E1385" t="s">
        <v>3204</v>
      </c>
      <c r="F1385" t="s">
        <v>3205</v>
      </c>
      <c r="G1385" t="b">
        <v>1</v>
      </c>
    </row>
    <row r="1386" spans="1:7" x14ac:dyDescent="0.25">
      <c r="A1386">
        <v>1216</v>
      </c>
      <c r="B1386" t="s">
        <v>1350</v>
      </c>
      <c r="C1386" t="s">
        <v>138</v>
      </c>
      <c r="D1386" t="s">
        <v>1471</v>
      </c>
      <c r="E1386" t="s">
        <v>3017</v>
      </c>
      <c r="F1386" t="s">
        <v>1907</v>
      </c>
      <c r="G1386" t="b">
        <v>1</v>
      </c>
    </row>
    <row r="1387" spans="1:7" x14ac:dyDescent="0.25">
      <c r="A1387">
        <v>1217</v>
      </c>
      <c r="B1387" t="s">
        <v>1351</v>
      </c>
      <c r="C1387" t="s">
        <v>136</v>
      </c>
      <c r="D1387" t="s">
        <v>1474</v>
      </c>
      <c r="E1387" t="s">
        <v>2478</v>
      </c>
      <c r="F1387" t="s">
        <v>3206</v>
      </c>
      <c r="G1387" t="b">
        <v>1</v>
      </c>
    </row>
    <row r="1388" spans="1:7" x14ac:dyDescent="0.25">
      <c r="A1388">
        <v>1218</v>
      </c>
      <c r="B1388" t="s">
        <v>1352</v>
      </c>
      <c r="C1388" t="s">
        <v>138</v>
      </c>
      <c r="D1388" t="s">
        <v>1471</v>
      </c>
      <c r="E1388" t="s">
        <v>3207</v>
      </c>
      <c r="F1388" t="s">
        <v>3208</v>
      </c>
      <c r="G1388" t="b">
        <v>1</v>
      </c>
    </row>
    <row r="1389" spans="1:7" x14ac:dyDescent="0.25">
      <c r="A1389">
        <v>1219</v>
      </c>
      <c r="B1389" t="s">
        <v>1353</v>
      </c>
      <c r="C1389" t="s">
        <v>138</v>
      </c>
      <c r="D1389" t="s">
        <v>1471</v>
      </c>
      <c r="E1389" t="s">
        <v>3209</v>
      </c>
      <c r="F1389" t="s">
        <v>3210</v>
      </c>
      <c r="G1389" t="b">
        <v>1</v>
      </c>
    </row>
    <row r="1390" spans="1:7" x14ac:dyDescent="0.25">
      <c r="A1390">
        <v>1220</v>
      </c>
      <c r="B1390" t="s">
        <v>1354</v>
      </c>
      <c r="C1390" t="s">
        <v>138</v>
      </c>
      <c r="D1390" t="s">
        <v>1471</v>
      </c>
      <c r="E1390" t="s">
        <v>3211</v>
      </c>
      <c r="F1390" t="s">
        <v>3212</v>
      </c>
      <c r="G1390" t="b">
        <v>1</v>
      </c>
    </row>
    <row r="1391" spans="1:7" x14ac:dyDescent="0.25">
      <c r="A1391">
        <v>1221</v>
      </c>
      <c r="B1391" t="s">
        <v>1355</v>
      </c>
      <c r="C1391" t="s">
        <v>138</v>
      </c>
      <c r="D1391" t="s">
        <v>1471</v>
      </c>
      <c r="E1391" t="s">
        <v>3213</v>
      </c>
      <c r="F1391" t="s">
        <v>3214</v>
      </c>
      <c r="G1391" t="b">
        <v>1</v>
      </c>
    </row>
    <row r="1392" spans="1:7" x14ac:dyDescent="0.25">
      <c r="A1392">
        <v>1222</v>
      </c>
      <c r="B1392" t="s">
        <v>1356</v>
      </c>
      <c r="C1392" t="s">
        <v>138</v>
      </c>
      <c r="D1392" t="s">
        <v>1471</v>
      </c>
      <c r="E1392" t="s">
        <v>2564</v>
      </c>
      <c r="F1392" t="s">
        <v>3215</v>
      </c>
      <c r="G1392" t="b">
        <v>1</v>
      </c>
    </row>
    <row r="1393" spans="1:8" x14ac:dyDescent="0.25">
      <c r="A1393">
        <v>1223</v>
      </c>
      <c r="B1393" t="s">
        <v>1357</v>
      </c>
      <c r="C1393" t="s">
        <v>138</v>
      </c>
      <c r="D1393" t="s">
        <v>1471</v>
      </c>
      <c r="E1393" t="s">
        <v>2564</v>
      </c>
      <c r="F1393" t="s">
        <v>3216</v>
      </c>
      <c r="G1393" t="b">
        <v>1</v>
      </c>
    </row>
    <row r="1394" spans="1:8" x14ac:dyDescent="0.25">
      <c r="A1394">
        <v>1224</v>
      </c>
      <c r="B1394" t="s">
        <v>1358</v>
      </c>
      <c r="C1394" t="s">
        <v>136</v>
      </c>
      <c r="D1394" t="s">
        <v>1474</v>
      </c>
      <c r="E1394" t="s">
        <v>3217</v>
      </c>
      <c r="F1394" t="s">
        <v>3218</v>
      </c>
      <c r="G1394" t="b">
        <v>1</v>
      </c>
    </row>
    <row r="1395" spans="1:8" x14ac:dyDescent="0.25">
      <c r="A1395">
        <v>1225</v>
      </c>
      <c r="B1395" t="s">
        <v>1359</v>
      </c>
      <c r="C1395" t="s">
        <v>138</v>
      </c>
      <c r="D1395" t="s">
        <v>1471</v>
      </c>
      <c r="E1395" t="s">
        <v>3219</v>
      </c>
      <c r="F1395" t="s">
        <v>3218</v>
      </c>
      <c r="G1395" t="b">
        <v>1</v>
      </c>
    </row>
    <row r="1396" spans="1:8" x14ac:dyDescent="0.25">
      <c r="A1396">
        <v>1226</v>
      </c>
      <c r="B1396" t="s">
        <v>1360</v>
      </c>
      <c r="C1396" t="s">
        <v>138</v>
      </c>
      <c r="D1396" t="s">
        <v>1471</v>
      </c>
      <c r="E1396" t="s">
        <v>3017</v>
      </c>
      <c r="F1396" t="s">
        <v>3220</v>
      </c>
      <c r="G1396" t="b">
        <v>1</v>
      </c>
    </row>
    <row r="1397" spans="1:8" x14ac:dyDescent="0.25">
      <c r="A1397">
        <v>1227</v>
      </c>
      <c r="B1397" t="s">
        <v>1361</v>
      </c>
      <c r="C1397" t="s">
        <v>138</v>
      </c>
      <c r="D1397" t="s">
        <v>1471</v>
      </c>
      <c r="E1397" t="s">
        <v>3221</v>
      </c>
      <c r="F1397" t="s">
        <v>3222</v>
      </c>
      <c r="G1397" t="b">
        <v>1</v>
      </c>
    </row>
    <row r="1398" spans="1:8" x14ac:dyDescent="0.25">
      <c r="A1398">
        <v>1228</v>
      </c>
      <c r="B1398" t="s">
        <v>1362</v>
      </c>
      <c r="C1398" t="s">
        <v>136</v>
      </c>
      <c r="D1398" t="s">
        <v>1474</v>
      </c>
      <c r="E1398" t="s">
        <v>3223</v>
      </c>
      <c r="F1398" t="s">
        <v>3224</v>
      </c>
      <c r="G1398" t="b">
        <v>1</v>
      </c>
    </row>
    <row r="1399" spans="1:8" x14ac:dyDescent="0.25">
      <c r="A1399">
        <v>1229</v>
      </c>
      <c r="B1399" t="s">
        <v>1363</v>
      </c>
      <c r="C1399" t="s">
        <v>138</v>
      </c>
      <c r="D1399" t="s">
        <v>1471</v>
      </c>
      <c r="E1399" t="s">
        <v>3225</v>
      </c>
      <c r="F1399" t="s">
        <v>3226</v>
      </c>
      <c r="G1399" t="b">
        <v>1</v>
      </c>
    </row>
    <row r="1400" spans="1:8" x14ac:dyDescent="0.25">
      <c r="A1400">
        <v>1230</v>
      </c>
      <c r="B1400" t="s">
        <v>1364</v>
      </c>
      <c r="C1400" t="s">
        <v>138</v>
      </c>
      <c r="D1400" t="s">
        <v>1471</v>
      </c>
      <c r="E1400" t="s">
        <v>2564</v>
      </c>
      <c r="F1400" t="s">
        <v>3227</v>
      </c>
      <c r="G1400" t="b">
        <v>1</v>
      </c>
    </row>
    <row r="1401" spans="1:8" x14ac:dyDescent="0.25">
      <c r="A1401">
        <v>1231</v>
      </c>
      <c r="B1401" t="s">
        <v>1365</v>
      </c>
      <c r="C1401" t="s">
        <v>136</v>
      </c>
      <c r="D1401" t="s">
        <v>1474</v>
      </c>
      <c r="E1401" t="s">
        <v>3228</v>
      </c>
      <c r="F1401" t="s">
        <v>3229</v>
      </c>
      <c r="G1401" t="b">
        <v>1</v>
      </c>
    </row>
    <row r="1402" spans="1:8" x14ac:dyDescent="0.25">
      <c r="A1402">
        <v>1232</v>
      </c>
      <c r="B1402" t="s">
        <v>1366</v>
      </c>
      <c r="C1402" t="s">
        <v>136</v>
      </c>
      <c r="D1402" t="s">
        <v>1476</v>
      </c>
      <c r="E1402" t="s">
        <v>3230</v>
      </c>
      <c r="F1402" t="s">
        <v>3229</v>
      </c>
      <c r="G1402" t="b">
        <v>1</v>
      </c>
    </row>
    <row r="1403" spans="1:8" x14ac:dyDescent="0.25">
      <c r="A1403">
        <v>1233</v>
      </c>
      <c r="B1403" t="s">
        <v>1367</v>
      </c>
      <c r="C1403" t="s">
        <v>138</v>
      </c>
      <c r="D1403" t="s">
        <v>1471</v>
      </c>
      <c r="E1403" t="s">
        <v>3231</v>
      </c>
      <c r="F1403" t="s">
        <v>3232</v>
      </c>
      <c r="G1403" t="b">
        <v>1</v>
      </c>
    </row>
    <row r="1404" spans="1:8" x14ac:dyDescent="0.25">
      <c r="A1404">
        <v>1234</v>
      </c>
      <c r="B1404" t="s">
        <v>1368</v>
      </c>
      <c r="C1404" t="s">
        <v>138</v>
      </c>
      <c r="D1404" t="s">
        <v>1471</v>
      </c>
      <c r="E1404" t="s">
        <v>3233</v>
      </c>
      <c r="F1404" t="s">
        <v>3234</v>
      </c>
      <c r="G1404" t="b">
        <v>1</v>
      </c>
    </row>
    <row r="1405" spans="1:8" x14ac:dyDescent="0.25">
      <c r="A1405">
        <v>1235</v>
      </c>
      <c r="B1405" t="s">
        <v>1369</v>
      </c>
      <c r="C1405" t="s">
        <v>138</v>
      </c>
      <c r="D1405" t="s">
        <v>1471</v>
      </c>
      <c r="E1405" t="s">
        <v>1525</v>
      </c>
      <c r="F1405" t="s">
        <v>3235</v>
      </c>
      <c r="G1405" t="b">
        <v>1</v>
      </c>
      <c r="H1405" t="b">
        <v>1</v>
      </c>
    </row>
    <row r="1406" spans="1:8" x14ac:dyDescent="0.25">
      <c r="A1406">
        <v>1236</v>
      </c>
      <c r="B1406" t="s">
        <v>1370</v>
      </c>
      <c r="C1406" t="s">
        <v>138</v>
      </c>
      <c r="D1406" t="s">
        <v>1471</v>
      </c>
      <c r="E1406" t="s">
        <v>2643</v>
      </c>
      <c r="F1406" t="s">
        <v>3236</v>
      </c>
      <c r="G1406" t="b">
        <v>1</v>
      </c>
    </row>
    <row r="1407" spans="1:8" x14ac:dyDescent="0.25">
      <c r="A1407">
        <v>1237</v>
      </c>
      <c r="B1407" t="s">
        <v>1371</v>
      </c>
      <c r="C1407" t="s">
        <v>138</v>
      </c>
      <c r="D1407" t="s">
        <v>1471</v>
      </c>
      <c r="E1407" t="s">
        <v>3237</v>
      </c>
      <c r="F1407" t="s">
        <v>3236</v>
      </c>
      <c r="G1407" t="b">
        <v>1</v>
      </c>
    </row>
    <row r="1408" spans="1:8" x14ac:dyDescent="0.25">
      <c r="A1408">
        <v>1238</v>
      </c>
      <c r="B1408" t="s">
        <v>1372</v>
      </c>
      <c r="C1408" t="s">
        <v>138</v>
      </c>
      <c r="D1408" t="s">
        <v>1471</v>
      </c>
      <c r="E1408" t="s">
        <v>3238</v>
      </c>
      <c r="F1408" t="s">
        <v>3236</v>
      </c>
      <c r="G1408" t="b">
        <v>1</v>
      </c>
    </row>
    <row r="1409" spans="1:7" x14ac:dyDescent="0.25">
      <c r="A1409">
        <v>1239</v>
      </c>
      <c r="B1409" t="s">
        <v>1373</v>
      </c>
      <c r="C1409" t="s">
        <v>138</v>
      </c>
      <c r="D1409" t="s">
        <v>1471</v>
      </c>
      <c r="E1409" t="s">
        <v>3239</v>
      </c>
      <c r="F1409" t="s">
        <v>3240</v>
      </c>
      <c r="G1409" t="b">
        <v>1</v>
      </c>
    </row>
    <row r="1410" spans="1:7" x14ac:dyDescent="0.25">
      <c r="A1410">
        <v>1240</v>
      </c>
      <c r="B1410" t="s">
        <v>1374</v>
      </c>
      <c r="C1410" t="s">
        <v>138</v>
      </c>
      <c r="D1410" t="s">
        <v>1471</v>
      </c>
      <c r="E1410" t="s">
        <v>3241</v>
      </c>
      <c r="F1410" t="s">
        <v>3242</v>
      </c>
      <c r="G1410" t="b">
        <v>1</v>
      </c>
    </row>
    <row r="1411" spans="1:7" x14ac:dyDescent="0.25">
      <c r="A1411">
        <v>1241</v>
      </c>
      <c r="B1411" t="s">
        <v>1375</v>
      </c>
      <c r="C1411" t="s">
        <v>138</v>
      </c>
      <c r="D1411" t="s">
        <v>1475</v>
      </c>
      <c r="E1411" t="s">
        <v>3243</v>
      </c>
      <c r="F1411" t="s">
        <v>3017</v>
      </c>
      <c r="G1411" t="b">
        <v>1</v>
      </c>
    </row>
    <row r="1412" spans="1:7" x14ac:dyDescent="0.25">
      <c r="A1412">
        <v>1242</v>
      </c>
      <c r="B1412" t="s">
        <v>1376</v>
      </c>
      <c r="C1412" t="s">
        <v>138</v>
      </c>
      <c r="D1412" t="s">
        <v>1471</v>
      </c>
      <c r="E1412" t="s">
        <v>3244</v>
      </c>
      <c r="F1412" t="s">
        <v>3017</v>
      </c>
      <c r="G1412" t="b">
        <v>1</v>
      </c>
    </row>
    <row r="1413" spans="1:7" x14ac:dyDescent="0.25">
      <c r="A1413">
        <v>1243</v>
      </c>
      <c r="B1413" t="s">
        <v>1377</v>
      </c>
      <c r="C1413" t="s">
        <v>138</v>
      </c>
      <c r="D1413" t="s">
        <v>1471</v>
      </c>
      <c r="E1413" t="s">
        <v>1646</v>
      </c>
      <c r="F1413" t="s">
        <v>3017</v>
      </c>
      <c r="G1413" t="b">
        <v>1</v>
      </c>
    </row>
    <row r="1414" spans="1:7" x14ac:dyDescent="0.25">
      <c r="A1414">
        <v>1244</v>
      </c>
      <c r="B1414" t="s">
        <v>1378</v>
      </c>
      <c r="C1414" t="s">
        <v>138</v>
      </c>
      <c r="D1414" t="s">
        <v>1471</v>
      </c>
      <c r="E1414" t="s">
        <v>2489</v>
      </c>
      <c r="F1414" t="s">
        <v>3017</v>
      </c>
      <c r="G1414" t="b">
        <v>1</v>
      </c>
    </row>
    <row r="1415" spans="1:7" x14ac:dyDescent="0.25">
      <c r="A1415">
        <v>1245</v>
      </c>
      <c r="B1415" t="s">
        <v>1379</v>
      </c>
      <c r="C1415" t="s">
        <v>136</v>
      </c>
      <c r="D1415" t="s">
        <v>1476</v>
      </c>
      <c r="E1415" t="s">
        <v>3245</v>
      </c>
      <c r="F1415" t="s">
        <v>3017</v>
      </c>
      <c r="G1415" t="b">
        <v>1</v>
      </c>
    </row>
    <row r="1416" spans="1:7" x14ac:dyDescent="0.25">
      <c r="A1416">
        <v>1246</v>
      </c>
      <c r="B1416" t="s">
        <v>1380</v>
      </c>
      <c r="C1416" t="s">
        <v>138</v>
      </c>
      <c r="D1416" t="s">
        <v>1471</v>
      </c>
      <c r="E1416" t="s">
        <v>3246</v>
      </c>
      <c r="F1416" t="s">
        <v>1503</v>
      </c>
      <c r="G1416" t="b">
        <v>1</v>
      </c>
    </row>
    <row r="1417" spans="1:7" x14ac:dyDescent="0.25">
      <c r="A1417">
        <v>1247</v>
      </c>
      <c r="B1417" t="s">
        <v>1381</v>
      </c>
      <c r="C1417" t="s">
        <v>138</v>
      </c>
      <c r="D1417" t="s">
        <v>1471</v>
      </c>
      <c r="E1417" t="s">
        <v>3247</v>
      </c>
      <c r="F1417" t="s">
        <v>3248</v>
      </c>
      <c r="G1417" t="b">
        <v>1</v>
      </c>
    </row>
    <row r="1418" spans="1:7" x14ac:dyDescent="0.25">
      <c r="A1418">
        <v>1248</v>
      </c>
      <c r="B1418" t="s">
        <v>1382</v>
      </c>
      <c r="C1418" t="s">
        <v>136</v>
      </c>
      <c r="D1418" t="s">
        <v>1476</v>
      </c>
      <c r="E1418" t="s">
        <v>3249</v>
      </c>
      <c r="F1418" t="s">
        <v>3248</v>
      </c>
      <c r="G1418" t="b">
        <v>1</v>
      </c>
    </row>
    <row r="1419" spans="1:7" x14ac:dyDescent="0.25">
      <c r="A1419">
        <v>1249</v>
      </c>
      <c r="B1419" t="s">
        <v>1383</v>
      </c>
      <c r="C1419" t="s">
        <v>138</v>
      </c>
      <c r="D1419" t="s">
        <v>1471</v>
      </c>
      <c r="E1419" t="s">
        <v>3225</v>
      </c>
      <c r="F1419" t="s">
        <v>3250</v>
      </c>
      <c r="G1419" t="b">
        <v>1</v>
      </c>
    </row>
    <row r="1420" spans="1:7" x14ac:dyDescent="0.25">
      <c r="A1420">
        <v>1250</v>
      </c>
      <c r="B1420" t="s">
        <v>1384</v>
      </c>
      <c r="C1420" t="s">
        <v>138</v>
      </c>
      <c r="D1420" t="s">
        <v>1471</v>
      </c>
      <c r="E1420" t="s">
        <v>3251</v>
      </c>
      <c r="F1420" t="s">
        <v>3252</v>
      </c>
      <c r="G1420" t="b">
        <v>1</v>
      </c>
    </row>
    <row r="1421" spans="1:7" x14ac:dyDescent="0.25">
      <c r="A1421">
        <v>1251</v>
      </c>
      <c r="B1421" t="s">
        <v>1385</v>
      </c>
      <c r="C1421" t="s">
        <v>138</v>
      </c>
      <c r="D1421" t="s">
        <v>1471</v>
      </c>
      <c r="E1421" t="s">
        <v>2792</v>
      </c>
      <c r="F1421" t="s">
        <v>3253</v>
      </c>
      <c r="G1421" t="b">
        <v>1</v>
      </c>
    </row>
    <row r="1422" spans="1:7" x14ac:dyDescent="0.25">
      <c r="A1422">
        <v>1252</v>
      </c>
      <c r="B1422" t="s">
        <v>1386</v>
      </c>
      <c r="C1422" t="s">
        <v>138</v>
      </c>
      <c r="D1422" t="s">
        <v>1471</v>
      </c>
      <c r="E1422" t="s">
        <v>3254</v>
      </c>
      <c r="F1422" t="s">
        <v>3255</v>
      </c>
      <c r="G1422" t="b">
        <v>1</v>
      </c>
    </row>
    <row r="1423" spans="1:7" x14ac:dyDescent="0.25">
      <c r="A1423">
        <v>1253</v>
      </c>
      <c r="B1423" t="s">
        <v>1387</v>
      </c>
      <c r="C1423" t="s">
        <v>138</v>
      </c>
      <c r="D1423" t="s">
        <v>1471</v>
      </c>
      <c r="E1423" t="s">
        <v>3256</v>
      </c>
      <c r="F1423" t="s">
        <v>3257</v>
      </c>
      <c r="G1423" t="b">
        <v>1</v>
      </c>
    </row>
    <row r="1424" spans="1:7" x14ac:dyDescent="0.25">
      <c r="A1424">
        <v>1254</v>
      </c>
      <c r="B1424" t="s">
        <v>1388</v>
      </c>
      <c r="C1424" t="s">
        <v>138</v>
      </c>
      <c r="D1424" t="s">
        <v>1471</v>
      </c>
      <c r="E1424" t="s">
        <v>3258</v>
      </c>
      <c r="F1424" t="s">
        <v>3259</v>
      </c>
      <c r="G1424" t="b">
        <v>1</v>
      </c>
    </row>
    <row r="1425" spans="1:7" x14ac:dyDescent="0.25">
      <c r="A1425">
        <v>1255</v>
      </c>
      <c r="B1425" t="s">
        <v>1389</v>
      </c>
      <c r="C1425" t="s">
        <v>138</v>
      </c>
      <c r="D1425" t="s">
        <v>1471</v>
      </c>
      <c r="E1425" t="s">
        <v>2133</v>
      </c>
      <c r="F1425" t="s">
        <v>3260</v>
      </c>
      <c r="G1425" t="b">
        <v>1</v>
      </c>
    </row>
    <row r="1426" spans="1:7" x14ac:dyDescent="0.25">
      <c r="A1426">
        <v>1256</v>
      </c>
      <c r="B1426" t="s">
        <v>1390</v>
      </c>
      <c r="C1426" t="s">
        <v>138</v>
      </c>
      <c r="D1426" t="s">
        <v>1471</v>
      </c>
      <c r="E1426" t="s">
        <v>3261</v>
      </c>
      <c r="F1426" t="s">
        <v>3262</v>
      </c>
      <c r="G1426" t="b">
        <v>1</v>
      </c>
    </row>
    <row r="1427" spans="1:7" x14ac:dyDescent="0.25">
      <c r="A1427">
        <v>1257</v>
      </c>
      <c r="B1427" t="s">
        <v>1391</v>
      </c>
      <c r="C1427" t="s">
        <v>138</v>
      </c>
      <c r="D1427" t="s">
        <v>1475</v>
      </c>
      <c r="E1427" t="s">
        <v>3263</v>
      </c>
      <c r="F1427" t="s">
        <v>3264</v>
      </c>
      <c r="G1427" t="b">
        <v>1</v>
      </c>
    </row>
    <row r="1428" spans="1:7" x14ac:dyDescent="0.25">
      <c r="A1428">
        <v>1258</v>
      </c>
      <c r="B1428" t="s">
        <v>1392</v>
      </c>
      <c r="C1428" t="s">
        <v>136</v>
      </c>
      <c r="D1428" t="s">
        <v>1474</v>
      </c>
      <c r="E1428" t="s">
        <v>3265</v>
      </c>
      <c r="F1428" t="s">
        <v>3264</v>
      </c>
      <c r="G1428" t="b">
        <v>1</v>
      </c>
    </row>
    <row r="1429" spans="1:7" x14ac:dyDescent="0.25">
      <c r="A1429">
        <v>1259</v>
      </c>
      <c r="B1429" t="s">
        <v>1393</v>
      </c>
      <c r="C1429" t="s">
        <v>136</v>
      </c>
      <c r="D1429" t="s">
        <v>1476</v>
      </c>
      <c r="E1429" t="s">
        <v>3266</v>
      </c>
      <c r="F1429" t="s">
        <v>3264</v>
      </c>
      <c r="G1429" t="b">
        <v>1</v>
      </c>
    </row>
    <row r="1430" spans="1:7" x14ac:dyDescent="0.25">
      <c r="A1430">
        <v>1260</v>
      </c>
      <c r="B1430" t="s">
        <v>1394</v>
      </c>
      <c r="C1430" t="s">
        <v>138</v>
      </c>
      <c r="D1430" t="s">
        <v>1471</v>
      </c>
      <c r="E1430" t="s">
        <v>3267</v>
      </c>
      <c r="F1430" t="s">
        <v>3268</v>
      </c>
      <c r="G1430" t="b">
        <v>1</v>
      </c>
    </row>
    <row r="1431" spans="1:7" x14ac:dyDescent="0.25">
      <c r="A1431">
        <v>1261</v>
      </c>
      <c r="B1431" t="s">
        <v>1395</v>
      </c>
      <c r="C1431" t="s">
        <v>136</v>
      </c>
      <c r="D1431" t="s">
        <v>1474</v>
      </c>
      <c r="E1431" t="s">
        <v>3013</v>
      </c>
      <c r="F1431" t="s">
        <v>3269</v>
      </c>
      <c r="G1431" t="b">
        <v>1</v>
      </c>
    </row>
    <row r="1432" spans="1:7" x14ac:dyDescent="0.25">
      <c r="A1432">
        <v>1262</v>
      </c>
      <c r="B1432" t="s">
        <v>1396</v>
      </c>
      <c r="C1432" t="s">
        <v>136</v>
      </c>
      <c r="D1432" t="s">
        <v>1476</v>
      </c>
      <c r="E1432" t="s">
        <v>3358</v>
      </c>
      <c r="F1432" t="s">
        <v>3270</v>
      </c>
      <c r="G1432" t="b">
        <v>1</v>
      </c>
    </row>
    <row r="1433" spans="1:7" x14ac:dyDescent="0.25">
      <c r="A1433">
        <v>1263</v>
      </c>
      <c r="B1433" t="s">
        <v>1397</v>
      </c>
      <c r="C1433" t="s">
        <v>138</v>
      </c>
      <c r="D1433" t="s">
        <v>1475</v>
      </c>
      <c r="E1433" t="s">
        <v>3271</v>
      </c>
      <c r="F1433" t="s">
        <v>3272</v>
      </c>
      <c r="G1433" t="b">
        <v>1</v>
      </c>
    </row>
    <row r="1434" spans="1:7" x14ac:dyDescent="0.25">
      <c r="A1434">
        <v>1264</v>
      </c>
      <c r="B1434" t="s">
        <v>1398</v>
      </c>
      <c r="C1434" t="s">
        <v>138</v>
      </c>
      <c r="D1434" t="s">
        <v>1475</v>
      </c>
      <c r="E1434" t="s">
        <v>3273</v>
      </c>
      <c r="F1434" t="s">
        <v>3272</v>
      </c>
      <c r="G1434" t="b">
        <v>1</v>
      </c>
    </row>
    <row r="1435" spans="1:7" x14ac:dyDescent="0.25">
      <c r="A1435">
        <v>1265</v>
      </c>
      <c r="B1435" t="s">
        <v>1399</v>
      </c>
      <c r="C1435" t="s">
        <v>138</v>
      </c>
      <c r="D1435" t="s">
        <v>1471</v>
      </c>
      <c r="E1435" t="s">
        <v>3274</v>
      </c>
      <c r="F1435" t="s">
        <v>3272</v>
      </c>
      <c r="G1435" t="b">
        <v>1</v>
      </c>
    </row>
    <row r="1436" spans="1:7" x14ac:dyDescent="0.25">
      <c r="A1436">
        <v>1266</v>
      </c>
      <c r="B1436" t="s">
        <v>1400</v>
      </c>
      <c r="C1436" t="s">
        <v>136</v>
      </c>
      <c r="D1436" t="s">
        <v>1474</v>
      </c>
      <c r="E1436" t="s">
        <v>3275</v>
      </c>
      <c r="F1436" t="s">
        <v>3276</v>
      </c>
      <c r="G1436" t="b">
        <v>1</v>
      </c>
    </row>
    <row r="1437" spans="1:7" x14ac:dyDescent="0.25">
      <c r="A1437">
        <v>1267</v>
      </c>
      <c r="B1437" t="s">
        <v>1401</v>
      </c>
      <c r="C1437" t="s">
        <v>138</v>
      </c>
      <c r="D1437" t="s">
        <v>1471</v>
      </c>
      <c r="E1437" t="s">
        <v>3277</v>
      </c>
      <c r="F1437" t="s">
        <v>3276</v>
      </c>
      <c r="G1437" t="b">
        <v>1</v>
      </c>
    </row>
    <row r="1438" spans="1:7" x14ac:dyDescent="0.25">
      <c r="A1438">
        <v>1268</v>
      </c>
      <c r="B1438" t="s">
        <v>1402</v>
      </c>
      <c r="C1438" t="s">
        <v>136</v>
      </c>
      <c r="D1438" t="s">
        <v>1476</v>
      </c>
      <c r="E1438" t="s">
        <v>3278</v>
      </c>
      <c r="F1438" t="s">
        <v>3276</v>
      </c>
      <c r="G1438" t="b">
        <v>1</v>
      </c>
    </row>
    <row r="1439" spans="1:7" x14ac:dyDescent="0.25">
      <c r="A1439">
        <v>1269</v>
      </c>
      <c r="B1439" t="s">
        <v>1403</v>
      </c>
      <c r="C1439" t="s">
        <v>138</v>
      </c>
      <c r="D1439" t="s">
        <v>1471</v>
      </c>
      <c r="E1439" t="s">
        <v>3279</v>
      </c>
      <c r="F1439" t="s">
        <v>3280</v>
      </c>
      <c r="G1439" t="b">
        <v>1</v>
      </c>
    </row>
    <row r="1440" spans="1:7" x14ac:dyDescent="0.25">
      <c r="A1440">
        <v>1270</v>
      </c>
      <c r="B1440" t="s">
        <v>1404</v>
      </c>
      <c r="C1440" t="s">
        <v>138</v>
      </c>
      <c r="D1440" t="s">
        <v>1471</v>
      </c>
      <c r="E1440" t="s">
        <v>3281</v>
      </c>
      <c r="F1440" t="s">
        <v>3282</v>
      </c>
      <c r="G1440" t="b">
        <v>1</v>
      </c>
    </row>
    <row r="1441" spans="1:7" x14ac:dyDescent="0.25">
      <c r="A1441">
        <v>1271</v>
      </c>
      <c r="B1441" t="s">
        <v>1405</v>
      </c>
      <c r="C1441" t="s">
        <v>138</v>
      </c>
      <c r="D1441" t="s">
        <v>1471</v>
      </c>
      <c r="E1441" t="s">
        <v>3283</v>
      </c>
      <c r="F1441" t="s">
        <v>3284</v>
      </c>
      <c r="G1441" t="b">
        <v>1</v>
      </c>
    </row>
    <row r="1442" spans="1:7" x14ac:dyDescent="0.25">
      <c r="A1442">
        <v>1272</v>
      </c>
      <c r="B1442" t="s">
        <v>1406</v>
      </c>
      <c r="C1442" t="s">
        <v>138</v>
      </c>
      <c r="D1442" t="s">
        <v>1471</v>
      </c>
      <c r="E1442" t="s">
        <v>3285</v>
      </c>
      <c r="F1442" t="s">
        <v>3286</v>
      </c>
      <c r="G1442" t="b">
        <v>1</v>
      </c>
    </row>
    <row r="1443" spans="1:7" x14ac:dyDescent="0.25">
      <c r="A1443">
        <v>1273</v>
      </c>
      <c r="B1443" t="s">
        <v>1407</v>
      </c>
      <c r="C1443" t="s">
        <v>138</v>
      </c>
      <c r="D1443" t="s">
        <v>1471</v>
      </c>
      <c r="E1443" t="s">
        <v>1686</v>
      </c>
      <c r="F1443" t="s">
        <v>3287</v>
      </c>
      <c r="G1443" t="b">
        <v>1</v>
      </c>
    </row>
    <row r="1444" spans="1:7" x14ac:dyDescent="0.25">
      <c r="A1444">
        <v>1274</v>
      </c>
      <c r="B1444" t="s">
        <v>1408</v>
      </c>
      <c r="C1444" t="s">
        <v>136</v>
      </c>
      <c r="D1444" t="s">
        <v>1474</v>
      </c>
      <c r="E1444" t="s">
        <v>3288</v>
      </c>
      <c r="F1444" t="s">
        <v>3289</v>
      </c>
      <c r="G1444" t="b">
        <v>1</v>
      </c>
    </row>
    <row r="1445" spans="1:7" x14ac:dyDescent="0.25">
      <c r="A1445">
        <v>1275</v>
      </c>
      <c r="B1445" t="s">
        <v>1409</v>
      </c>
      <c r="C1445" t="s">
        <v>138</v>
      </c>
      <c r="D1445" t="s">
        <v>1471</v>
      </c>
      <c r="E1445" t="s">
        <v>3169</v>
      </c>
      <c r="F1445" t="s">
        <v>3289</v>
      </c>
      <c r="G1445" t="b">
        <v>1</v>
      </c>
    </row>
    <row r="1446" spans="1:7" x14ac:dyDescent="0.25">
      <c r="A1446">
        <v>1276</v>
      </c>
      <c r="B1446" t="s">
        <v>1410</v>
      </c>
      <c r="C1446" t="s">
        <v>138</v>
      </c>
      <c r="D1446" t="s">
        <v>1471</v>
      </c>
      <c r="E1446" t="s">
        <v>3290</v>
      </c>
      <c r="F1446" t="s">
        <v>3289</v>
      </c>
      <c r="G1446" t="b">
        <v>1</v>
      </c>
    </row>
    <row r="1447" spans="1:7" x14ac:dyDescent="0.25">
      <c r="A1447">
        <v>1277</v>
      </c>
      <c r="B1447" t="s">
        <v>1411</v>
      </c>
      <c r="C1447" t="s">
        <v>136</v>
      </c>
      <c r="D1447" t="s">
        <v>1476</v>
      </c>
      <c r="E1447" t="s">
        <v>3291</v>
      </c>
      <c r="F1447" t="s">
        <v>3289</v>
      </c>
      <c r="G1447" t="b">
        <v>1</v>
      </c>
    </row>
    <row r="1448" spans="1:7" x14ac:dyDescent="0.25">
      <c r="A1448">
        <v>1278</v>
      </c>
      <c r="B1448" t="s">
        <v>1412</v>
      </c>
      <c r="C1448" t="s">
        <v>138</v>
      </c>
      <c r="D1448" t="s">
        <v>1471</v>
      </c>
      <c r="E1448" t="s">
        <v>2297</v>
      </c>
      <c r="F1448" t="s">
        <v>3292</v>
      </c>
      <c r="G1448" t="b">
        <v>1</v>
      </c>
    </row>
    <row r="1449" spans="1:7" x14ac:dyDescent="0.25">
      <c r="A1449">
        <v>1279</v>
      </c>
      <c r="B1449" t="s">
        <v>1413</v>
      </c>
      <c r="C1449" t="s">
        <v>138</v>
      </c>
      <c r="D1449" t="s">
        <v>1471</v>
      </c>
      <c r="E1449" t="s">
        <v>3293</v>
      </c>
      <c r="F1449" t="s">
        <v>3294</v>
      </c>
      <c r="G1449" t="b">
        <v>1</v>
      </c>
    </row>
    <row r="1450" spans="1:7" x14ac:dyDescent="0.25">
      <c r="A1450">
        <v>1280</v>
      </c>
      <c r="B1450" t="s">
        <v>1414</v>
      </c>
      <c r="C1450" t="s">
        <v>136</v>
      </c>
      <c r="D1450" t="s">
        <v>1474</v>
      </c>
      <c r="E1450" t="s">
        <v>3295</v>
      </c>
      <c r="F1450" t="s">
        <v>3296</v>
      </c>
      <c r="G1450" t="b">
        <v>1</v>
      </c>
    </row>
    <row r="1451" spans="1:7" x14ac:dyDescent="0.25">
      <c r="A1451">
        <v>1281</v>
      </c>
      <c r="B1451" t="s">
        <v>1415</v>
      </c>
      <c r="C1451" t="s">
        <v>138</v>
      </c>
      <c r="D1451" t="s">
        <v>1471</v>
      </c>
      <c r="E1451" t="s">
        <v>3297</v>
      </c>
      <c r="F1451" t="s">
        <v>3298</v>
      </c>
      <c r="G1451" t="b">
        <v>1</v>
      </c>
    </row>
    <row r="1452" spans="1:7" x14ac:dyDescent="0.25">
      <c r="A1452">
        <v>1282</v>
      </c>
      <c r="B1452" t="s">
        <v>1416</v>
      </c>
      <c r="C1452" t="s">
        <v>138</v>
      </c>
      <c r="D1452" t="s">
        <v>1471</v>
      </c>
      <c r="E1452" t="s">
        <v>3299</v>
      </c>
      <c r="F1452" t="s">
        <v>3300</v>
      </c>
      <c r="G1452" t="b">
        <v>1</v>
      </c>
    </row>
    <row r="1453" spans="1:7" x14ac:dyDescent="0.25">
      <c r="A1453">
        <v>1283</v>
      </c>
      <c r="B1453" t="s">
        <v>1417</v>
      </c>
      <c r="C1453" t="s">
        <v>138</v>
      </c>
      <c r="D1453" t="s">
        <v>1471</v>
      </c>
      <c r="E1453" t="s">
        <v>1936</v>
      </c>
      <c r="F1453" t="s">
        <v>2354</v>
      </c>
      <c r="G1453" t="b">
        <v>1</v>
      </c>
    </row>
    <row r="1454" spans="1:7" x14ac:dyDescent="0.25">
      <c r="A1454">
        <v>1284</v>
      </c>
      <c r="B1454" t="s">
        <v>1418</v>
      </c>
      <c r="C1454" t="s">
        <v>138</v>
      </c>
      <c r="D1454" t="s">
        <v>1471</v>
      </c>
      <c r="E1454" t="s">
        <v>3301</v>
      </c>
      <c r="F1454" t="s">
        <v>1959</v>
      </c>
      <c r="G1454" t="b">
        <v>1</v>
      </c>
    </row>
    <row r="1455" spans="1:7" x14ac:dyDescent="0.25">
      <c r="A1455">
        <v>1285</v>
      </c>
      <c r="B1455" t="s">
        <v>1419</v>
      </c>
      <c r="C1455" t="s">
        <v>138</v>
      </c>
      <c r="D1455" t="s">
        <v>1471</v>
      </c>
      <c r="E1455" t="s">
        <v>2350</v>
      </c>
      <c r="F1455" t="s">
        <v>2362</v>
      </c>
      <c r="G1455" t="b">
        <v>1</v>
      </c>
    </row>
    <row r="1456" spans="1:7" x14ac:dyDescent="0.25">
      <c r="A1456">
        <v>1286</v>
      </c>
      <c r="B1456" t="s">
        <v>1420</v>
      </c>
      <c r="C1456" t="s">
        <v>138</v>
      </c>
      <c r="D1456" t="s">
        <v>1471</v>
      </c>
      <c r="E1456" t="s">
        <v>3302</v>
      </c>
      <c r="F1456" t="s">
        <v>3303</v>
      </c>
      <c r="G1456" t="b">
        <v>1</v>
      </c>
    </row>
    <row r="1457" spans="1:8" x14ac:dyDescent="0.25">
      <c r="A1457">
        <v>1287</v>
      </c>
      <c r="B1457" t="s">
        <v>1421</v>
      </c>
      <c r="C1457" t="s">
        <v>136</v>
      </c>
      <c r="D1457" t="s">
        <v>1476</v>
      </c>
      <c r="E1457" t="s">
        <v>3304</v>
      </c>
      <c r="F1457" t="s">
        <v>3305</v>
      </c>
      <c r="G1457" t="b">
        <v>1</v>
      </c>
    </row>
    <row r="1458" spans="1:8" x14ac:dyDescent="0.25">
      <c r="A1458">
        <v>1288</v>
      </c>
      <c r="B1458" t="s">
        <v>1422</v>
      </c>
      <c r="C1458" t="s">
        <v>138</v>
      </c>
      <c r="D1458" t="s">
        <v>1471</v>
      </c>
      <c r="E1458" t="s">
        <v>3306</v>
      </c>
      <c r="F1458" t="s">
        <v>3307</v>
      </c>
      <c r="G1458" t="b">
        <v>1</v>
      </c>
      <c r="H1458" t="b">
        <v>1</v>
      </c>
    </row>
    <row r="1459" spans="1:8" x14ac:dyDescent="0.25">
      <c r="A1459">
        <v>1289</v>
      </c>
      <c r="B1459" t="s">
        <v>1423</v>
      </c>
      <c r="C1459" t="s">
        <v>138</v>
      </c>
      <c r="D1459" t="s">
        <v>1471</v>
      </c>
      <c r="E1459" t="s">
        <v>2776</v>
      </c>
      <c r="F1459" t="s">
        <v>3308</v>
      </c>
      <c r="G1459" t="b">
        <v>1</v>
      </c>
    </row>
    <row r="1460" spans="1:8" x14ac:dyDescent="0.25">
      <c r="A1460">
        <v>1290</v>
      </c>
      <c r="B1460" t="s">
        <v>1424</v>
      </c>
      <c r="C1460" t="s">
        <v>138</v>
      </c>
      <c r="D1460" t="s">
        <v>1471</v>
      </c>
      <c r="E1460" t="s">
        <v>2783</v>
      </c>
      <c r="F1460" t="s">
        <v>3308</v>
      </c>
      <c r="G1460" t="b">
        <v>1</v>
      </c>
    </row>
    <row r="1461" spans="1:8" x14ac:dyDescent="0.25">
      <c r="A1461">
        <v>1291</v>
      </c>
      <c r="B1461" t="s">
        <v>1425</v>
      </c>
      <c r="C1461" t="s">
        <v>136</v>
      </c>
      <c r="D1461" t="s">
        <v>1476</v>
      </c>
      <c r="E1461" t="s">
        <v>1512</v>
      </c>
      <c r="F1461" t="s">
        <v>3309</v>
      </c>
      <c r="G1461" t="b">
        <v>1</v>
      </c>
    </row>
    <row r="1462" spans="1:8" x14ac:dyDescent="0.25">
      <c r="A1462">
        <v>1292</v>
      </c>
      <c r="B1462" t="s">
        <v>1426</v>
      </c>
      <c r="C1462" t="s">
        <v>138</v>
      </c>
      <c r="D1462" t="s">
        <v>1471</v>
      </c>
      <c r="E1462" t="s">
        <v>3310</v>
      </c>
      <c r="F1462" t="s">
        <v>3311</v>
      </c>
      <c r="G1462" t="b">
        <v>1</v>
      </c>
    </row>
    <row r="1463" spans="1:8" x14ac:dyDescent="0.25">
      <c r="A1463">
        <v>1293</v>
      </c>
      <c r="B1463" t="s">
        <v>1427</v>
      </c>
      <c r="C1463" t="s">
        <v>138</v>
      </c>
      <c r="D1463" t="s">
        <v>1471</v>
      </c>
      <c r="E1463" t="s">
        <v>2008</v>
      </c>
      <c r="F1463" t="s">
        <v>3312</v>
      </c>
      <c r="G1463" t="b">
        <v>1</v>
      </c>
    </row>
    <row r="1464" spans="1:8" x14ac:dyDescent="0.25">
      <c r="A1464">
        <v>1294</v>
      </c>
      <c r="B1464" t="s">
        <v>1428</v>
      </c>
      <c r="C1464" t="s">
        <v>138</v>
      </c>
      <c r="D1464" t="s">
        <v>1471</v>
      </c>
      <c r="E1464" t="s">
        <v>3380</v>
      </c>
      <c r="F1464" t="s">
        <v>1976</v>
      </c>
      <c r="G1464" t="b">
        <v>1</v>
      </c>
      <c r="H1464" t="b">
        <v>1</v>
      </c>
    </row>
    <row r="1465" spans="1:8" x14ac:dyDescent="0.25">
      <c r="A1465">
        <v>1295</v>
      </c>
      <c r="B1465" t="s">
        <v>1429</v>
      </c>
      <c r="C1465" t="s">
        <v>138</v>
      </c>
      <c r="D1465" t="s">
        <v>1471</v>
      </c>
      <c r="E1465" t="s">
        <v>3313</v>
      </c>
      <c r="F1465" t="s">
        <v>1976</v>
      </c>
      <c r="G1465" t="b">
        <v>1</v>
      </c>
    </row>
    <row r="1466" spans="1:8" x14ac:dyDescent="0.25">
      <c r="A1466">
        <v>1296</v>
      </c>
      <c r="B1466" t="s">
        <v>1430</v>
      </c>
      <c r="C1466" t="s">
        <v>138</v>
      </c>
      <c r="D1466" t="s">
        <v>1471</v>
      </c>
      <c r="E1466" t="s">
        <v>3314</v>
      </c>
      <c r="F1466" t="s">
        <v>3315</v>
      </c>
      <c r="G1466" t="b">
        <v>1</v>
      </c>
    </row>
    <row r="1467" spans="1:8" x14ac:dyDescent="0.25">
      <c r="A1467">
        <v>1297</v>
      </c>
      <c r="B1467" t="s">
        <v>1431</v>
      </c>
      <c r="C1467" t="s">
        <v>138</v>
      </c>
      <c r="D1467" t="s">
        <v>1471</v>
      </c>
      <c r="E1467" t="s">
        <v>2224</v>
      </c>
      <c r="F1467" t="s">
        <v>3316</v>
      </c>
      <c r="G1467" t="b">
        <v>1</v>
      </c>
    </row>
    <row r="1468" spans="1:8" x14ac:dyDescent="0.25">
      <c r="A1468">
        <v>1298</v>
      </c>
      <c r="B1468" t="s">
        <v>1432</v>
      </c>
      <c r="C1468" t="s">
        <v>138</v>
      </c>
      <c r="D1468" t="s">
        <v>1471</v>
      </c>
      <c r="E1468" t="s">
        <v>3317</v>
      </c>
      <c r="F1468" t="s">
        <v>3318</v>
      </c>
      <c r="G1468" t="b">
        <v>1</v>
      </c>
    </row>
    <row r="1469" spans="1:8" x14ac:dyDescent="0.25">
      <c r="A1469">
        <v>1299</v>
      </c>
      <c r="B1469" t="s">
        <v>1433</v>
      </c>
      <c r="C1469" t="s">
        <v>138</v>
      </c>
      <c r="D1469" t="s">
        <v>1471</v>
      </c>
      <c r="E1469" t="s">
        <v>3319</v>
      </c>
      <c r="F1469" t="s">
        <v>3320</v>
      </c>
      <c r="G1469" t="b">
        <v>1</v>
      </c>
    </row>
    <row r="1470" spans="1:8" x14ac:dyDescent="0.25">
      <c r="A1470">
        <v>1300</v>
      </c>
      <c r="B1470" t="s">
        <v>1434</v>
      </c>
      <c r="C1470" t="s">
        <v>138</v>
      </c>
      <c r="D1470" t="s">
        <v>1471</v>
      </c>
      <c r="E1470" t="s">
        <v>3321</v>
      </c>
      <c r="F1470" t="s">
        <v>3322</v>
      </c>
      <c r="G1470" t="b">
        <v>1</v>
      </c>
    </row>
    <row r="1471" spans="1:8" x14ac:dyDescent="0.25">
      <c r="A1471">
        <v>1301</v>
      </c>
      <c r="B1471" t="s">
        <v>1435</v>
      </c>
      <c r="C1471" t="s">
        <v>136</v>
      </c>
      <c r="D1471" t="s">
        <v>1476</v>
      </c>
      <c r="E1471" t="s">
        <v>3323</v>
      </c>
      <c r="F1471" t="s">
        <v>3322</v>
      </c>
      <c r="G1471" t="b">
        <v>1</v>
      </c>
    </row>
    <row r="1472" spans="1:8" x14ac:dyDescent="0.25">
      <c r="A1472">
        <v>1302</v>
      </c>
      <c r="B1472" t="s">
        <v>1436</v>
      </c>
      <c r="C1472" t="s">
        <v>138</v>
      </c>
      <c r="D1472" t="s">
        <v>1471</v>
      </c>
      <c r="E1472" t="s">
        <v>3324</v>
      </c>
      <c r="F1472" t="s">
        <v>3325</v>
      </c>
      <c r="G1472" t="b">
        <v>1</v>
      </c>
    </row>
    <row r="1473" spans="1:7" x14ac:dyDescent="0.25">
      <c r="A1473">
        <v>1303</v>
      </c>
      <c r="B1473" t="s">
        <v>1437</v>
      </c>
      <c r="C1473" t="s">
        <v>138</v>
      </c>
      <c r="D1473" t="s">
        <v>1471</v>
      </c>
      <c r="E1473" t="s">
        <v>3326</v>
      </c>
      <c r="F1473" t="s">
        <v>3327</v>
      </c>
      <c r="G1473" t="b">
        <v>1</v>
      </c>
    </row>
    <row r="1474" spans="1:7" x14ac:dyDescent="0.25">
      <c r="A1474">
        <v>1304</v>
      </c>
      <c r="B1474" t="s">
        <v>1438</v>
      </c>
      <c r="C1474" t="s">
        <v>138</v>
      </c>
      <c r="D1474" t="s">
        <v>1471</v>
      </c>
      <c r="E1474" t="s">
        <v>3324</v>
      </c>
      <c r="F1474" t="s">
        <v>2754</v>
      </c>
      <c r="G1474" t="b">
        <v>1</v>
      </c>
    </row>
    <row r="1475" spans="1:7" x14ac:dyDescent="0.25">
      <c r="A1475">
        <v>1305</v>
      </c>
      <c r="B1475" t="s">
        <v>1439</v>
      </c>
      <c r="C1475" t="s">
        <v>136</v>
      </c>
      <c r="D1475" t="s">
        <v>1474</v>
      </c>
      <c r="E1475" t="s">
        <v>3328</v>
      </c>
      <c r="F1475" t="s">
        <v>3329</v>
      </c>
      <c r="G1475" t="b">
        <v>1</v>
      </c>
    </row>
    <row r="1476" spans="1:7" x14ac:dyDescent="0.25">
      <c r="A1476">
        <v>1306</v>
      </c>
      <c r="B1476" t="s">
        <v>1440</v>
      </c>
      <c r="C1476" t="s">
        <v>136</v>
      </c>
      <c r="D1476" t="s">
        <v>1474</v>
      </c>
      <c r="E1476" t="s">
        <v>3245</v>
      </c>
      <c r="F1476" t="s">
        <v>3329</v>
      </c>
      <c r="G1476" t="b">
        <v>1</v>
      </c>
    </row>
    <row r="1477" spans="1:7" x14ac:dyDescent="0.25">
      <c r="A1477">
        <v>1307</v>
      </c>
      <c r="B1477" t="s">
        <v>1441</v>
      </c>
      <c r="C1477" t="s">
        <v>138</v>
      </c>
      <c r="D1477" t="s">
        <v>1471</v>
      </c>
      <c r="E1477" t="s">
        <v>3330</v>
      </c>
      <c r="F1477" t="s">
        <v>3331</v>
      </c>
      <c r="G1477" t="b">
        <v>1</v>
      </c>
    </row>
    <row r="1478" spans="1:7" x14ac:dyDescent="0.25">
      <c r="A1478">
        <v>1308</v>
      </c>
      <c r="B1478" t="s">
        <v>1442</v>
      </c>
      <c r="C1478" t="s">
        <v>138</v>
      </c>
      <c r="D1478" t="s">
        <v>1471</v>
      </c>
      <c r="E1478" t="s">
        <v>3332</v>
      </c>
      <c r="F1478" t="s">
        <v>3331</v>
      </c>
      <c r="G1478" t="b">
        <v>1</v>
      </c>
    </row>
    <row r="1479" spans="1:7" x14ac:dyDescent="0.25">
      <c r="A1479">
        <v>1309</v>
      </c>
      <c r="B1479" t="s">
        <v>1443</v>
      </c>
      <c r="C1479" t="s">
        <v>138</v>
      </c>
      <c r="D1479" t="s">
        <v>1471</v>
      </c>
      <c r="E1479" t="s">
        <v>3333</v>
      </c>
      <c r="F1479" t="s">
        <v>3334</v>
      </c>
      <c r="G1479" t="b">
        <v>1</v>
      </c>
    </row>
  </sheetData>
  <protectedRanges>
    <protectedRange sqref="E131:J131" name="nameField"/>
  </protectedRanges>
  <mergeCells count="1">
    <mergeCell ref="B34:V34"/>
  </mergeCells>
  <phoneticPr fontId="3" type="noConversion"/>
  <conditionalFormatting sqref="A126">
    <cfRule type="cellIs" dxfId="33" priority="2" operator="equal">
      <formula>almost100PcntCorrStr</formula>
    </cfRule>
    <cfRule type="cellIs" dxfId="32" priority="3" operator="equal">
      <formula>oldExcelMissingFeature</formula>
    </cfRule>
    <cfRule type="expression" dxfId="31" priority="4">
      <formula>ISNUMBER(A126)</formula>
    </cfRule>
    <cfRule type="cellIs" dxfId="30" priority="5" operator="equal">
      <formula>naStr</formula>
    </cfRule>
    <cfRule type="expression" dxfId="29" priority="6">
      <formula>LEFT(A126, 1) =enterAnswerSymbol</formula>
    </cfRule>
    <cfRule type="expression" dxfId="28" priority="7">
      <formula>LEFT(A126, 1) = incorrectSymbol</formula>
    </cfRule>
    <cfRule type="expression" dxfId="27" priority="8">
      <formula>LEFT(A126, 1) = correctSymbol</formula>
    </cfRule>
    <cfRule type="iconSet" priority="9">
      <iconSet iconSet="3Symbols">
        <cfvo type="percent" val="0"/>
        <cfvo type="num" val="0"/>
        <cfvo type="num" val="1"/>
      </iconSet>
    </cfRule>
  </conditionalFormatting>
  <conditionalFormatting sqref="A127">
    <cfRule type="cellIs" dxfId="26" priority="1" operator="equal">
      <formula>""</formula>
    </cfRule>
  </conditionalFormatting>
  <conditionalFormatting sqref="B29:B40">
    <cfRule type="cellIs" dxfId="25" priority="17" operator="equal">
      <formula>infoStr</formula>
    </cfRule>
    <cfRule type="cellIs" dxfId="24" priority="18" operator="equal">
      <formula>helpPlaceholderStr</formula>
    </cfRule>
    <cfRule type="cellIs" dxfId="23" priority="19" operator="equal">
      <formula>incorrectStr</formula>
    </cfRule>
    <cfRule type="cellIs" dxfId="22" priority="20" operator="equal">
      <formula>correctStr</formula>
    </cfRule>
    <cfRule type="cellIs" dxfId="21" priority="21" operator="equal">
      <formula>infoStr</formula>
    </cfRule>
  </conditionalFormatting>
  <conditionalFormatting sqref="B114:H119">
    <cfRule type="cellIs" dxfId="20" priority="11" operator="equal">
      <formula>TRUE</formula>
    </cfRule>
  </conditionalFormatting>
  <conditionalFormatting sqref="C58:C66">
    <cfRule type="expression" dxfId="19" priority="10">
      <formula>AND(LEN(C58) &gt; 0, C58 = FALSE)</formula>
    </cfRule>
  </conditionalFormatting>
  <pageMargins left="0.7" right="0.7" top="0.75" bottom="0.75" header="0.3" footer="0.3"/>
  <pageSetup paperSize="9" orientation="portrait" r:id="rId1"/>
  <ignoredErrors>
    <ignoredError sqref="B117" formula="1"/>
  </ignoredErrors>
  <drawing r:id="rId2"/>
  <legacyDrawing r:id="rId3"/>
  <controls>
    <mc:AlternateContent xmlns:mc="http://schemas.openxmlformats.org/markup-compatibility/2006">
      <mc:Choice Requires="x14">
        <control shapeId="18437" r:id="rId4" name="cmdSetDevMode">
          <controlPr defaultSize="0" autoLine="0" r:id="rId5">
            <anchor moveWithCells="1">
              <from>
                <xdr:col>2</xdr:col>
                <xdr:colOff>0</xdr:colOff>
                <xdr:row>7</xdr:row>
                <xdr:rowOff>28575</xdr:rowOff>
              </from>
              <to>
                <xdr:col>2</xdr:col>
                <xdr:colOff>2247900</xdr:colOff>
                <xdr:row>9</xdr:row>
                <xdr:rowOff>28575</xdr:rowOff>
              </to>
            </anchor>
          </controlPr>
        </control>
      </mc:Choice>
      <mc:Fallback>
        <control shapeId="18437" r:id="rId4" name="cmdSetDevMode"/>
      </mc:Fallback>
    </mc:AlternateContent>
    <mc:AlternateContent xmlns:mc="http://schemas.openxmlformats.org/markup-compatibility/2006">
      <mc:Choice Requires="x14">
        <control shapeId="18435" r:id="rId6" name="cmdSetReleaseMode">
          <controlPr defaultSize="0" autoLine="0" r:id="rId7">
            <anchor moveWithCells="1">
              <from>
                <xdr:col>2</xdr:col>
                <xdr:colOff>0</xdr:colOff>
                <xdr:row>5</xdr:row>
                <xdr:rowOff>0</xdr:rowOff>
              </from>
              <to>
                <xdr:col>2</xdr:col>
                <xdr:colOff>2247900</xdr:colOff>
                <xdr:row>7</xdr:row>
                <xdr:rowOff>0</xdr:rowOff>
              </to>
            </anchor>
          </controlPr>
        </control>
      </mc:Choice>
      <mc:Fallback>
        <control shapeId="18435" r:id="rId6" name="cmdSetReleaseMode"/>
      </mc:Fallback>
    </mc:AlternateContent>
    <mc:AlternateContent xmlns:mc="http://schemas.openxmlformats.org/markup-compatibility/2006">
      <mc:Choice Requires="x14">
        <control shapeId="18433" r:id="rId8" name="cmdHideLeadingApostrophes">
          <controlPr defaultSize="0" autoLine="0" r:id="rId9">
            <anchor moveWithCells="1">
              <from>
                <xdr:col>0</xdr:col>
                <xdr:colOff>0</xdr:colOff>
                <xdr:row>5</xdr:row>
                <xdr:rowOff>0</xdr:rowOff>
              </from>
              <to>
                <xdr:col>1</xdr:col>
                <xdr:colOff>19050</xdr:colOff>
                <xdr:row>7</xdr:row>
                <xdr:rowOff>0</xdr:rowOff>
              </to>
            </anchor>
          </controlPr>
        </control>
      </mc:Choice>
      <mc:Fallback>
        <control shapeId="18433" r:id="rId8" name="cmdHideLeadingApostrophes"/>
      </mc:Fallback>
    </mc:AlternateContent>
  </controls>
  <tableParts count="7">
    <tablePart r:id="rId10"/>
    <tablePart r:id="rId11"/>
    <tablePart r:id="rId12"/>
    <tablePart r:id="rId13"/>
    <tablePart r:id="rId14"/>
    <tablePart r:id="rId15"/>
    <tablePart r:id="rId1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E4C89-46C6-4F3E-9161-EC9B3BF9FB4C}">
  <sheetPr codeName="shtTodo">
    <tabColor rgb="FFFF00FF"/>
  </sheetPr>
  <dimension ref="A1:A11"/>
  <sheetViews>
    <sheetView zoomScaleNormal="100" workbookViewId="0"/>
  </sheetViews>
  <sheetFormatPr defaultRowHeight="15" x14ac:dyDescent="0.25"/>
  <sheetData>
    <row r="1" spans="1:1" x14ac:dyDescent="0.25">
      <c r="A1" t="s">
        <v>3336</v>
      </c>
    </row>
    <row r="2" spans="1:1" x14ac:dyDescent="0.25">
      <c r="A2" t="s">
        <v>3403</v>
      </c>
    </row>
    <row r="3" spans="1:1" x14ac:dyDescent="0.25">
      <c r="A3" t="s">
        <v>3337</v>
      </c>
    </row>
    <row r="4" spans="1:1" x14ac:dyDescent="0.25">
      <c r="A4" s="17" t="s">
        <v>318</v>
      </c>
    </row>
    <row r="5" spans="1:1" x14ac:dyDescent="0.25">
      <c r="A5" t="s">
        <v>3344</v>
      </c>
    </row>
    <row r="6" spans="1:1" x14ac:dyDescent="0.25">
      <c r="A6" t="s">
        <v>3422</v>
      </c>
    </row>
    <row r="8" spans="1:1" x14ac:dyDescent="0.25">
      <c r="A8" t="s">
        <v>3427</v>
      </c>
    </row>
    <row r="10" spans="1:1" x14ac:dyDescent="0.25">
      <c r="A10" t="s">
        <v>3428</v>
      </c>
    </row>
    <row r="11" spans="1:1" x14ac:dyDescent="0.25">
      <c r="A11" t="s">
        <v>3429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e706368-9a73-4dcc-9221-b8fc62424fbc" xsi:nil="true"/>
    <lcf76f155ced4ddcb4097134ff3c332f xmlns="eb7c3fc1-ccd5-477b-94a4-7b6dc96a8d59">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117C33DDE971642A3AD62E1BE8FB4A8" ma:contentTypeVersion="19" ma:contentTypeDescription="Create a new document." ma:contentTypeScope="" ma:versionID="d02769d2ab7b1bcec9542bdd271fc7e9">
  <xsd:schema xmlns:xsd="http://www.w3.org/2001/XMLSchema" xmlns:xs="http://www.w3.org/2001/XMLSchema" xmlns:p="http://schemas.microsoft.com/office/2006/metadata/properties" xmlns:ns2="eb7c3fc1-ccd5-477b-94a4-7b6dc96a8d59" xmlns:ns3="9e706368-9a73-4dcc-9221-b8fc62424fbc" targetNamespace="http://schemas.microsoft.com/office/2006/metadata/properties" ma:root="true" ma:fieldsID="a1c8b2b3a1f44c45521bccb52bcb96c1" ns2:_="" ns3:_="">
    <xsd:import namespace="eb7c3fc1-ccd5-477b-94a4-7b6dc96a8d59"/>
    <xsd:import namespace="9e706368-9a73-4dcc-9221-b8fc62424fb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7c3fc1-ccd5-477b-94a4-7b6dc96a8d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85f1f1f9-0179-4c93-b971-8e9741e0450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e706368-9a73-4dcc-9221-b8fc62424fb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0d56f4e-fc78-4139-b8cb-10eb5f78ae8a}" ma:internalName="TaxCatchAll" ma:showField="CatchAllData" ma:web="9e706368-9a73-4dcc-9221-b8fc62424fb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D351D39-D339-4F84-86DB-2E09833B753D}">
  <ds:schemaRefs>
    <ds:schemaRef ds:uri="http://schemas.microsoft.com/office/2006/metadata/properties"/>
    <ds:schemaRef ds:uri="http://schemas.microsoft.com/office/infopath/2007/PartnerControls"/>
    <ds:schemaRef ds:uri="9e706368-9a73-4dcc-9221-b8fc62424fbc"/>
    <ds:schemaRef ds:uri="eb7c3fc1-ccd5-477b-94a4-7b6dc96a8d59"/>
  </ds:schemaRefs>
</ds:datastoreItem>
</file>

<file path=customXml/itemProps2.xml><?xml version="1.0" encoding="utf-8"?>
<ds:datastoreItem xmlns:ds="http://schemas.openxmlformats.org/officeDocument/2006/customXml" ds:itemID="{50323268-46A4-4F43-A80A-2E295694FD6B}">
  <ds:schemaRefs>
    <ds:schemaRef ds:uri="http://schemas.microsoft.com/sharepoint/v3/contenttype/forms"/>
  </ds:schemaRefs>
</ds:datastoreItem>
</file>

<file path=customXml/itemProps3.xml><?xml version="1.0" encoding="utf-8"?>
<ds:datastoreItem xmlns:ds="http://schemas.openxmlformats.org/officeDocument/2006/customXml" ds:itemID="{E43ED8B5-5E8F-41D0-8F7A-594698BCD4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7c3fc1-ccd5-477b-94a4-7b6dc96a8d59"/>
    <ds:schemaRef ds:uri="9e706368-9a73-4dcc-9221-b8fc62424f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58</vt:i4>
      </vt:variant>
    </vt:vector>
  </HeadingPairs>
  <TitlesOfParts>
    <vt:vector size="60" baseType="lpstr">
      <vt:lpstr>Passenger Names</vt:lpstr>
      <vt:lpstr>Formula help</vt:lpstr>
      <vt:lpstr>_100PcntAccPossible</vt:lpstr>
      <vt:lpstr>abbvThresh</vt:lpstr>
      <vt:lpstr>activityName</vt:lpstr>
      <vt:lpstr>activityNumber</vt:lpstr>
      <vt:lpstr>activitySheetName</vt:lpstr>
      <vt:lpstr>allReqdFnsWorking</vt:lpstr>
      <vt:lpstr>answersTblName</vt:lpstr>
      <vt:lpstr>anyFormulaErrors</vt:lpstr>
      <vt:lpstr>dataTabName</vt:lpstr>
      <vt:lpstr>dataTblName</vt:lpstr>
      <vt:lpstr>dataTblShtProtected</vt:lpstr>
      <vt:lpstr>debug_numCorrect</vt:lpstr>
      <vt:lpstr>fnFormulatextWorking</vt:lpstr>
      <vt:lpstr>fnIfsWorking</vt:lpstr>
      <vt:lpstr>fnLetWorking</vt:lpstr>
      <vt:lpstr>fnSequenceWorking</vt:lpstr>
      <vt:lpstr>fnTextjoinWorking</vt:lpstr>
      <vt:lpstr>fnUniqueWorking</vt:lpstr>
      <vt:lpstr>fracCorrect</vt:lpstr>
      <vt:lpstr>fracCorrectFormatted</vt:lpstr>
      <vt:lpstr>idxAwardEarned</vt:lpstr>
      <vt:lpstr>legacyErrorReport</vt:lpstr>
      <vt:lpstr>lockedColsDataTblName</vt:lpstr>
      <vt:lpstr>matchColOK</vt:lpstr>
      <vt:lpstr>maxNameLength</vt:lpstr>
      <vt:lpstr>nameAwardEarned</vt:lpstr>
      <vt:lpstr>nameClean</vt:lpstr>
      <vt:lpstr>nameFitted</vt:lpstr>
      <vt:lpstr>nameMultiline</vt:lpstr>
      <vt:lpstr>nameMultilineFormatted</vt:lpstr>
      <vt:lpstr>nameMultilineThresh</vt:lpstr>
      <vt:lpstr>nameMultilineXLFormatted</vt:lpstr>
      <vt:lpstr>nameMultilineXLThresh</vt:lpstr>
      <vt:lpstr>nameSingleLineFormatted</vt:lpstr>
      <vt:lpstr>nameSlicePos</vt:lpstr>
      <vt:lpstr>nameSpacePos1</vt:lpstr>
      <vt:lpstr>nameSpacePos2</vt:lpstr>
      <vt:lpstr>nColsNonFormula</vt:lpstr>
      <vt:lpstr>nColsNonUnique</vt:lpstr>
      <vt:lpstr>nColsRefersToOriginalCellRef</vt:lpstr>
      <vt:lpstr>nColsRefersToOriginalCol</vt:lpstr>
      <vt:lpstr>nColsRefersToOriginalTbl</vt:lpstr>
      <vt:lpstr>nColsRefersToOriginalTblRef</vt:lpstr>
      <vt:lpstr>nColsUseIndirect</vt:lpstr>
      <vt:lpstr>nColsUseOffset</vt:lpstr>
      <vt:lpstr>nCorrect</vt:lpstr>
      <vt:lpstr>nextRewardProgress</vt:lpstr>
      <vt:lpstr>nextRewardProgThresh</vt:lpstr>
      <vt:lpstr>nItemsGraded</vt:lpstr>
      <vt:lpstr>nRows</vt:lpstr>
      <vt:lpstr>origColReferencesOrigTbl</vt:lpstr>
      <vt:lpstr>rngAwardImages</vt:lpstr>
      <vt:lpstr>shtActivityProtected</vt:lpstr>
      <vt:lpstr>shtAwardsProtected</vt:lpstr>
      <vt:lpstr>shtDataProtected</vt:lpstr>
      <vt:lpstr>shtFormulaHelpFormulaTestCell</vt:lpstr>
      <vt:lpstr>shtFormulaHelpProtected</vt:lpstr>
      <vt:lpstr>startOfDataTable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Data Cleaning Challenge Part 1—Parse passenger names</dc:title>
  <dc:creator>Andrew Alvin</dc:creator>
  <cp:keywords>data essentials, data cleaning, excel formulas</cp:keywords>
  <cp:lastModifiedBy>Benfield, Clementine</cp:lastModifiedBy>
  <cp:lastPrinted>2022-05-27T17:08:26Z</cp:lastPrinted>
  <dcterms:created xsi:type="dcterms:W3CDTF">2021-12-23T09:54:33Z</dcterms:created>
  <dcterms:modified xsi:type="dcterms:W3CDTF">2024-03-22T13:08:03Z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0x010100A117C33DDE971642A3AD62E1BE8FB4A8</vt:lpwstr>
  </property>
</Properties>
</file>