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webextensions/webextension1.xml" ContentType="application/vnd.ms-office.webextension+xml"/>
  <Override PartName="/xl/webextensions/taskpanes.xml" ContentType="application/vnd.ms-office.webextensiontaskpanes+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Override PartName="/xl/charts/style3.xml" ContentType="application/vnd.ms-office.chartstyle+xml"/>
  <Override PartName="/xl/charts/colors3.xml" ContentType="application/vnd.ms-office.chartcolorstyle+xml"/>
  <Override PartName="/xl/charts/style4.xml" ContentType="application/vnd.ms-office.chartstyle+xml"/>
  <Override PartName="/xl/charts/colors4.xml" ContentType="application/vnd.ms-office.chartcolorstyle+xml"/>
  <Override PartName="/xl/charts/style5.xml" ContentType="application/vnd.ms-office.chartstyle+xml"/>
  <Override PartName="/xl/charts/colors5.xml" ContentType="application/vnd.ms-office.chartcolorstyle+xml"/>
  <Override PartName="/xl/charts/style6.xml" ContentType="application/vnd.ms-office.chartstyle+xml"/>
  <Override PartName="/xl/charts/colors6.xml" ContentType="application/vnd.ms-office.chartcolorstyle+xml"/>
  <Override PartName="/xl/charts/style7.xml" ContentType="application/vnd.ms-office.chartstyle+xml"/>
  <Override PartName="/xl/charts/colors7.xml" ContentType="application/vnd.ms-office.chartcolorstyle+xml"/>
  <Override PartName="/xl/webextensions/webextension2.xml" ContentType="application/vnd.ms-office.webextens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microsoft.com/office/2011/relationships/webextensiontaskpanes" Target="xl/webextensions/taskpanes.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6" rupBuild="20910"/>
  <workbookPr autoCompressPictures="0"/>
  <bookViews>
    <workbookView xWindow="0" yWindow="0" windowWidth="26800" windowHeight="16980" tabRatio="500"/>
  </bookViews>
  <sheets>
    <sheet name="DSS" sheetId="12" r:id="rId1"/>
    <sheet name="interface" sheetId="8" r:id="rId2"/>
    <sheet name="explanation " sheetId="7" state="hidden" r:id="rId3"/>
    <sheet name="Scales" sheetId="5" r:id="rId4"/>
    <sheet name="u(x)" sheetId="4" r:id="rId5"/>
    <sheet name="intermedia" sheetId="1" r:id="rId6"/>
    <sheet name="intermedia2" sheetId="11" r:id="rId7"/>
    <sheet name="menu" sheetId="6" r:id="rId8"/>
    <sheet name="References " sheetId="3" r:id="rId9"/>
    <sheet name="Database" sheetId="10" r:id="rId10"/>
    <sheet name="Columbia" sheetId="2" r:id="rId11"/>
  </sheets>
  <definedNames>
    <definedName name="_xlnm._FilterDatabase" localSheetId="10" hidden="1">Columbia!$A$1:$Q$57</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 i="1" l="1"/>
  <c r="F18" i="12"/>
  <c r="B6" i="1"/>
  <c r="D25" i="12"/>
  <c r="F3" i="1"/>
  <c r="C3" i="11"/>
  <c r="F4" i="1"/>
  <c r="C4" i="11"/>
  <c r="F6" i="1"/>
  <c r="C6" i="11"/>
  <c r="F7" i="1"/>
  <c r="C7" i="11"/>
  <c r="F8" i="1"/>
  <c r="C8" i="11"/>
  <c r="E12" i="5"/>
  <c r="F2" i="1"/>
  <c r="C2" i="11"/>
  <c r="B8" i="1"/>
  <c r="F5" i="1"/>
  <c r="C5" i="11"/>
  <c r="AK11" i="4"/>
  <c r="AL3" i="4"/>
  <c r="O3" i="8"/>
  <c r="AL4" i="4"/>
  <c r="O4" i="8"/>
  <c r="AL5" i="4"/>
  <c r="O5" i="8"/>
  <c r="AL6" i="4"/>
  <c r="O6" i="8"/>
  <c r="AL7" i="4"/>
  <c r="O7" i="8"/>
  <c r="AL8" i="4"/>
  <c r="O8" i="8"/>
  <c r="AL9" i="4"/>
  <c r="O9" i="8"/>
  <c r="G3" i="8"/>
  <c r="G15" i="8"/>
  <c r="H3" i="1"/>
  <c r="E3" i="11"/>
  <c r="H4" i="1"/>
  <c r="E4" i="11"/>
  <c r="H6" i="1"/>
  <c r="E6" i="11"/>
  <c r="H7" i="1"/>
  <c r="E7" i="11"/>
  <c r="H8" i="1"/>
  <c r="E8" i="11"/>
  <c r="E20" i="5"/>
  <c r="H2" i="1"/>
  <c r="E2" i="11"/>
  <c r="H5" i="1"/>
  <c r="E5" i="11"/>
  <c r="H3" i="8"/>
  <c r="G16" i="8"/>
  <c r="J3" i="1"/>
  <c r="G3" i="11"/>
  <c r="J4" i="1"/>
  <c r="G4" i="11"/>
  <c r="J6" i="1"/>
  <c r="G6" i="11"/>
  <c r="J7" i="1"/>
  <c r="G7" i="11"/>
  <c r="J8" i="1"/>
  <c r="G8" i="11"/>
  <c r="E28" i="5"/>
  <c r="J2" i="1"/>
  <c r="G2" i="11"/>
  <c r="J5" i="1"/>
  <c r="G5" i="11"/>
  <c r="I3" i="8"/>
  <c r="G17" i="8"/>
  <c r="L3" i="1"/>
  <c r="I3" i="11"/>
  <c r="L4" i="1"/>
  <c r="I4" i="11"/>
  <c r="L6" i="1"/>
  <c r="I6" i="11"/>
  <c r="L7" i="1"/>
  <c r="I7" i="11"/>
  <c r="L8" i="1"/>
  <c r="I8" i="11"/>
  <c r="E36" i="5"/>
  <c r="L2" i="1"/>
  <c r="I2" i="11"/>
  <c r="L5" i="1"/>
  <c r="I5" i="11"/>
  <c r="J3" i="8"/>
  <c r="G18" i="8"/>
  <c r="N3" i="1"/>
  <c r="K3" i="11"/>
  <c r="N4" i="1"/>
  <c r="K4" i="11"/>
  <c r="N6" i="1"/>
  <c r="K6" i="11"/>
  <c r="N7" i="1"/>
  <c r="K7" i="11"/>
  <c r="N8" i="1"/>
  <c r="K8" i="11"/>
  <c r="E44" i="5"/>
  <c r="N2" i="1"/>
  <c r="K2" i="11"/>
  <c r="N5" i="1"/>
  <c r="K5" i="11"/>
  <c r="K3" i="8"/>
  <c r="G19" i="8"/>
  <c r="P3" i="1"/>
  <c r="M3" i="11"/>
  <c r="P4" i="1"/>
  <c r="M4" i="11"/>
  <c r="P6" i="1"/>
  <c r="M6" i="11"/>
  <c r="P7" i="1"/>
  <c r="M7" i="11"/>
  <c r="P8" i="1"/>
  <c r="M8" i="11"/>
  <c r="E52" i="5"/>
  <c r="P2" i="1"/>
  <c r="M2" i="11"/>
  <c r="P5" i="1"/>
  <c r="M5" i="11"/>
  <c r="L3" i="8"/>
  <c r="G20" i="8"/>
  <c r="F10" i="1"/>
  <c r="C10" i="11"/>
  <c r="F11" i="1"/>
  <c r="C11" i="11"/>
  <c r="F13" i="1"/>
  <c r="C13" i="11"/>
  <c r="F14" i="1"/>
  <c r="C14" i="11"/>
  <c r="F15" i="1"/>
  <c r="C15" i="11"/>
  <c r="E13" i="5"/>
  <c r="F9" i="1"/>
  <c r="C9" i="11"/>
  <c r="F12" i="1"/>
  <c r="C12" i="11"/>
  <c r="G4" i="8"/>
  <c r="G21" i="8"/>
  <c r="H10" i="1"/>
  <c r="E10" i="11"/>
  <c r="H11" i="1"/>
  <c r="E11" i="11"/>
  <c r="H13" i="1"/>
  <c r="E13" i="11"/>
  <c r="H14" i="1"/>
  <c r="E14" i="11"/>
  <c r="H15" i="1"/>
  <c r="E15" i="11"/>
  <c r="E21" i="5"/>
  <c r="H9" i="1"/>
  <c r="E9" i="11"/>
  <c r="H12" i="1"/>
  <c r="E12" i="11"/>
  <c r="H4" i="8"/>
  <c r="G22" i="8"/>
  <c r="J10" i="1"/>
  <c r="G10" i="11"/>
  <c r="J11" i="1"/>
  <c r="G11" i="11"/>
  <c r="J13" i="1"/>
  <c r="G13" i="11"/>
  <c r="J14" i="1"/>
  <c r="G14" i="11"/>
  <c r="J15" i="1"/>
  <c r="G15" i="11"/>
  <c r="E29" i="5"/>
  <c r="J9" i="1"/>
  <c r="G9" i="11"/>
  <c r="J12" i="1"/>
  <c r="G12" i="11"/>
  <c r="I4" i="8"/>
  <c r="G23" i="8"/>
  <c r="L10" i="1"/>
  <c r="I10" i="11"/>
  <c r="L11" i="1"/>
  <c r="I11" i="11"/>
  <c r="L13" i="1"/>
  <c r="I13" i="11"/>
  <c r="L14" i="1"/>
  <c r="I14" i="11"/>
  <c r="L15" i="1"/>
  <c r="I15" i="11"/>
  <c r="E37" i="5"/>
  <c r="L9" i="1"/>
  <c r="I9" i="11"/>
  <c r="L12" i="1"/>
  <c r="I12" i="11"/>
  <c r="J4" i="8"/>
  <c r="G24" i="8"/>
  <c r="N10" i="1"/>
  <c r="K10" i="11"/>
  <c r="N11" i="1"/>
  <c r="K11" i="11"/>
  <c r="N13" i="1"/>
  <c r="K13" i="11"/>
  <c r="N14" i="1"/>
  <c r="K14" i="11"/>
  <c r="N15" i="1"/>
  <c r="K15" i="11"/>
  <c r="E45" i="5"/>
  <c r="N9" i="1"/>
  <c r="K9" i="11"/>
  <c r="N12" i="1"/>
  <c r="K12" i="11"/>
  <c r="K4" i="8"/>
  <c r="G25" i="8"/>
  <c r="P10" i="1"/>
  <c r="M10" i="11"/>
  <c r="P11" i="1"/>
  <c r="M11" i="11"/>
  <c r="P13" i="1"/>
  <c r="M13" i="11"/>
  <c r="P14" i="1"/>
  <c r="M14" i="11"/>
  <c r="P15" i="1"/>
  <c r="M15" i="11"/>
  <c r="E53" i="5"/>
  <c r="P9" i="1"/>
  <c r="M9" i="11"/>
  <c r="P12" i="1"/>
  <c r="M12" i="11"/>
  <c r="L4" i="8"/>
  <c r="G26" i="8"/>
  <c r="F17" i="1"/>
  <c r="C17" i="11"/>
  <c r="F18" i="1"/>
  <c r="C18" i="11"/>
  <c r="F20" i="1"/>
  <c r="C20" i="11"/>
  <c r="F21" i="1"/>
  <c r="C21" i="11"/>
  <c r="F22" i="1"/>
  <c r="C22" i="11"/>
  <c r="E14" i="5"/>
  <c r="F16" i="1"/>
  <c r="C16" i="11"/>
  <c r="F19" i="1"/>
  <c r="C19" i="11"/>
  <c r="G5" i="8"/>
  <c r="G27" i="8"/>
  <c r="H17" i="1"/>
  <c r="E17" i="11"/>
  <c r="H18" i="1"/>
  <c r="E18" i="11"/>
  <c r="H20" i="1"/>
  <c r="E20" i="11"/>
  <c r="H21" i="1"/>
  <c r="E21" i="11"/>
  <c r="H22" i="1"/>
  <c r="E22" i="11"/>
  <c r="E22" i="5"/>
  <c r="H16" i="1"/>
  <c r="E16" i="11"/>
  <c r="H19" i="1"/>
  <c r="E19" i="11"/>
  <c r="H5" i="8"/>
  <c r="G28" i="8"/>
  <c r="J17" i="1"/>
  <c r="G17" i="11"/>
  <c r="J18" i="1"/>
  <c r="G18" i="11"/>
  <c r="J20" i="1"/>
  <c r="G20" i="11"/>
  <c r="J21" i="1"/>
  <c r="G21" i="11"/>
  <c r="J22" i="1"/>
  <c r="G22" i="11"/>
  <c r="E30" i="5"/>
  <c r="J16" i="1"/>
  <c r="G16" i="11"/>
  <c r="J19" i="1"/>
  <c r="G19" i="11"/>
  <c r="I5" i="8"/>
  <c r="G29" i="8"/>
  <c r="L17" i="1"/>
  <c r="I17" i="11"/>
  <c r="L18" i="1"/>
  <c r="I18" i="11"/>
  <c r="L20" i="1"/>
  <c r="I20" i="11"/>
  <c r="L21" i="1"/>
  <c r="I21" i="11"/>
  <c r="L22" i="1"/>
  <c r="I22" i="11"/>
  <c r="E38" i="5"/>
  <c r="L16" i="1"/>
  <c r="I16" i="11"/>
  <c r="L19" i="1"/>
  <c r="I19" i="11"/>
  <c r="J5" i="8"/>
  <c r="G30" i="8"/>
  <c r="N17" i="1"/>
  <c r="K17" i="11"/>
  <c r="N18" i="1"/>
  <c r="K18" i="11"/>
  <c r="N20" i="1"/>
  <c r="K20" i="11"/>
  <c r="N21" i="1"/>
  <c r="K21" i="11"/>
  <c r="N22" i="1"/>
  <c r="K22" i="11"/>
  <c r="E46" i="5"/>
  <c r="N16" i="1"/>
  <c r="K16" i="11"/>
  <c r="N19" i="1"/>
  <c r="K19" i="11"/>
  <c r="K5" i="8"/>
  <c r="G31" i="8"/>
  <c r="P17" i="1"/>
  <c r="M17" i="11"/>
  <c r="P18" i="1"/>
  <c r="M18" i="11"/>
  <c r="P20" i="1"/>
  <c r="M20" i="11"/>
  <c r="P21" i="1"/>
  <c r="M21" i="11"/>
  <c r="P22" i="1"/>
  <c r="M22" i="11"/>
  <c r="E54" i="5"/>
  <c r="P16" i="1"/>
  <c r="M16" i="11"/>
  <c r="P19" i="1"/>
  <c r="M19" i="11"/>
  <c r="L5" i="8"/>
  <c r="G32" i="8"/>
  <c r="F24" i="1"/>
  <c r="C24" i="11"/>
  <c r="F25" i="1"/>
  <c r="C25" i="11"/>
  <c r="F27" i="1"/>
  <c r="C27" i="11"/>
  <c r="F28" i="1"/>
  <c r="C28" i="11"/>
  <c r="F29" i="1"/>
  <c r="C29" i="11"/>
  <c r="E15" i="5"/>
  <c r="F23" i="1"/>
  <c r="C23" i="11"/>
  <c r="F26" i="1"/>
  <c r="C26" i="11"/>
  <c r="G6" i="8"/>
  <c r="G33" i="8"/>
  <c r="H24" i="1"/>
  <c r="E24" i="11"/>
  <c r="H25" i="1"/>
  <c r="E25" i="11"/>
  <c r="H27" i="1"/>
  <c r="E27" i="11"/>
  <c r="H28" i="1"/>
  <c r="E28" i="11"/>
  <c r="H29" i="1"/>
  <c r="E29" i="11"/>
  <c r="E23" i="5"/>
  <c r="H23" i="1"/>
  <c r="E23" i="11"/>
  <c r="H26" i="1"/>
  <c r="E26" i="11"/>
  <c r="H6" i="8"/>
  <c r="G34" i="8"/>
  <c r="J24" i="1"/>
  <c r="G24" i="11"/>
  <c r="J25" i="1"/>
  <c r="G25" i="11"/>
  <c r="J27" i="1"/>
  <c r="G27" i="11"/>
  <c r="J28" i="1"/>
  <c r="G28" i="11"/>
  <c r="J29" i="1"/>
  <c r="G29" i="11"/>
  <c r="E31" i="5"/>
  <c r="J23" i="1"/>
  <c r="G23" i="11"/>
  <c r="J26" i="1"/>
  <c r="G26" i="11"/>
  <c r="I6" i="8"/>
  <c r="G35" i="8"/>
  <c r="L24" i="1"/>
  <c r="I24" i="11"/>
  <c r="L25" i="1"/>
  <c r="I25" i="11"/>
  <c r="L27" i="1"/>
  <c r="I27" i="11"/>
  <c r="L28" i="1"/>
  <c r="I28" i="11"/>
  <c r="L29" i="1"/>
  <c r="I29" i="11"/>
  <c r="E39" i="5"/>
  <c r="L23" i="1"/>
  <c r="I23" i="11"/>
  <c r="L26" i="1"/>
  <c r="I26" i="11"/>
  <c r="J6" i="8"/>
  <c r="G36" i="8"/>
  <c r="N24" i="1"/>
  <c r="K24" i="11"/>
  <c r="N25" i="1"/>
  <c r="K25" i="11"/>
  <c r="N27" i="1"/>
  <c r="K27" i="11"/>
  <c r="N28" i="1"/>
  <c r="K28" i="11"/>
  <c r="N29" i="1"/>
  <c r="K29" i="11"/>
  <c r="E47" i="5"/>
  <c r="N23" i="1"/>
  <c r="K23" i="11"/>
  <c r="N26" i="1"/>
  <c r="K26" i="11"/>
  <c r="K6" i="8"/>
  <c r="G37" i="8"/>
  <c r="P24" i="1"/>
  <c r="M24" i="11"/>
  <c r="P25" i="1"/>
  <c r="M25" i="11"/>
  <c r="P27" i="1"/>
  <c r="M27" i="11"/>
  <c r="P28" i="1"/>
  <c r="M28" i="11"/>
  <c r="P29" i="1"/>
  <c r="M29" i="11"/>
  <c r="E55" i="5"/>
  <c r="P23" i="1"/>
  <c r="M23" i="11"/>
  <c r="P26" i="1"/>
  <c r="M26" i="11"/>
  <c r="L6" i="8"/>
  <c r="G38" i="8"/>
  <c r="F31" i="1"/>
  <c r="C31" i="11"/>
  <c r="F32" i="1"/>
  <c r="C32" i="11"/>
  <c r="F34" i="1"/>
  <c r="C34" i="11"/>
  <c r="F35" i="1"/>
  <c r="C35" i="11"/>
  <c r="F36" i="1"/>
  <c r="C36" i="11"/>
  <c r="E16" i="5"/>
  <c r="F30" i="1"/>
  <c r="C30" i="11"/>
  <c r="F33" i="1"/>
  <c r="C33" i="11"/>
  <c r="G7" i="8"/>
  <c r="G39" i="8"/>
  <c r="H31" i="1"/>
  <c r="E31" i="11"/>
  <c r="H32" i="1"/>
  <c r="E32" i="11"/>
  <c r="H34" i="1"/>
  <c r="E34" i="11"/>
  <c r="H35" i="1"/>
  <c r="E35" i="11"/>
  <c r="H36" i="1"/>
  <c r="E36" i="11"/>
  <c r="E24" i="5"/>
  <c r="H30" i="1"/>
  <c r="E30" i="11"/>
  <c r="H33" i="1"/>
  <c r="E33" i="11"/>
  <c r="H7" i="8"/>
  <c r="G40" i="8"/>
  <c r="J31" i="1"/>
  <c r="G31" i="11"/>
  <c r="J32" i="1"/>
  <c r="G32" i="11"/>
  <c r="J34" i="1"/>
  <c r="G34" i="11"/>
  <c r="J35" i="1"/>
  <c r="G35" i="11"/>
  <c r="J36" i="1"/>
  <c r="G36" i="11"/>
  <c r="E32" i="5"/>
  <c r="J30" i="1"/>
  <c r="G30" i="11"/>
  <c r="J33" i="1"/>
  <c r="G33" i="11"/>
  <c r="I7" i="8"/>
  <c r="G41" i="8"/>
  <c r="L31" i="1"/>
  <c r="I31" i="11"/>
  <c r="L32" i="1"/>
  <c r="I32" i="11"/>
  <c r="L34" i="1"/>
  <c r="I34" i="11"/>
  <c r="L35" i="1"/>
  <c r="I35" i="11"/>
  <c r="L36" i="1"/>
  <c r="I36" i="11"/>
  <c r="E40" i="5"/>
  <c r="L30" i="1"/>
  <c r="I30" i="11"/>
  <c r="L33" i="1"/>
  <c r="I33" i="11"/>
  <c r="J7" i="8"/>
  <c r="G42" i="8"/>
  <c r="N31" i="1"/>
  <c r="K31" i="11"/>
  <c r="N32" i="1"/>
  <c r="K32" i="11"/>
  <c r="N34" i="1"/>
  <c r="K34" i="11"/>
  <c r="N35" i="1"/>
  <c r="K35" i="11"/>
  <c r="N36" i="1"/>
  <c r="K36" i="11"/>
  <c r="E48" i="5"/>
  <c r="N30" i="1"/>
  <c r="K30" i="11"/>
  <c r="N33" i="1"/>
  <c r="K33" i="11"/>
  <c r="K7" i="8"/>
  <c r="G43" i="8"/>
  <c r="P31" i="1"/>
  <c r="M31" i="11"/>
  <c r="P32" i="1"/>
  <c r="M32" i="11"/>
  <c r="P34" i="1"/>
  <c r="M34" i="11"/>
  <c r="P35" i="1"/>
  <c r="M35" i="11"/>
  <c r="P36" i="1"/>
  <c r="M36" i="11"/>
  <c r="E56" i="5"/>
  <c r="P30" i="1"/>
  <c r="M30" i="11"/>
  <c r="P33" i="1"/>
  <c r="M33" i="11"/>
  <c r="L7" i="8"/>
  <c r="G44" i="8"/>
  <c r="F38" i="1"/>
  <c r="C38" i="11"/>
  <c r="F39" i="1"/>
  <c r="C39" i="11"/>
  <c r="F41" i="1"/>
  <c r="C41" i="11"/>
  <c r="F42" i="1"/>
  <c r="C42" i="11"/>
  <c r="F43" i="1"/>
  <c r="C43" i="11"/>
  <c r="E17" i="5"/>
  <c r="F37" i="1"/>
  <c r="C37" i="11"/>
  <c r="F40" i="1"/>
  <c r="C40" i="11"/>
  <c r="G8" i="8"/>
  <c r="G45" i="8"/>
  <c r="H38" i="1"/>
  <c r="E38" i="11"/>
  <c r="H39" i="1"/>
  <c r="E39" i="11"/>
  <c r="H41" i="1"/>
  <c r="E41" i="11"/>
  <c r="H42" i="1"/>
  <c r="E42" i="11"/>
  <c r="H43" i="1"/>
  <c r="E43" i="11"/>
  <c r="E25" i="5"/>
  <c r="H37" i="1"/>
  <c r="E37" i="11"/>
  <c r="H40" i="1"/>
  <c r="E40" i="11"/>
  <c r="H8" i="8"/>
  <c r="G46" i="8"/>
  <c r="J38" i="1"/>
  <c r="G38" i="11"/>
  <c r="J39" i="1"/>
  <c r="G39" i="11"/>
  <c r="J41" i="1"/>
  <c r="G41" i="11"/>
  <c r="J42" i="1"/>
  <c r="G42" i="11"/>
  <c r="J43" i="1"/>
  <c r="G43" i="11"/>
  <c r="E33" i="5"/>
  <c r="J37" i="1"/>
  <c r="G37" i="11"/>
  <c r="J40" i="1"/>
  <c r="G40" i="11"/>
  <c r="I8" i="8"/>
  <c r="G47" i="8"/>
  <c r="L38" i="1"/>
  <c r="I38" i="11"/>
  <c r="L39" i="1"/>
  <c r="I39" i="11"/>
  <c r="L41" i="1"/>
  <c r="I41" i="11"/>
  <c r="L42" i="1"/>
  <c r="I42" i="11"/>
  <c r="L43" i="1"/>
  <c r="I43" i="11"/>
  <c r="E41" i="5"/>
  <c r="L37" i="1"/>
  <c r="I37" i="11"/>
  <c r="L40" i="1"/>
  <c r="I40" i="11"/>
  <c r="J8" i="8"/>
  <c r="G48" i="8"/>
  <c r="N38" i="1"/>
  <c r="K38" i="11"/>
  <c r="N39" i="1"/>
  <c r="K39" i="11"/>
  <c r="N41" i="1"/>
  <c r="K41" i="11"/>
  <c r="N42" i="1"/>
  <c r="K42" i="11"/>
  <c r="N43" i="1"/>
  <c r="K43" i="11"/>
  <c r="E49" i="5"/>
  <c r="N37" i="1"/>
  <c r="K37" i="11"/>
  <c r="N40" i="1"/>
  <c r="K40" i="11"/>
  <c r="K8" i="8"/>
  <c r="G49" i="8"/>
  <c r="P38" i="1"/>
  <c r="M38" i="11"/>
  <c r="P39" i="1"/>
  <c r="M39" i="11"/>
  <c r="P41" i="1"/>
  <c r="M41" i="11"/>
  <c r="P42" i="1"/>
  <c r="M42" i="11"/>
  <c r="P43" i="1"/>
  <c r="M43" i="11"/>
  <c r="E57" i="5"/>
  <c r="P37" i="1"/>
  <c r="M37" i="11"/>
  <c r="P40" i="1"/>
  <c r="M40" i="11"/>
  <c r="L8" i="8"/>
  <c r="G50" i="8"/>
  <c r="F45" i="1"/>
  <c r="C45" i="11"/>
  <c r="F46" i="1"/>
  <c r="C46" i="11"/>
  <c r="F48" i="1"/>
  <c r="C48" i="11"/>
  <c r="F49" i="1"/>
  <c r="C49" i="11"/>
  <c r="F50" i="1"/>
  <c r="C50" i="11"/>
  <c r="E18" i="5"/>
  <c r="F44" i="1"/>
  <c r="C44" i="11"/>
  <c r="F47" i="1"/>
  <c r="C47" i="11"/>
  <c r="G9" i="8"/>
  <c r="G51" i="8"/>
  <c r="H45" i="1"/>
  <c r="E45" i="11"/>
  <c r="H46" i="1"/>
  <c r="E46" i="11"/>
  <c r="H48" i="1"/>
  <c r="E48" i="11"/>
  <c r="H49" i="1"/>
  <c r="E49" i="11"/>
  <c r="H50" i="1"/>
  <c r="E50" i="11"/>
  <c r="E26" i="5"/>
  <c r="H44" i="1"/>
  <c r="E44" i="11"/>
  <c r="H47" i="1"/>
  <c r="E47" i="11"/>
  <c r="H9" i="8"/>
  <c r="G52" i="8"/>
  <c r="J45" i="1"/>
  <c r="G45" i="11"/>
  <c r="J46" i="1"/>
  <c r="G46" i="11"/>
  <c r="J48" i="1"/>
  <c r="G48" i="11"/>
  <c r="J49" i="1"/>
  <c r="G49" i="11"/>
  <c r="J50" i="1"/>
  <c r="G50" i="11"/>
  <c r="E34" i="5"/>
  <c r="J44" i="1"/>
  <c r="G44" i="11"/>
  <c r="J47" i="1"/>
  <c r="G47" i="11"/>
  <c r="I9" i="8"/>
  <c r="G53" i="8"/>
  <c r="L45" i="1"/>
  <c r="I45" i="11"/>
  <c r="L46" i="1"/>
  <c r="I46" i="11"/>
  <c r="L48" i="1"/>
  <c r="I48" i="11"/>
  <c r="L49" i="1"/>
  <c r="I49" i="11"/>
  <c r="L50" i="1"/>
  <c r="I50" i="11"/>
  <c r="E42" i="5"/>
  <c r="L44" i="1"/>
  <c r="I44" i="11"/>
  <c r="L47" i="1"/>
  <c r="I47" i="11"/>
  <c r="J9" i="8"/>
  <c r="G54" i="8"/>
  <c r="N45" i="1"/>
  <c r="K45" i="11"/>
  <c r="N46" i="1"/>
  <c r="K46" i="11"/>
  <c r="N48" i="1"/>
  <c r="K48" i="11"/>
  <c r="N49" i="1"/>
  <c r="K49" i="11"/>
  <c r="N50" i="1"/>
  <c r="K50" i="11"/>
  <c r="E50" i="5"/>
  <c r="N44" i="1"/>
  <c r="K44" i="11"/>
  <c r="N47" i="1"/>
  <c r="K47" i="11"/>
  <c r="K9" i="8"/>
  <c r="G55" i="8"/>
  <c r="P45" i="1"/>
  <c r="M45" i="11"/>
  <c r="P46" i="1"/>
  <c r="M46" i="11"/>
  <c r="P48" i="1"/>
  <c r="M48" i="11"/>
  <c r="P49" i="1"/>
  <c r="M49" i="11"/>
  <c r="P50" i="1"/>
  <c r="M50" i="11"/>
  <c r="E58" i="5"/>
  <c r="P44" i="1"/>
  <c r="M44" i="11"/>
  <c r="P47" i="1"/>
  <c r="M47" i="11"/>
  <c r="L9" i="8"/>
  <c r="G56" i="8"/>
  <c r="F52" i="1"/>
  <c r="C52" i="11"/>
  <c r="F53" i="1"/>
  <c r="C53" i="11"/>
  <c r="F55" i="1"/>
  <c r="C55" i="11"/>
  <c r="F56" i="1"/>
  <c r="C56" i="11"/>
  <c r="F57" i="1"/>
  <c r="C57" i="11"/>
  <c r="E19" i="5"/>
  <c r="F51" i="1"/>
  <c r="C51" i="11"/>
  <c r="F54" i="1"/>
  <c r="C54" i="11"/>
  <c r="G10" i="8"/>
  <c r="G57" i="8"/>
  <c r="H52" i="1"/>
  <c r="E52" i="11"/>
  <c r="H53" i="1"/>
  <c r="E53" i="11"/>
  <c r="H55" i="1"/>
  <c r="E55" i="11"/>
  <c r="H56" i="1"/>
  <c r="E56" i="11"/>
  <c r="H57" i="1"/>
  <c r="E57" i="11"/>
  <c r="E27" i="5"/>
  <c r="H51" i="1"/>
  <c r="E51" i="11"/>
  <c r="H54" i="1"/>
  <c r="E54" i="11"/>
  <c r="H10" i="8"/>
  <c r="G58" i="8"/>
  <c r="J52" i="1"/>
  <c r="G52" i="11"/>
  <c r="J53" i="1"/>
  <c r="G53" i="11"/>
  <c r="J55" i="1"/>
  <c r="G55" i="11"/>
  <c r="J56" i="1"/>
  <c r="G56" i="11"/>
  <c r="J57" i="1"/>
  <c r="G57" i="11"/>
  <c r="E35" i="5"/>
  <c r="J51" i="1"/>
  <c r="G51" i="11"/>
  <c r="J54" i="1"/>
  <c r="G54" i="11"/>
  <c r="I10" i="8"/>
  <c r="G59" i="8"/>
  <c r="L52" i="1"/>
  <c r="I52" i="11"/>
  <c r="L53" i="1"/>
  <c r="I53" i="11"/>
  <c r="L55" i="1"/>
  <c r="I55" i="11"/>
  <c r="L56" i="1"/>
  <c r="I56" i="11"/>
  <c r="L57" i="1"/>
  <c r="I57" i="11"/>
  <c r="E43" i="5"/>
  <c r="L51" i="1"/>
  <c r="I51" i="11"/>
  <c r="L54" i="1"/>
  <c r="I54" i="11"/>
  <c r="J10" i="8"/>
  <c r="G60" i="8"/>
  <c r="N52" i="1"/>
  <c r="K52" i="11"/>
  <c r="N53" i="1"/>
  <c r="K53" i="11"/>
  <c r="N55" i="1"/>
  <c r="K55" i="11"/>
  <c r="N56" i="1"/>
  <c r="K56" i="11"/>
  <c r="N57" i="1"/>
  <c r="K57" i="11"/>
  <c r="E51" i="5"/>
  <c r="N51" i="1"/>
  <c r="K51" i="11"/>
  <c r="N54" i="1"/>
  <c r="K54" i="11"/>
  <c r="K10" i="8"/>
  <c r="G61" i="8"/>
  <c r="P52" i="1"/>
  <c r="M52" i="11"/>
  <c r="P53" i="1"/>
  <c r="M53" i="11"/>
  <c r="P55" i="1"/>
  <c r="M55" i="11"/>
  <c r="P56" i="1"/>
  <c r="M56" i="11"/>
  <c r="P57" i="1"/>
  <c r="M57" i="11"/>
  <c r="E59" i="5"/>
  <c r="P51" i="1"/>
  <c r="M51" i="11"/>
  <c r="P54" i="1"/>
  <c r="M54" i="11"/>
  <c r="L10" i="8"/>
  <c r="G62" i="8"/>
  <c r="H18" i="8"/>
  <c r="H18" i="12"/>
  <c r="H24" i="8"/>
  <c r="H19" i="12"/>
  <c r="H30" i="8"/>
  <c r="H20" i="12"/>
  <c r="H37" i="8"/>
  <c r="H36" i="8"/>
  <c r="H21" i="12"/>
  <c r="H43" i="8"/>
  <c r="H42" i="8"/>
  <c r="H22" i="12"/>
  <c r="H48" i="8"/>
  <c r="H49" i="8"/>
  <c r="H23" i="12"/>
  <c r="H55" i="8"/>
  <c r="H24" i="12"/>
  <c r="H61" i="8"/>
  <c r="H62" i="8"/>
  <c r="H25" i="12"/>
  <c r="H60" i="8"/>
  <c r="H59" i="8"/>
  <c r="H58" i="8"/>
  <c r="H57" i="8"/>
  <c r="H56" i="8"/>
  <c r="H54" i="8"/>
  <c r="H53" i="8"/>
  <c r="H52" i="8"/>
  <c r="H51" i="8"/>
  <c r="H50" i="8"/>
  <c r="H47" i="8"/>
  <c r="H46" i="8"/>
  <c r="H45" i="8"/>
  <c r="H44" i="8"/>
  <c r="H41" i="8"/>
  <c r="H40" i="8"/>
  <c r="H39" i="8"/>
  <c r="H38" i="8"/>
  <c r="H35" i="8"/>
  <c r="H34" i="8"/>
  <c r="H33" i="8"/>
  <c r="H32" i="8"/>
  <c r="H31" i="8"/>
  <c r="H29" i="8"/>
  <c r="H28" i="8"/>
  <c r="H27" i="8"/>
  <c r="H26" i="8"/>
  <c r="H25" i="8"/>
  <c r="H23" i="8"/>
  <c r="H22" i="8"/>
  <c r="H21" i="8"/>
  <c r="H20" i="8"/>
  <c r="H19" i="8"/>
  <c r="H17" i="8"/>
  <c r="H16" i="8"/>
  <c r="H15" i="8"/>
  <c r="I17" i="8"/>
  <c r="Q10" i="8"/>
  <c r="Q9" i="8"/>
  <c r="Q4" i="8"/>
  <c r="Q5" i="8"/>
  <c r="Q6" i="8"/>
  <c r="Q7" i="8"/>
  <c r="Q8" i="8"/>
  <c r="Q3" i="8"/>
  <c r="P12" i="11"/>
  <c r="H59" i="1"/>
  <c r="XFD1048550" i="1"/>
  <c r="XFD1048551" i="1"/>
  <c r="XFD1048552" i="1"/>
  <c r="XFD1048553" i="1"/>
  <c r="XFD1048554" i="1"/>
  <c r="XFD1048555" i="1"/>
  <c r="XFD1048556" i="1"/>
  <c r="XFD1048557" i="1"/>
  <c r="XFD1048558" i="1"/>
  <c r="XFD1048559" i="1"/>
  <c r="XFD1048560" i="1"/>
  <c r="XFD1048561" i="1"/>
  <c r="XFD1048562" i="1"/>
  <c r="XFD1048563" i="1"/>
  <c r="XFD1048564" i="1"/>
  <c r="XFD1048565" i="1"/>
  <c r="XFD1048566" i="1"/>
  <c r="XFD1048567" i="1"/>
  <c r="XFD1048568" i="1"/>
  <c r="XFD1048569" i="1"/>
  <c r="XFD1048570" i="1"/>
  <c r="XFD1048571" i="1"/>
  <c r="XFD1048572" i="1"/>
  <c r="XFD1048573" i="1"/>
  <c r="XFD1048574" i="1"/>
  <c r="XFD1048575" i="1"/>
  <c r="AL11" i="4"/>
  <c r="AH9" i="4"/>
  <c r="Q61" i="2"/>
  <c r="S4" i="4"/>
  <c r="AG8" i="4"/>
  <c r="J60" i="2"/>
  <c r="P4" i="4"/>
  <c r="AF7" i="4"/>
  <c r="AE6" i="4"/>
  <c r="AD5" i="4"/>
  <c r="K60" i="2"/>
  <c r="G4" i="4"/>
  <c r="AC4" i="4"/>
  <c r="N60" i="2"/>
  <c r="D4" i="4"/>
  <c r="AB3" i="4"/>
  <c r="AH2" i="4"/>
  <c r="Q60" i="2"/>
  <c r="S8" i="4"/>
  <c r="AG2" i="4"/>
  <c r="J61" i="2"/>
  <c r="P8" i="4"/>
  <c r="AF2" i="4"/>
  <c r="AE2" i="4"/>
  <c r="AD2" i="4"/>
  <c r="AC2" i="4"/>
  <c r="N61" i="2"/>
  <c r="D8" i="4"/>
  <c r="AB2" i="4"/>
  <c r="H60" i="2"/>
  <c r="I60" i="2"/>
  <c r="L60" i="2"/>
  <c r="M60" i="2"/>
  <c r="O60" i="2"/>
  <c r="P60" i="2"/>
  <c r="H61" i="2"/>
  <c r="I61" i="2"/>
  <c r="K61" i="2"/>
  <c r="L61" i="2"/>
  <c r="M61" i="2"/>
  <c r="O61" i="2"/>
  <c r="P61" i="2"/>
  <c r="G61" i="2"/>
  <c r="G60" i="2"/>
</calcChain>
</file>

<file path=xl/sharedStrings.xml><?xml version="1.0" encoding="utf-8"?>
<sst xmlns="http://schemas.openxmlformats.org/spreadsheetml/2006/main" count="1371" uniqueCount="139">
  <si>
    <t>fips_key</t>
  </si>
  <si>
    <t>countycode</t>
  </si>
  <si>
    <t>countyname</t>
  </si>
  <si>
    <t>munitype</t>
  </si>
  <si>
    <t>municode.x</t>
  </si>
  <si>
    <t>muniname</t>
  </si>
  <si>
    <t>stormreturn</t>
  </si>
  <si>
    <t>Total_Damaged_Buildings</t>
  </si>
  <si>
    <t>level_flood</t>
  </si>
  <si>
    <t>critical_infra</t>
  </si>
  <si>
    <t>assets_aff</t>
  </si>
  <si>
    <t>svi_town</t>
  </si>
  <si>
    <t>svi_w</t>
  </si>
  <si>
    <t>prob</t>
  </si>
  <si>
    <t>Columbia</t>
  </si>
  <si>
    <t>town</t>
  </si>
  <si>
    <t>Clermont</t>
  </si>
  <si>
    <t>Germantown</t>
  </si>
  <si>
    <t>Greenport</t>
  </si>
  <si>
    <t>city</t>
  </si>
  <si>
    <t>Hudson</t>
  </si>
  <si>
    <t>Livingston</t>
  </si>
  <si>
    <t>Stockport</t>
  </si>
  <si>
    <t>Stuyvesant</t>
  </si>
  <si>
    <t>pop_county</t>
  </si>
  <si>
    <t>pop_mun</t>
  </si>
  <si>
    <t xml:space="preserve">Population affected </t>
  </si>
  <si>
    <t xml:space="preserve">Assets affected </t>
  </si>
  <si>
    <t>Level of flood (in)</t>
  </si>
  <si>
    <t>Time to implement (hours)</t>
  </si>
  <si>
    <t>Critical Infraestructure  ( No)</t>
  </si>
  <si>
    <t xml:space="preserve">Budget for prevention </t>
  </si>
  <si>
    <t xml:space="preserve">Social Vulnerability Index </t>
  </si>
  <si>
    <t xml:space="preserve">Location </t>
  </si>
  <si>
    <t>budget</t>
  </si>
  <si>
    <t>http://www.columbiacountyny.com/documents/misc/columbia_hazard_mitigation_plan.pdf</t>
  </si>
  <si>
    <t>u(pa)</t>
  </si>
  <si>
    <t>Assets affected</t>
  </si>
  <si>
    <t>u(aa)</t>
  </si>
  <si>
    <t>Level of flood</t>
  </si>
  <si>
    <t>u(lf)</t>
  </si>
  <si>
    <t xml:space="preserve">time </t>
  </si>
  <si>
    <t>u(t)</t>
  </si>
  <si>
    <t>Critical I</t>
  </si>
  <si>
    <t>u(ci)</t>
  </si>
  <si>
    <t>Budget</t>
  </si>
  <si>
    <t>SVI</t>
  </si>
  <si>
    <t>u(svi)</t>
  </si>
  <si>
    <t>u(b)</t>
  </si>
  <si>
    <t>max</t>
  </si>
  <si>
    <t>min</t>
  </si>
  <si>
    <t>y = -0.49ln(x) + 1.5102</t>
  </si>
  <si>
    <r>
      <t>y = -7E-16x</t>
    </r>
    <r>
      <rPr>
        <vertAlign val="superscript"/>
        <sz val="12"/>
        <color theme="1"/>
        <rFont val="Calibri"/>
        <family val="2"/>
        <scheme val="minor"/>
      </rPr>
      <t>2</t>
    </r>
    <r>
      <rPr>
        <sz val="12"/>
        <color theme="1"/>
        <rFont val="Calibri"/>
        <family val="2"/>
        <scheme val="minor"/>
      </rPr>
      <t xml:space="preserve"> + 5E-08x + 0.0132</t>
    </r>
  </si>
  <si>
    <r>
      <t>y = -0.0002x</t>
    </r>
    <r>
      <rPr>
        <vertAlign val="superscript"/>
        <sz val="12"/>
        <color theme="1"/>
        <rFont val="Calibri"/>
        <family val="2"/>
        <scheme val="minor"/>
      </rPr>
      <t>2</t>
    </r>
    <r>
      <rPr>
        <sz val="12"/>
        <color theme="1"/>
        <rFont val="Calibri"/>
        <family val="2"/>
        <scheme val="minor"/>
      </rPr>
      <t xml:space="preserve"> + 0.0278x - 0.1705</t>
    </r>
  </si>
  <si>
    <r>
      <t>y = 0.273x</t>
    </r>
    <r>
      <rPr>
        <vertAlign val="superscript"/>
        <sz val="12"/>
        <color theme="1"/>
        <rFont val="Calibri"/>
        <family val="2"/>
        <scheme val="minor"/>
      </rPr>
      <t>2</t>
    </r>
    <r>
      <rPr>
        <sz val="12"/>
        <color theme="1"/>
        <rFont val="Calibri"/>
        <family val="2"/>
        <scheme val="minor"/>
      </rPr>
      <t xml:space="preserve"> - 0.0538x + 0.0043</t>
    </r>
  </si>
  <si>
    <r>
      <t>y = 1E-12x</t>
    </r>
    <r>
      <rPr>
        <vertAlign val="superscript"/>
        <sz val="12"/>
        <color theme="1"/>
        <rFont val="Calibri"/>
        <family val="2"/>
        <scheme val="minor"/>
      </rPr>
      <t>2</t>
    </r>
    <r>
      <rPr>
        <sz val="12"/>
        <color theme="1"/>
        <rFont val="Calibri"/>
        <family val="2"/>
        <scheme val="minor"/>
      </rPr>
      <t xml:space="preserve"> - 3E-06x + 2.3225</t>
    </r>
  </si>
  <si>
    <r>
      <t>y = -3E-05x</t>
    </r>
    <r>
      <rPr>
        <vertAlign val="superscript"/>
        <sz val="12"/>
        <color theme="1"/>
        <rFont val="Calibri"/>
        <family val="2"/>
        <scheme val="minor"/>
      </rPr>
      <t>2</t>
    </r>
    <r>
      <rPr>
        <sz val="12"/>
        <color theme="1"/>
        <rFont val="Calibri"/>
        <family val="2"/>
        <scheme val="minor"/>
      </rPr>
      <t xml:space="preserve"> + 0.0081x + 0.427</t>
    </r>
  </si>
  <si>
    <t xml:space="preserve">Utilities </t>
  </si>
  <si>
    <t>pa</t>
  </si>
  <si>
    <t>aa</t>
  </si>
  <si>
    <t>lf</t>
  </si>
  <si>
    <t>t</t>
  </si>
  <si>
    <t>ci</t>
  </si>
  <si>
    <t>b</t>
  </si>
  <si>
    <t>svi</t>
  </si>
  <si>
    <t>benchmark</t>
  </si>
  <si>
    <t>Rank</t>
  </si>
  <si>
    <t>Rate</t>
  </si>
  <si>
    <t>Weight</t>
  </si>
  <si>
    <t>Realocation</t>
  </si>
  <si>
    <t>Flood Barriers</t>
  </si>
  <si>
    <t>Backup powerplant</t>
  </si>
  <si>
    <t>CERT</t>
  </si>
  <si>
    <t>Deployment emerg T</t>
  </si>
  <si>
    <t>Food &amp; Water sup</t>
  </si>
  <si>
    <t xml:space="preserve"> Hey guys I talk to the profesor and it would be nice if we have a risk matrix  and it’s a cool way to turn arround the probability distribution so for each level of probability ( 8 levels) we have attributes associated with them  and the user could choose the county , the population and the time ( in both we could put sliders)</t>
  </si>
  <si>
    <t xml:space="preserve">So  we would have 8 tables of consequences per municipality to calculate the utilities of each alternative and give the top 3 </t>
  </si>
  <si>
    <t xml:space="preserve"> In the matrix of risk the Y axisis is the likelyhood and on the X axis the consequence , we could scale the population so it incrreases with the lielihood </t>
  </si>
  <si>
    <t xml:space="preserve">The user is going to choose:  location ( municipality), percentage of population afected (1-100) , and time </t>
  </si>
  <si>
    <t>time (user input)</t>
  </si>
  <si>
    <t>ln(x)+20</t>
  </si>
  <si>
    <t>ln(x)+7</t>
  </si>
  <si>
    <t>ln(x)+5</t>
  </si>
  <si>
    <t xml:space="preserve">ln(x)+2 </t>
  </si>
  <si>
    <t>ln(x)+1</t>
  </si>
  <si>
    <t>ln(x)+0.5</t>
  </si>
  <si>
    <t>(10-20)</t>
  </si>
  <si>
    <t>(20-30)</t>
  </si>
  <si>
    <t>Location</t>
  </si>
  <si>
    <t>For 1000 severity index</t>
  </si>
  <si>
    <t>For 500 severity index</t>
  </si>
  <si>
    <t>For 200 severity index</t>
  </si>
  <si>
    <t>For 100 severity index</t>
  </si>
  <si>
    <t>For 50 severity index</t>
  </si>
  <si>
    <t xml:space="preserve"> </t>
  </si>
  <si>
    <t>For 20 severity index</t>
  </si>
  <si>
    <t>For 10 severity index</t>
  </si>
  <si>
    <t>For 5 severity index</t>
  </si>
  <si>
    <t>ROR</t>
  </si>
  <si>
    <t>Deploy emerg T</t>
  </si>
  <si>
    <t>y = 0.729ln(x) - 5.512</t>
  </si>
  <si>
    <t>(1-10), 1.2</t>
  </si>
  <si>
    <t>(30-40)</t>
  </si>
  <si>
    <t>(40-50)</t>
  </si>
  <si>
    <t>(50-60)</t>
  </si>
  <si>
    <t>fllod barriers</t>
  </si>
  <si>
    <t>Back up power planta</t>
  </si>
  <si>
    <t>Deployment E</t>
  </si>
  <si>
    <t xml:space="preserve">Food &amp; water supply </t>
  </si>
  <si>
    <t>weights</t>
  </si>
  <si>
    <t xml:space="preserve">rate return </t>
  </si>
  <si>
    <t xml:space="preserve">sclae population </t>
  </si>
  <si>
    <t xml:space="preserve">realocation </t>
  </si>
  <si>
    <t xml:space="preserve">group </t>
  </si>
  <si>
    <t>Time (hours)</t>
  </si>
  <si>
    <t>Max</t>
  </si>
  <si>
    <t xml:space="preserve">Utility </t>
  </si>
  <si>
    <t>Alternative</t>
  </si>
  <si>
    <t xml:space="preserve">Mitigation Startegy </t>
  </si>
  <si>
    <t xml:space="preserve">Source: hudson River Flooding Decision Suport System Beta version </t>
  </si>
  <si>
    <t xml:space="preserve">Disaster Risk Management Decision Support System </t>
  </si>
  <si>
    <t xml:space="preserve">Best Alternatives for each severity </t>
  </si>
  <si>
    <t>Reallocate the population in a safety place. Shelters can be deployed at schools, libraries, churches.  The main goal is to save lives. This alternative is the most expensive and  cannot be done for an entire population. The population with the lower social vulnerability index are prioritized to be the first reallocated. The guidelines for implementing a reallocation and asking for FEMA funding can be found at  https://www.fema.gov/pdf/about/org/ncp/erg_guide.pdf</t>
  </si>
  <si>
    <t xml:space="preserve">A specific type of floodgate, designed to prevent a storm surge or spring tide from flooding the protected area behind the barrier. </t>
  </si>
  <si>
    <t>A standby power system may include a standby generator, batteries and other apparatus.</t>
  </si>
  <si>
    <t>An organization of volunteer emergency workers who have received specific training in basic disaster response skills, and who agree to supplement existing emergency responders in the event of a major disaster.</t>
  </si>
  <si>
    <t>Team of trained technical specialists, ready to be deployed at short notice, which uses pre-packed sets of standardized equipment.</t>
  </si>
  <si>
    <t>Food and water storage deliverd to the affected population to be prepared for the coming disaster</t>
  </si>
  <si>
    <t>Columbia County</t>
  </si>
  <si>
    <t xml:space="preserve">Columbia County - Hudson Riverline flood Map </t>
  </si>
  <si>
    <t>Severity Level</t>
  </si>
  <si>
    <t>Risk of return</t>
  </si>
  <si>
    <t>Utility table for each Alternative changes with county,population and time selection</t>
  </si>
  <si>
    <r>
      <rPr>
        <b/>
        <sz val="12"/>
        <color theme="1"/>
        <rFont val="Calibri"/>
        <family val="2"/>
        <scheme val="minor"/>
      </rPr>
      <t>Table of Attribute Utilties for each risk of retur</t>
    </r>
    <r>
      <rPr>
        <sz val="12"/>
        <color theme="1"/>
        <rFont val="Calibri"/>
        <family val="2"/>
        <scheme val="minor"/>
      </rPr>
      <t>n</t>
    </r>
  </si>
  <si>
    <t>Utility functions for all attributes based on values form Database</t>
  </si>
  <si>
    <t>Range and breaks</t>
  </si>
  <si>
    <t>Sacling Table</t>
  </si>
  <si>
    <t>Severity Level From range (1-8) corrsponds to Risk of Return reange (5-1000) respectively, refer to interface sheet for more information</t>
  </si>
  <si>
    <t>Consequnce Table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</si>
</sst>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_(* \(#,##0.00\);_(* &quot;-&quot;??_);_(@_)"/>
    <numFmt numFmtId="165" formatCode="_(* #,##0_);_(* \(#,##0\);_(* &quot;-&quot;??_);_(@_)"/>
    <numFmt numFmtId="166" formatCode="0.000"/>
  </numFmts>
  <fonts count="24" x14ac:knownFonts="1">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vertAlign val="superscript"/>
      <sz val="12"/>
      <color theme="1"/>
      <name val="Calibri"/>
      <family val="2"/>
      <scheme val="minor"/>
    </font>
    <font>
      <b/>
      <sz val="12"/>
      <color theme="2"/>
      <name val="Calibri"/>
      <family val="2"/>
      <scheme val="minor"/>
    </font>
    <font>
      <sz val="12"/>
      <color theme="2"/>
      <name val="Calibri"/>
      <family val="2"/>
      <scheme val="minor"/>
    </font>
    <font>
      <sz val="14"/>
      <color theme="1"/>
      <name val="Calibri"/>
      <family val="2"/>
      <scheme val="minor"/>
    </font>
    <font>
      <b/>
      <sz val="14"/>
      <color theme="1"/>
      <name val="Calibri"/>
      <scheme val="minor"/>
    </font>
    <font>
      <b/>
      <sz val="36"/>
      <color theme="1"/>
      <name val="Calibri"/>
      <scheme val="minor"/>
    </font>
    <font>
      <b/>
      <sz val="28"/>
      <color theme="1"/>
      <name val="Calibri"/>
      <scheme val="minor"/>
    </font>
    <font>
      <sz val="22"/>
      <color theme="1"/>
      <name val="Calibri"/>
      <family val="2"/>
      <scheme val="minor"/>
    </font>
    <font>
      <b/>
      <sz val="20"/>
      <color theme="1"/>
      <name val="Calibri"/>
      <scheme val="minor"/>
    </font>
    <font>
      <sz val="12"/>
      <color rgb="FF333333"/>
      <name val="Calibri"/>
      <scheme val="minor"/>
    </font>
    <font>
      <sz val="26"/>
      <color theme="1"/>
      <name val="Calibri"/>
      <family val="2"/>
      <scheme val="minor"/>
    </font>
    <font>
      <sz val="14"/>
      <color theme="0"/>
      <name val="Calibri"/>
      <family val="2"/>
      <scheme val="minor"/>
    </font>
    <font>
      <sz val="8"/>
      <name val="Calibri"/>
      <family val="2"/>
      <scheme val="minor"/>
    </font>
    <font>
      <sz val="26"/>
      <color theme="1"/>
      <name val="Calibri (Body)"/>
    </font>
    <font>
      <sz val="14"/>
      <color rgb="FFFF0000"/>
      <name val="Calibri"/>
      <family val="2"/>
      <scheme val="minor"/>
    </font>
    <font>
      <sz val="12"/>
      <color theme="0"/>
      <name val="Calibri"/>
      <family val="2"/>
      <scheme val="minor"/>
    </font>
    <font>
      <b/>
      <sz val="16"/>
      <color theme="1"/>
      <name val="Calibri"/>
      <family val="2"/>
      <scheme val="minor"/>
    </font>
    <font>
      <b/>
      <sz val="20"/>
      <color theme="1"/>
      <name val="Calibri"/>
      <family val="2"/>
      <scheme val="minor"/>
    </font>
    <font>
      <u/>
      <sz val="12"/>
      <color theme="10"/>
      <name val="Calibri"/>
      <family val="2"/>
      <scheme val="minor"/>
    </font>
    <font>
      <u/>
      <sz val="12"/>
      <color theme="11"/>
      <name val="Calibri"/>
      <family val="2"/>
      <scheme val="minor"/>
    </font>
  </fonts>
  <fills count="15">
    <fill>
      <patternFill patternType="none"/>
    </fill>
    <fill>
      <patternFill patternType="gray125"/>
    </fill>
    <fill>
      <patternFill patternType="solid">
        <fgColor theme="8" tint="0.59999389629810485"/>
        <bgColor indexed="64"/>
      </patternFill>
    </fill>
    <fill>
      <patternFill patternType="solid">
        <fgColor rgb="FF941651"/>
        <bgColor indexed="64"/>
      </patternFill>
    </fill>
    <fill>
      <patternFill patternType="solid">
        <fgColor rgb="FF7030A0"/>
        <bgColor indexed="64"/>
      </patternFill>
    </fill>
    <fill>
      <patternFill patternType="solid">
        <fgColor rgb="FF942093"/>
        <bgColor indexed="64"/>
      </patternFill>
    </fill>
    <fill>
      <patternFill patternType="solid">
        <fgColor rgb="FF521B93"/>
        <bgColor indexed="64"/>
      </patternFill>
    </fill>
    <fill>
      <patternFill patternType="solid">
        <fgColor theme="8" tint="-0.249977111117893"/>
        <bgColor indexed="64"/>
      </patternFill>
    </fill>
    <fill>
      <patternFill patternType="solid">
        <fgColor rgb="FF009193"/>
        <bgColor indexed="64"/>
      </patternFill>
    </fill>
    <fill>
      <patternFill patternType="solid">
        <fgColor theme="0"/>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s>
  <borders count="25">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double">
        <color auto="1"/>
      </left>
      <right/>
      <top style="double">
        <color auto="1"/>
      </top>
      <bottom/>
      <diagonal/>
    </border>
    <border>
      <left/>
      <right style="double">
        <color auto="1"/>
      </right>
      <top style="double">
        <color auto="1"/>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right style="double">
        <color auto="1"/>
      </right>
      <top/>
      <bottom/>
      <diagonal/>
    </border>
    <border>
      <left/>
      <right style="double">
        <color auto="1"/>
      </right>
      <top/>
      <bottom style="double">
        <color auto="1"/>
      </bottom>
      <diagonal/>
    </border>
    <border>
      <left style="double">
        <color auto="1"/>
      </left>
      <right style="double">
        <color auto="1"/>
      </right>
      <top style="double">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18">
    <xf numFmtId="0" fontId="0" fillId="0" borderId="0"/>
    <xf numFmtId="164" fontId="1"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cellStyleXfs>
  <cellXfs count="113">
    <xf numFmtId="0" fontId="0" fillId="0" borderId="0" xfId="0"/>
    <xf numFmtId="0" fontId="0" fillId="0" borderId="0" xfId="0" applyAlignment="1">
      <alignment horizontal="left" vertical="center"/>
    </xf>
    <xf numFmtId="0" fontId="0" fillId="0" borderId="0" xfId="0" applyFont="1" applyAlignment="1">
      <alignment horizontal="center" vertical="center" readingOrder="1"/>
    </xf>
    <xf numFmtId="0" fontId="0" fillId="9" borderId="0" xfId="0" applyFill="1"/>
    <xf numFmtId="0" fontId="5" fillId="2" borderId="0" xfId="0" applyFont="1" applyFill="1" applyAlignment="1">
      <alignment horizontal="center" vertical="center"/>
    </xf>
    <xf numFmtId="0" fontId="5" fillId="9" borderId="0" xfId="0" applyFont="1" applyFill="1" applyAlignment="1">
      <alignment horizontal="center" vertical="center"/>
    </xf>
    <xf numFmtId="0" fontId="5" fillId="8" borderId="0" xfId="0" applyFont="1" applyFill="1" applyAlignment="1">
      <alignment horizontal="center" vertical="center"/>
    </xf>
    <xf numFmtId="0" fontId="5" fillId="7" borderId="0" xfId="0" applyFont="1" applyFill="1" applyAlignment="1">
      <alignment horizontal="center" vertical="center"/>
    </xf>
    <xf numFmtId="0" fontId="5" fillId="3" borderId="0" xfId="0" applyFont="1" applyFill="1" applyAlignment="1">
      <alignment horizontal="center" vertical="center"/>
    </xf>
    <xf numFmtId="0" fontId="5" fillId="5" borderId="0" xfId="0" applyFont="1" applyFill="1" applyAlignment="1">
      <alignment horizontal="center" vertical="center"/>
    </xf>
    <xf numFmtId="0" fontId="5" fillId="4" borderId="0" xfId="0" applyFont="1" applyFill="1" applyAlignment="1">
      <alignment horizontal="center" vertical="center"/>
    </xf>
    <xf numFmtId="0" fontId="5" fillId="6" borderId="0" xfId="0" applyFont="1" applyFill="1" applyAlignment="1">
      <alignment horizontal="center" vertical="center"/>
    </xf>
    <xf numFmtId="0" fontId="6" fillId="2" borderId="0" xfId="0" applyFont="1" applyFill="1" applyAlignment="1">
      <alignment horizontal="center" vertical="center"/>
    </xf>
    <xf numFmtId="0" fontId="6" fillId="9" borderId="0" xfId="0" applyFont="1" applyFill="1" applyAlignment="1">
      <alignment horizontal="center" vertical="center"/>
    </xf>
    <xf numFmtId="165" fontId="6" fillId="8" borderId="0" xfId="1" applyNumberFormat="1" applyFont="1" applyFill="1" applyAlignment="1">
      <alignment horizontal="center" vertical="center"/>
    </xf>
    <xf numFmtId="0" fontId="6" fillId="8" borderId="0" xfId="0" applyFont="1" applyFill="1" applyAlignment="1">
      <alignment horizontal="center" vertical="center"/>
    </xf>
    <xf numFmtId="0" fontId="6" fillId="7" borderId="0" xfId="0" applyFont="1" applyFill="1" applyAlignment="1">
      <alignment horizontal="center" vertical="center"/>
    </xf>
    <xf numFmtId="0" fontId="6" fillId="3" borderId="0" xfId="0" applyFont="1" applyFill="1" applyAlignment="1">
      <alignment horizontal="center" vertical="center"/>
    </xf>
    <xf numFmtId="0" fontId="6" fillId="5" borderId="0" xfId="0" applyFont="1" applyFill="1" applyAlignment="1">
      <alignment horizontal="center" vertical="center"/>
    </xf>
    <xf numFmtId="0" fontId="6" fillId="4" borderId="0" xfId="0" applyFont="1" applyFill="1" applyAlignment="1">
      <alignment horizontal="center" vertical="center"/>
    </xf>
    <xf numFmtId="0" fontId="6" fillId="6" borderId="0" xfId="0" applyFont="1" applyFill="1" applyAlignment="1">
      <alignment horizontal="center" vertical="center"/>
    </xf>
    <xf numFmtId="0" fontId="0" fillId="0" borderId="1" xfId="0" applyBorder="1"/>
    <xf numFmtId="0" fontId="0" fillId="10" borderId="2" xfId="0" applyFill="1" applyBorder="1"/>
    <xf numFmtId="0" fontId="3" fillId="0" borderId="2" xfId="0" applyFont="1" applyBorder="1" applyAlignment="1">
      <alignment horizontal="center" vertical="center"/>
    </xf>
    <xf numFmtId="0" fontId="3" fillId="10" borderId="2" xfId="0" applyFont="1" applyFill="1" applyBorder="1" applyAlignment="1">
      <alignment horizontal="center" vertical="center"/>
    </xf>
    <xf numFmtId="0" fontId="3" fillId="11" borderId="3" xfId="0" applyFont="1" applyFill="1" applyBorder="1" applyAlignment="1">
      <alignment horizontal="center" vertical="center"/>
    </xf>
    <xf numFmtId="0" fontId="0" fillId="0" borderId="4" xfId="0" applyBorder="1"/>
    <xf numFmtId="0" fontId="0" fillId="10" borderId="0" xfId="0" applyFill="1" applyBorder="1"/>
    <xf numFmtId="0" fontId="0" fillId="0" borderId="0" xfId="0" applyBorder="1" applyAlignment="1">
      <alignment horizontal="center" vertical="center"/>
    </xf>
    <xf numFmtId="165" fontId="0" fillId="0" borderId="0" xfId="1" applyNumberFormat="1" applyFont="1" applyBorder="1" applyAlignment="1">
      <alignment horizontal="center" vertical="center"/>
    </xf>
    <xf numFmtId="0" fontId="0" fillId="11" borderId="5" xfId="0" applyFill="1" applyBorder="1" applyAlignment="1">
      <alignment horizontal="center" vertical="center"/>
    </xf>
    <xf numFmtId="0" fontId="0" fillId="0" borderId="4" xfId="0" applyBorder="1" applyAlignment="1">
      <alignment horizontal="left" vertical="center"/>
    </xf>
    <xf numFmtId="0" fontId="0" fillId="10" borderId="0" xfId="0" applyFill="1" applyBorder="1" applyAlignment="1">
      <alignment horizontal="left" vertical="center"/>
    </xf>
    <xf numFmtId="166" fontId="0" fillId="11" borderId="5" xfId="0" applyNumberFormat="1" applyFill="1" applyBorder="1" applyAlignment="1">
      <alignment horizontal="center" vertical="center"/>
    </xf>
    <xf numFmtId="165" fontId="0" fillId="0" borderId="0" xfId="0" applyNumberFormat="1" applyBorder="1" applyAlignment="1">
      <alignment horizontal="center" vertical="center"/>
    </xf>
    <xf numFmtId="0" fontId="0" fillId="0" borderId="7" xfId="0" applyBorder="1"/>
    <xf numFmtId="0" fontId="0" fillId="0" borderId="8" xfId="0" applyBorder="1"/>
    <xf numFmtId="0" fontId="0" fillId="9" borderId="4" xfId="0" applyFill="1" applyBorder="1"/>
    <xf numFmtId="0" fontId="0" fillId="9" borderId="0" xfId="0" applyFill="1" applyBorder="1"/>
    <xf numFmtId="0" fontId="0" fillId="9" borderId="5" xfId="0" applyFill="1" applyBorder="1"/>
    <xf numFmtId="0" fontId="0" fillId="9" borderId="6" xfId="0" applyFill="1" applyBorder="1"/>
    <xf numFmtId="0" fontId="0" fillId="9" borderId="7" xfId="0" applyFill="1" applyBorder="1"/>
    <xf numFmtId="0" fontId="2" fillId="5" borderId="0" xfId="0" applyFont="1" applyFill="1"/>
    <xf numFmtId="0" fontId="3" fillId="0" borderId="9" xfId="0" applyFont="1" applyBorder="1" applyAlignment="1">
      <alignment horizontal="center" vertical="center"/>
    </xf>
    <xf numFmtId="0" fontId="0" fillId="0" borderId="10" xfId="0" applyBorder="1" applyAlignment="1">
      <alignment vertical="center"/>
    </xf>
    <xf numFmtId="0" fontId="3" fillId="0" borderId="11" xfId="0" applyFont="1" applyBorder="1" applyAlignment="1">
      <alignment horizontal="center" vertical="center"/>
    </xf>
    <xf numFmtId="0" fontId="0" fillId="0" borderId="14" xfId="0" applyBorder="1" applyAlignment="1">
      <alignment vertical="center"/>
    </xf>
    <xf numFmtId="0" fontId="3" fillId="0" borderId="12" xfId="0" applyFont="1" applyBorder="1" applyAlignment="1">
      <alignment horizontal="center" vertical="center"/>
    </xf>
    <xf numFmtId="0" fontId="0" fillId="0" borderId="15" xfId="0" applyBorder="1" applyAlignment="1">
      <alignment vertical="center"/>
    </xf>
    <xf numFmtId="0" fontId="0" fillId="0" borderId="0" xfId="0" applyAlignment="1">
      <alignment vertical="center" wrapText="1"/>
    </xf>
    <xf numFmtId="0" fontId="0" fillId="0" borderId="13" xfId="0" applyBorder="1" applyAlignment="1"/>
    <xf numFmtId="0" fontId="0" fillId="12" borderId="0" xfId="0" applyFill="1" applyAlignment="1">
      <alignment horizontal="left"/>
    </xf>
    <xf numFmtId="0" fontId="0" fillId="0" borderId="9" xfId="0" applyBorder="1" applyAlignment="1">
      <alignment vertical="center"/>
    </xf>
    <xf numFmtId="0" fontId="0" fillId="0" borderId="16" xfId="0" applyBorder="1" applyAlignment="1">
      <alignment vertical="center"/>
    </xf>
    <xf numFmtId="9" fontId="0" fillId="0" borderId="0" xfId="0" applyNumberFormat="1"/>
    <xf numFmtId="10" fontId="0" fillId="0" borderId="0" xfId="0" applyNumberFormat="1"/>
    <xf numFmtId="0" fontId="0" fillId="0" borderId="0" xfId="0" applyBorder="1"/>
    <xf numFmtId="0" fontId="0" fillId="0" borderId="18" xfId="0" applyBorder="1"/>
    <xf numFmtId="0" fontId="0" fillId="0" borderId="21" xfId="0" applyBorder="1"/>
    <xf numFmtId="0" fontId="0" fillId="0" borderId="0" xfId="0" applyAlignment="1">
      <alignment vertical="center"/>
    </xf>
    <xf numFmtId="0" fontId="3" fillId="0" borderId="14" xfId="0" applyFont="1" applyBorder="1" applyAlignment="1">
      <alignment vertical="center"/>
    </xf>
    <xf numFmtId="166" fontId="0" fillId="0" borderId="0" xfId="0" applyNumberFormat="1"/>
    <xf numFmtId="166" fontId="0" fillId="0" borderId="0" xfId="0" applyNumberFormat="1" applyAlignment="1">
      <alignment vertical="center"/>
    </xf>
    <xf numFmtId="0" fontId="0" fillId="0" borderId="0" xfId="0" applyFill="1" applyBorder="1"/>
    <xf numFmtId="166" fontId="0" fillId="0" borderId="0" xfId="0" applyNumberFormat="1" applyBorder="1" applyAlignment="1"/>
    <xf numFmtId="166" fontId="0" fillId="0" borderId="0" xfId="0" applyNumberFormat="1" applyBorder="1"/>
    <xf numFmtId="0" fontId="7" fillId="9" borderId="0" xfId="0" applyFont="1" applyFill="1"/>
    <xf numFmtId="0" fontId="7" fillId="0" borderId="19" xfId="0" applyFont="1" applyBorder="1" applyAlignment="1">
      <alignment horizontal="center" vertical="center"/>
    </xf>
    <xf numFmtId="0" fontId="8" fillId="2" borderId="22" xfId="0" applyFont="1" applyFill="1" applyBorder="1" applyAlignment="1">
      <alignment horizontal="center" vertical="center"/>
    </xf>
    <xf numFmtId="0" fontId="8" fillId="2" borderId="23" xfId="0" applyFont="1" applyFill="1" applyBorder="1" applyAlignment="1">
      <alignment horizontal="center" vertical="center"/>
    </xf>
    <xf numFmtId="0" fontId="8" fillId="2" borderId="24" xfId="0" applyFont="1" applyFill="1" applyBorder="1" applyAlignment="1">
      <alignment horizontal="center" vertical="center"/>
    </xf>
    <xf numFmtId="0" fontId="7" fillId="7" borderId="0" xfId="0" applyFont="1" applyFill="1"/>
    <xf numFmtId="0" fontId="0" fillId="7" borderId="0" xfId="0" applyFill="1"/>
    <xf numFmtId="164" fontId="7" fillId="0" borderId="20" xfId="1" applyFont="1" applyBorder="1" applyAlignment="1">
      <alignment horizontal="center" vertical="center"/>
    </xf>
    <xf numFmtId="164" fontId="7" fillId="0" borderId="17" xfId="1" applyFont="1" applyBorder="1" applyAlignment="1">
      <alignment horizontal="center" vertical="center"/>
    </xf>
    <xf numFmtId="0" fontId="9" fillId="9" borderId="0" xfId="0" applyFont="1" applyFill="1" applyAlignment="1">
      <alignment vertical="center"/>
    </xf>
    <xf numFmtId="0" fontId="8" fillId="2" borderId="0" xfId="0" applyFont="1" applyFill="1" applyAlignment="1">
      <alignment horizontal="center" vertical="center"/>
    </xf>
    <xf numFmtId="0" fontId="0" fillId="0" borderId="0" xfId="0" applyAlignment="1">
      <alignment wrapText="1"/>
    </xf>
    <xf numFmtId="0" fontId="0" fillId="0" borderId="0" xfId="0" applyFont="1" applyAlignment="1">
      <alignment wrapText="1"/>
    </xf>
    <xf numFmtId="0" fontId="0" fillId="0" borderId="0" xfId="0" applyBorder="1" applyAlignment="1">
      <alignment wrapText="1"/>
    </xf>
    <xf numFmtId="0" fontId="13" fillId="0" borderId="0" xfId="0" applyFont="1" applyAlignment="1">
      <alignment wrapText="1"/>
    </xf>
    <xf numFmtId="164" fontId="15" fillId="9" borderId="0" xfId="0" applyNumberFormat="1" applyFont="1" applyFill="1"/>
    <xf numFmtId="0" fontId="18" fillId="0" borderId="0" xfId="0" applyFont="1"/>
    <xf numFmtId="0" fontId="18" fillId="9" borderId="0" xfId="0" applyFont="1" applyFill="1"/>
    <xf numFmtId="0" fontId="18" fillId="9" borderId="0" xfId="0" applyFont="1" applyFill="1" applyAlignment="1">
      <alignment horizontal="center" vertical="center"/>
    </xf>
    <xf numFmtId="0" fontId="7" fillId="13" borderId="0" xfId="0" applyFont="1" applyFill="1" applyAlignment="1">
      <alignment horizontal="center" vertical="center"/>
    </xf>
    <xf numFmtId="0" fontId="7" fillId="11" borderId="0" xfId="0" applyFont="1" applyFill="1" applyAlignment="1">
      <alignment horizontal="center" vertical="center"/>
    </xf>
    <xf numFmtId="0" fontId="7" fillId="14" borderId="0" xfId="0" applyFont="1" applyFill="1" applyAlignment="1">
      <alignment horizontal="center" vertical="center"/>
    </xf>
    <xf numFmtId="0" fontId="7" fillId="14" borderId="0" xfId="0" applyFont="1" applyFill="1" applyAlignment="1">
      <alignment horizontal="left" vertical="center"/>
    </xf>
    <xf numFmtId="0" fontId="3" fillId="0" borderId="0" xfId="0" applyFont="1"/>
    <xf numFmtId="0" fontId="0" fillId="0" borderId="0" xfId="0" applyFill="1" applyAlignment="1">
      <alignment horizontal="left" vertical="center"/>
    </xf>
    <xf numFmtId="164" fontId="19" fillId="0" borderId="0" xfId="0" applyNumberFormat="1" applyFont="1"/>
    <xf numFmtId="0" fontId="19" fillId="0" borderId="0" xfId="0" applyFont="1"/>
    <xf numFmtId="0" fontId="0" fillId="0" borderId="0" xfId="0" applyFill="1"/>
    <xf numFmtId="0" fontId="3" fillId="9" borderId="0" xfId="0" applyFont="1" applyFill="1"/>
    <xf numFmtId="0" fontId="20" fillId="0" borderId="0" xfId="0" applyFont="1"/>
    <xf numFmtId="0" fontId="21" fillId="0" borderId="0" xfId="0" applyFont="1"/>
    <xf numFmtId="0" fontId="17" fillId="9" borderId="0" xfId="0" applyFont="1" applyFill="1" applyAlignment="1">
      <alignment horizontal="center"/>
    </xf>
    <xf numFmtId="0" fontId="14" fillId="9" borderId="0" xfId="0" applyFont="1" applyFill="1" applyAlignment="1">
      <alignment horizontal="center"/>
    </xf>
    <xf numFmtId="0" fontId="3" fillId="9" borderId="0" xfId="0" applyFont="1" applyFill="1" applyAlignment="1">
      <alignment horizontal="center"/>
    </xf>
    <xf numFmtId="0" fontId="0" fillId="9" borderId="0" xfId="0" applyFill="1" applyAlignment="1">
      <alignment horizontal="center"/>
    </xf>
    <xf numFmtId="0" fontId="9" fillId="9" borderId="0" xfId="0" applyFont="1" applyFill="1" applyAlignment="1">
      <alignment horizontal="center" vertical="center"/>
    </xf>
    <xf numFmtId="0" fontId="10" fillId="9" borderId="0" xfId="0" applyFont="1" applyFill="1" applyAlignment="1">
      <alignment horizontal="center" vertical="center"/>
    </xf>
    <xf numFmtId="0" fontId="11" fillId="9" borderId="0" xfId="0" applyFont="1" applyFill="1" applyAlignment="1">
      <alignment horizontal="center" vertical="center"/>
    </xf>
    <xf numFmtId="0" fontId="12" fillId="9" borderId="0" xfId="0" applyFont="1" applyFill="1" applyAlignment="1">
      <alignment horizontal="center" vertical="center"/>
    </xf>
    <xf numFmtId="0" fontId="7" fillId="9" borderId="0" xfId="0" applyFont="1" applyFill="1" applyAlignment="1">
      <alignment horizontal="center" vertical="top" wrapText="1"/>
    </xf>
    <xf numFmtId="0" fontId="7" fillId="9" borderId="0" xfId="0" applyFont="1" applyFill="1" applyAlignment="1">
      <alignment horizontal="center"/>
    </xf>
    <xf numFmtId="0" fontId="0" fillId="0" borderId="20" xfId="0" applyBorder="1" applyAlignment="1">
      <alignment horizontal="center"/>
    </xf>
    <xf numFmtId="0" fontId="0" fillId="0" borderId="17" xfId="0" applyBorder="1" applyAlignment="1">
      <alignment horizontal="center"/>
    </xf>
    <xf numFmtId="0" fontId="0" fillId="0" borderId="19" xfId="0" applyBorder="1" applyAlignment="1">
      <alignment horizontal="center"/>
    </xf>
    <xf numFmtId="0" fontId="0" fillId="0" borderId="13" xfId="0" applyBorder="1" applyAlignment="1">
      <alignment horizontal="center"/>
    </xf>
    <xf numFmtId="0" fontId="7" fillId="9" borderId="0" xfId="0" applyFont="1" applyFill="1" applyAlignment="1">
      <alignment horizontal="center" vertical="center"/>
    </xf>
    <xf numFmtId="0" fontId="7" fillId="9" borderId="0" xfId="0" applyFont="1" applyFill="1" applyAlignment="1"/>
  </cellXfs>
  <cellStyles count="18">
    <cellStyle name="Comma" xfId="1"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Normal" xfId="0" builtinId="0"/>
  </cellStyles>
  <dxfs count="0"/>
  <tableStyles count="0" defaultTableStyle="TableStyleMedium9" defaultPivotStyle="PivotStyleMedium7"/>
  <colors>
    <mruColors>
      <color rgb="FFDF513F"/>
      <color rgb="FF942093"/>
      <color rgb="FF521B93"/>
      <color rgb="FF009193"/>
      <color rgb="FF941100"/>
      <color rgb="FF9416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'u(x)'!$W$3</c:f>
              <c:strCache>
                <c:ptCount val="1"/>
                <c:pt idx="0">
                  <c:v>u(svi)</c:v>
                </c:pt>
              </c:strCache>
            </c:strRef>
          </c:tx>
          <c:spPr>
            <a:ln w="31750" cap="rnd">
              <a:noFill/>
              <a:round/>
            </a:ln>
            <a:effectLst/>
          </c:spPr>
          <c:marker>
            <c:symbol val="circle"/>
            <c:size val="5"/>
            <c:spPr>
              <a:solidFill>
                <a:srgbClr val="521B93"/>
              </a:solidFill>
              <a:ln w="9525">
                <a:solidFill>
                  <a:srgbClr val="521B93"/>
                </a:solidFill>
              </a:ln>
              <a:effectLst/>
            </c:spPr>
          </c:marker>
          <c:trendline>
            <c:spPr>
              <a:ln w="19050" cap="rnd">
                <a:solidFill>
                  <a:schemeClr val="accent1"/>
                </a:solidFill>
                <a:prstDash val="sysDot"/>
              </a:ln>
              <a:effectLst/>
            </c:spPr>
            <c:trendlineType val="log"/>
            <c:dispRSqr val="0"/>
            <c:dispEq val="0"/>
          </c:trendline>
          <c:trendline>
            <c:spPr>
              <a:ln w="19050" cap="rnd">
                <a:solidFill>
                  <a:srgbClr val="521B93"/>
                </a:solidFill>
                <a:prstDash val="sysDot"/>
              </a:ln>
              <a:effectLst/>
            </c:spPr>
            <c:trendlineType val="poly"/>
            <c:order val="2"/>
            <c:dispRSqr val="0"/>
            <c:dispEq val="1"/>
            <c:trendlineLbl>
              <c:layout>
                <c:manualLayout>
                  <c:x val="0.0480293088363954"/>
                  <c:y val="0.39927748614756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'u(x)'!$V$4:$V$8</c:f>
              <c:numCache>
                <c:formatCode>General</c:formatCode>
                <c:ptCount val="5"/>
                <c:pt idx="0">
                  <c:v>125.92</c:v>
                </c:pt>
                <c:pt idx="1">
                  <c:v>50.0</c:v>
                </c:pt>
                <c:pt idx="2">
                  <c:v>10.0</c:v>
                </c:pt>
                <c:pt idx="3">
                  <c:v>-25.0</c:v>
                </c:pt>
                <c:pt idx="4">
                  <c:v>-42.43</c:v>
                </c:pt>
              </c:numCache>
            </c:numRef>
          </c:xVal>
          <c:yVal>
            <c:numRef>
              <c:f>'u(x)'!$W$4:$W$8</c:f>
              <c:numCache>
                <c:formatCode>General</c:formatCode>
                <c:ptCount val="5"/>
                <c:pt idx="0">
                  <c:v>1.0</c:v>
                </c:pt>
                <c:pt idx="1">
                  <c:v>0.75</c:v>
                </c:pt>
                <c:pt idx="2">
                  <c:v>0.5</c:v>
                </c:pt>
                <c:pt idx="3">
                  <c:v>0.25</c:v>
                </c:pt>
                <c:pt idx="4">
                  <c:v>0.0</c:v>
                </c:pt>
              </c:numCache>
            </c:numRef>
          </c:yVal>
          <c:smooth val="0"/>
        </c:ser>
        <c:dLbls>
          <c:showLegendKey val="0"/>
          <c:showVal val="0"/>
          <c:showCatName val="0"/>
          <c:showSerName val="0"/>
          <c:showPercent val="0"/>
          <c:showBubbleSize val="0"/>
        </c:dLbls>
        <c:axId val="2068897240"/>
        <c:axId val="2067869912"/>
      </c:scatterChart>
      <c:valAx>
        <c:axId val="2068897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869912"/>
        <c:crosses val="autoZero"/>
        <c:crossBetween val="midCat"/>
      </c:valAx>
      <c:valAx>
        <c:axId val="2067869912"/>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8972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'u(x)'!$T$3</c:f>
              <c:strCache>
                <c:ptCount val="1"/>
                <c:pt idx="0">
                  <c:v>u(b)</c:v>
                </c:pt>
              </c:strCache>
            </c:strRef>
          </c:tx>
          <c:spPr>
            <a:ln w="31750" cap="rnd">
              <a:noFill/>
              <a:round/>
            </a:ln>
            <a:effectLst/>
          </c:spPr>
          <c:marker>
            <c:symbol val="circle"/>
            <c:size val="5"/>
            <c:spPr>
              <a:solidFill>
                <a:srgbClr val="7030A0"/>
              </a:solidFill>
              <a:ln w="9525">
                <a:solidFill>
                  <a:srgbClr val="7030A0"/>
                </a:solidFill>
              </a:ln>
              <a:effectLst/>
            </c:spPr>
          </c:marker>
          <c:trendline>
            <c:spPr>
              <a:ln w="19050" cap="rnd">
                <a:solidFill>
                  <a:srgbClr val="7030A0"/>
                </a:solidFill>
                <a:prstDash val="sysDot"/>
              </a:ln>
              <a:effectLst/>
            </c:spPr>
            <c:trendlineType val="poly"/>
            <c:order val="2"/>
            <c:dispRSqr val="0"/>
            <c:dispEq val="1"/>
            <c:trendlineLbl>
              <c:layout>
                <c:manualLayout>
                  <c:x val="0.06357895888014"/>
                  <c:y val="-0.48294765237678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'u(x)'!$S$4:$S$8</c:f>
              <c:numCache>
                <c:formatCode>General</c:formatCode>
                <c:ptCount val="5"/>
                <c:pt idx="0">
                  <c:v>499999.0</c:v>
                </c:pt>
                <c:pt idx="1">
                  <c:v>650000.0</c:v>
                </c:pt>
                <c:pt idx="2">
                  <c:v>700000.0</c:v>
                </c:pt>
                <c:pt idx="3">
                  <c:v>1.0E6</c:v>
                </c:pt>
                <c:pt idx="4">
                  <c:v>1.5E6</c:v>
                </c:pt>
              </c:numCache>
            </c:numRef>
          </c:xVal>
          <c:yVal>
            <c:numRef>
              <c:f>'u(x)'!$T$4:$T$8</c:f>
              <c:numCache>
                <c:formatCode>General</c:formatCode>
                <c:ptCount val="5"/>
                <c:pt idx="0">
                  <c:v>1.0</c:v>
                </c:pt>
                <c:pt idx="1">
                  <c:v>0.75</c:v>
                </c:pt>
                <c:pt idx="2">
                  <c:v>0.5</c:v>
                </c:pt>
                <c:pt idx="3">
                  <c:v>0.25</c:v>
                </c:pt>
                <c:pt idx="4">
                  <c:v>0.0</c:v>
                </c:pt>
              </c:numCache>
            </c:numRef>
          </c:yVal>
          <c:smooth val="0"/>
        </c:ser>
        <c:dLbls>
          <c:showLegendKey val="0"/>
          <c:showVal val="0"/>
          <c:showCatName val="0"/>
          <c:showSerName val="0"/>
          <c:showPercent val="0"/>
          <c:showBubbleSize val="0"/>
        </c:dLbls>
        <c:axId val="2045550552"/>
        <c:axId val="2045554200"/>
      </c:scatterChart>
      <c:valAx>
        <c:axId val="2045550552"/>
        <c:scaling>
          <c:orientation val="minMax"/>
          <c:min val="4000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554200"/>
        <c:crosses val="autoZero"/>
        <c:crossBetween val="midCat"/>
      </c:valAx>
      <c:valAx>
        <c:axId val="2045554200"/>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5505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'u(x)'!$Q$3</c:f>
              <c:strCache>
                <c:ptCount val="1"/>
                <c:pt idx="0">
                  <c:v>u(ci)</c:v>
                </c:pt>
              </c:strCache>
            </c:strRef>
          </c:tx>
          <c:spPr>
            <a:ln w="31750" cap="rnd">
              <a:noFill/>
              <a:round/>
            </a:ln>
            <a:effectLst/>
          </c:spPr>
          <c:marker>
            <c:symbol val="circle"/>
            <c:size val="5"/>
            <c:spPr>
              <a:solidFill>
                <a:srgbClr val="942093"/>
              </a:solidFill>
              <a:ln w="9525">
                <a:solidFill>
                  <a:srgbClr val="942093"/>
                </a:solidFill>
              </a:ln>
              <a:effectLst/>
            </c:spPr>
          </c:marker>
          <c:trendline>
            <c:spPr>
              <a:ln w="19050" cap="rnd">
                <a:solidFill>
                  <a:srgbClr val="942093"/>
                </a:solidFill>
                <a:prstDash val="sysDot"/>
              </a:ln>
              <a:effectLst/>
            </c:spPr>
            <c:trendlineType val="poly"/>
            <c:order val="2"/>
            <c:dispRSqr val="0"/>
            <c:dispEq val="1"/>
            <c:trendlineLbl>
              <c:layout>
                <c:manualLayout>
                  <c:x val="-0.288616360454943"/>
                  <c:y val="0.0412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'u(x)'!$P$4:$P$8</c:f>
              <c:numCache>
                <c:formatCode>General</c:formatCode>
                <c:ptCount val="5"/>
                <c:pt idx="0">
                  <c:v>2.0</c:v>
                </c:pt>
                <c:pt idx="1">
                  <c:v>1.75</c:v>
                </c:pt>
                <c:pt idx="2">
                  <c:v>1.5</c:v>
                </c:pt>
                <c:pt idx="3">
                  <c:v>1.0</c:v>
                </c:pt>
                <c:pt idx="4">
                  <c:v>0.0</c:v>
                </c:pt>
              </c:numCache>
            </c:numRef>
          </c:xVal>
          <c:yVal>
            <c:numRef>
              <c:f>'u(x)'!$Q$4:$Q$8</c:f>
              <c:numCache>
                <c:formatCode>General</c:formatCode>
                <c:ptCount val="5"/>
                <c:pt idx="0">
                  <c:v>1.0</c:v>
                </c:pt>
                <c:pt idx="1">
                  <c:v>0.75</c:v>
                </c:pt>
                <c:pt idx="2">
                  <c:v>0.5</c:v>
                </c:pt>
                <c:pt idx="3">
                  <c:v>0.25</c:v>
                </c:pt>
                <c:pt idx="4">
                  <c:v>0.0</c:v>
                </c:pt>
              </c:numCache>
            </c:numRef>
          </c:yVal>
          <c:smooth val="0"/>
        </c:ser>
        <c:dLbls>
          <c:showLegendKey val="0"/>
          <c:showVal val="0"/>
          <c:showCatName val="0"/>
          <c:showSerName val="0"/>
          <c:showPercent val="0"/>
          <c:showBubbleSize val="0"/>
        </c:dLbls>
        <c:axId val="2045591448"/>
        <c:axId val="2045595096"/>
      </c:scatterChart>
      <c:valAx>
        <c:axId val="2045591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595096"/>
        <c:crosses val="autoZero"/>
        <c:crossBetween val="midCat"/>
      </c:valAx>
      <c:valAx>
        <c:axId val="2045595096"/>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5914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'u(x)'!$N$3</c:f>
              <c:strCache>
                <c:ptCount val="1"/>
                <c:pt idx="0">
                  <c:v>u(t)</c:v>
                </c:pt>
              </c:strCache>
            </c:strRef>
          </c:tx>
          <c:spPr>
            <a:ln w="31750" cap="rnd">
              <a:noFill/>
              <a:round/>
            </a:ln>
            <a:effectLst/>
          </c:spPr>
          <c:marker>
            <c:symbol val="circle"/>
            <c:size val="5"/>
            <c:spPr>
              <a:solidFill>
                <a:srgbClr val="941651"/>
              </a:solidFill>
              <a:ln w="9525">
                <a:solidFill>
                  <a:srgbClr val="941651"/>
                </a:solidFill>
              </a:ln>
              <a:effectLst/>
            </c:spPr>
          </c:marker>
          <c:trendline>
            <c:spPr>
              <a:ln w="19050" cap="rnd">
                <a:solidFill>
                  <a:srgbClr val="941651"/>
                </a:solidFill>
                <a:prstDash val="sysDot"/>
              </a:ln>
              <a:effectLst/>
            </c:spPr>
            <c:trendlineType val="log"/>
            <c:dispRSqr val="0"/>
            <c:dispEq val="1"/>
            <c:trendlineLbl>
              <c:layout>
                <c:manualLayout>
                  <c:x val="0.0964645669291338"/>
                  <c:y val="-0.4043135753864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'u(x)'!$M$4:$M$8</c:f>
              <c:numCache>
                <c:formatCode>General</c:formatCode>
                <c:ptCount val="5"/>
                <c:pt idx="0">
                  <c:v>3.0</c:v>
                </c:pt>
                <c:pt idx="1">
                  <c:v>5.0</c:v>
                </c:pt>
                <c:pt idx="2">
                  <c:v>7.0</c:v>
                </c:pt>
                <c:pt idx="3">
                  <c:v>12.0</c:v>
                </c:pt>
                <c:pt idx="4">
                  <c:v>24.0</c:v>
                </c:pt>
              </c:numCache>
            </c:numRef>
          </c:xVal>
          <c:yVal>
            <c:numRef>
              <c:f>'u(x)'!$N$4:$N$8</c:f>
              <c:numCache>
                <c:formatCode>General</c:formatCode>
                <c:ptCount val="5"/>
                <c:pt idx="0">
                  <c:v>1.0</c:v>
                </c:pt>
                <c:pt idx="1">
                  <c:v>0.75</c:v>
                </c:pt>
                <c:pt idx="2">
                  <c:v>0.5</c:v>
                </c:pt>
                <c:pt idx="3">
                  <c:v>0.25</c:v>
                </c:pt>
                <c:pt idx="4">
                  <c:v>0.0</c:v>
                </c:pt>
              </c:numCache>
            </c:numRef>
          </c:yVal>
          <c:smooth val="0"/>
        </c:ser>
        <c:dLbls>
          <c:showLegendKey val="0"/>
          <c:showVal val="0"/>
          <c:showCatName val="0"/>
          <c:showSerName val="0"/>
          <c:showPercent val="0"/>
          <c:showBubbleSize val="0"/>
        </c:dLbls>
        <c:axId val="2065943864"/>
        <c:axId val="2065947544"/>
      </c:scatterChart>
      <c:valAx>
        <c:axId val="2065943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947544"/>
        <c:crosses val="autoZero"/>
        <c:crossBetween val="midCat"/>
      </c:valAx>
      <c:valAx>
        <c:axId val="2065947544"/>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9438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'u(x)'!$K$3</c:f>
              <c:strCache>
                <c:ptCount val="1"/>
                <c:pt idx="0">
                  <c:v>u(lf)</c:v>
                </c:pt>
              </c:strCache>
            </c:strRef>
          </c:tx>
          <c:spPr>
            <a:ln w="31750" cap="rnd">
              <a:noFill/>
              <a:round/>
            </a:ln>
            <a:effectLst/>
          </c:spPr>
          <c:marker>
            <c:symbol val="circle"/>
            <c:size val="5"/>
            <c:spPr>
              <a:solidFill>
                <a:schemeClr val="accent5">
                  <a:lumMod val="75000"/>
                </a:schemeClr>
              </a:solidFill>
              <a:ln w="9525">
                <a:solidFill>
                  <a:schemeClr val="accent1"/>
                </a:solidFill>
              </a:ln>
              <a:effectLst/>
            </c:spPr>
          </c:marker>
          <c:trendline>
            <c:spPr>
              <a:ln w="19050" cap="rnd">
                <a:solidFill>
                  <a:schemeClr val="accent5">
                    <a:lumMod val="75000"/>
                  </a:schemeClr>
                </a:solidFill>
                <a:prstDash val="sysDot"/>
              </a:ln>
              <a:effectLst/>
            </c:spPr>
            <c:trendlineType val="poly"/>
            <c:order val="2"/>
            <c:dispRSqr val="0"/>
            <c:dispEq val="1"/>
            <c:trendlineLbl>
              <c:layout>
                <c:manualLayout>
                  <c:x val="-0.0785317038110166"/>
                  <c:y val="-0.0660462918431409"/>
                </c:manualLayout>
              </c:layout>
              <c:numFmt formatCode="#,##0.000000000000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'u(x)'!$J$4:$J$8</c:f>
              <c:numCache>
                <c:formatCode>General</c:formatCode>
                <c:ptCount val="5"/>
                <c:pt idx="0">
                  <c:v>75.0</c:v>
                </c:pt>
                <c:pt idx="1">
                  <c:v>40.0</c:v>
                </c:pt>
                <c:pt idx="2">
                  <c:v>30.0</c:v>
                </c:pt>
                <c:pt idx="3">
                  <c:v>20.0</c:v>
                </c:pt>
                <c:pt idx="4">
                  <c:v>5.0</c:v>
                </c:pt>
              </c:numCache>
            </c:numRef>
          </c:xVal>
          <c:yVal>
            <c:numRef>
              <c:f>'u(x)'!$K$4:$K$8</c:f>
              <c:numCache>
                <c:formatCode>General</c:formatCode>
                <c:ptCount val="5"/>
                <c:pt idx="0">
                  <c:v>1.0</c:v>
                </c:pt>
                <c:pt idx="1">
                  <c:v>0.75</c:v>
                </c:pt>
                <c:pt idx="2">
                  <c:v>0.5</c:v>
                </c:pt>
                <c:pt idx="3">
                  <c:v>0.25</c:v>
                </c:pt>
                <c:pt idx="4">
                  <c:v>0.0</c:v>
                </c:pt>
              </c:numCache>
            </c:numRef>
          </c:yVal>
          <c:smooth val="0"/>
        </c:ser>
        <c:dLbls>
          <c:showLegendKey val="0"/>
          <c:showVal val="0"/>
          <c:showCatName val="0"/>
          <c:showSerName val="0"/>
          <c:showPercent val="0"/>
          <c:showBubbleSize val="0"/>
        </c:dLbls>
        <c:axId val="2066008584"/>
        <c:axId val="2066012280"/>
      </c:scatterChart>
      <c:valAx>
        <c:axId val="2066008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012280"/>
        <c:crosses val="autoZero"/>
        <c:crossBetween val="midCat"/>
      </c:valAx>
      <c:valAx>
        <c:axId val="2066012280"/>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008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'u(x)'!$H$3</c:f>
              <c:strCache>
                <c:ptCount val="1"/>
                <c:pt idx="0">
                  <c:v>u(aa)</c:v>
                </c:pt>
              </c:strCache>
            </c:strRef>
          </c:tx>
          <c:spPr>
            <a:ln w="31750" cap="rnd">
              <a:noFill/>
              <a:round/>
            </a:ln>
            <a:effectLst/>
          </c:spPr>
          <c:marker>
            <c:symbol val="circle"/>
            <c:size val="5"/>
            <c:spPr>
              <a:solidFill>
                <a:srgbClr val="009193"/>
              </a:solidFill>
              <a:ln w="9525">
                <a:solidFill>
                  <a:schemeClr val="accent1"/>
                </a:solidFill>
              </a:ln>
              <a:effectLst/>
            </c:spPr>
          </c:marker>
          <c:trendline>
            <c:spPr>
              <a:ln w="19050" cap="rnd">
                <a:solidFill>
                  <a:srgbClr val="009193"/>
                </a:solidFill>
                <a:prstDash val="sysDot"/>
              </a:ln>
              <a:effectLst/>
            </c:spPr>
            <c:trendlineType val="poly"/>
            <c:order val="2"/>
            <c:dispRSqr val="0"/>
            <c:dispEq val="1"/>
            <c:trendlineLbl>
              <c:layout>
                <c:manualLayout>
                  <c:x val="0.0205150918635171"/>
                  <c:y val="0.2912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'u(x)'!$G$4:$G$8</c:f>
              <c:numCache>
                <c:formatCode>_(* #,##0_);_(* \(#,##0\);_(* "-"??_);_(@_)</c:formatCode>
                <c:ptCount val="5"/>
                <c:pt idx="0">
                  <c:v>4.4521E7</c:v>
                </c:pt>
                <c:pt idx="1">
                  <c:v>2.0E7</c:v>
                </c:pt>
                <c:pt idx="2">
                  <c:v>1.0E7</c:v>
                </c:pt>
                <c:pt idx="3">
                  <c:v>5.0E6</c:v>
                </c:pt>
                <c:pt idx="4" formatCode="General">
                  <c:v>1.0</c:v>
                </c:pt>
              </c:numCache>
            </c:numRef>
          </c:xVal>
          <c:yVal>
            <c:numRef>
              <c:f>'u(x)'!$H$4:$H$8</c:f>
              <c:numCache>
                <c:formatCode>General</c:formatCode>
                <c:ptCount val="5"/>
                <c:pt idx="0">
                  <c:v>1.0</c:v>
                </c:pt>
                <c:pt idx="1">
                  <c:v>0.75</c:v>
                </c:pt>
                <c:pt idx="2">
                  <c:v>0.5</c:v>
                </c:pt>
                <c:pt idx="3">
                  <c:v>0.25</c:v>
                </c:pt>
                <c:pt idx="4">
                  <c:v>0.0</c:v>
                </c:pt>
              </c:numCache>
            </c:numRef>
          </c:yVal>
          <c:smooth val="0"/>
        </c:ser>
        <c:dLbls>
          <c:showLegendKey val="0"/>
          <c:showVal val="0"/>
          <c:showCatName val="0"/>
          <c:showSerName val="0"/>
          <c:showPercent val="0"/>
          <c:showBubbleSize val="0"/>
        </c:dLbls>
        <c:axId val="2066050072"/>
        <c:axId val="2066053544"/>
      </c:scatterChart>
      <c:valAx>
        <c:axId val="2066050072"/>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053544"/>
        <c:crosses val="autoZero"/>
        <c:crossBetween val="midCat"/>
      </c:valAx>
      <c:valAx>
        <c:axId val="2066053544"/>
        <c:scaling>
          <c:orientation val="minMax"/>
          <c:max val="1.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0500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'u(x)'!$E$3</c:f>
              <c:strCache>
                <c:ptCount val="1"/>
                <c:pt idx="0">
                  <c:v>u(pa)</c:v>
                </c:pt>
              </c:strCache>
            </c:strRef>
          </c:tx>
          <c:spPr>
            <a:ln w="317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1"/>
            <c:trendlineLbl>
              <c:layout>
                <c:manualLayout>
                  <c:x val="-0.0100627804279383"/>
                  <c:y val="-0.0877730986906273"/>
                </c:manualLayout>
              </c:layout>
              <c:numFmt formatCode="#,##0.000000000000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'u(x)'!$D$4:$D$8</c:f>
              <c:numCache>
                <c:formatCode>General</c:formatCode>
                <c:ptCount val="5"/>
                <c:pt idx="0">
                  <c:v>6648.0</c:v>
                </c:pt>
                <c:pt idx="1">
                  <c:v>5900.0</c:v>
                </c:pt>
                <c:pt idx="2">
                  <c:v>4200.0</c:v>
                </c:pt>
                <c:pt idx="3">
                  <c:v>2500.0</c:v>
                </c:pt>
                <c:pt idx="4">
                  <c:v>1954.0</c:v>
                </c:pt>
              </c:numCache>
            </c:numRef>
          </c:xVal>
          <c:yVal>
            <c:numRef>
              <c:f>'u(x)'!$E$4:$E$8</c:f>
              <c:numCache>
                <c:formatCode>General</c:formatCode>
                <c:ptCount val="5"/>
                <c:pt idx="0">
                  <c:v>1.0</c:v>
                </c:pt>
                <c:pt idx="1">
                  <c:v>0.75</c:v>
                </c:pt>
                <c:pt idx="2">
                  <c:v>0.5</c:v>
                </c:pt>
                <c:pt idx="3">
                  <c:v>0.25</c:v>
                </c:pt>
                <c:pt idx="4">
                  <c:v>0.0</c:v>
                </c:pt>
              </c:numCache>
            </c:numRef>
          </c:yVal>
          <c:smooth val="0"/>
        </c:ser>
        <c:dLbls>
          <c:showLegendKey val="0"/>
          <c:showVal val="0"/>
          <c:showCatName val="0"/>
          <c:showSerName val="0"/>
          <c:showPercent val="0"/>
          <c:showBubbleSize val="0"/>
        </c:dLbls>
        <c:axId val="2066091016"/>
        <c:axId val="2066094696"/>
      </c:scatterChart>
      <c:valAx>
        <c:axId val="2066091016"/>
        <c:scaling>
          <c:orientation val="minMax"/>
          <c:min val="15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094696"/>
        <c:crosses val="autoZero"/>
        <c:crossBetween val="midCat"/>
        <c:minorUnit val="200.0"/>
      </c:valAx>
      <c:valAx>
        <c:axId val="2066094696"/>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0910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1" Type="http://schemas.openxmlformats.org/officeDocument/2006/relationships/chart" Target="../charts/chart1.xml"/><Relationship Id="rId2"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1/relationships/webextension" Target="../webextensions/webextension1.xml"/><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12</xdr:col>
      <xdr:colOff>393700</xdr:colOff>
      <xdr:row>6</xdr:row>
      <xdr:rowOff>58389</xdr:rowOff>
    </xdr:from>
    <xdr:to>
      <xdr:col>22</xdr:col>
      <xdr:colOff>165100</xdr:colOff>
      <xdr:row>30</xdr:row>
      <xdr:rowOff>101600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2192000" y="1277589"/>
          <a:ext cx="8026400" cy="857761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88900</xdr:colOff>
      <xdr:row>40</xdr:row>
      <xdr:rowOff>0</xdr:rowOff>
    </xdr:from>
    <xdr:to>
      <xdr:col>15</xdr:col>
      <xdr:colOff>800100</xdr:colOff>
      <xdr:row>54</xdr:row>
      <xdr:rowOff>69850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742950</xdr:colOff>
      <xdr:row>25</xdr:row>
      <xdr:rowOff>31750</xdr:rowOff>
    </xdr:from>
    <xdr:to>
      <xdr:col>23</xdr:col>
      <xdr:colOff>25400</xdr:colOff>
      <xdr:row>39</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82550</xdr:colOff>
      <xdr:row>25</xdr:row>
      <xdr:rowOff>31750</xdr:rowOff>
    </xdr:from>
    <xdr:to>
      <xdr:col>15</xdr:col>
      <xdr:colOff>774700</xdr:colOff>
      <xdr:row>40</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184150</xdr:colOff>
      <xdr:row>24</xdr:row>
      <xdr:rowOff>184150</xdr:rowOff>
    </xdr:from>
    <xdr:to>
      <xdr:col>9</xdr:col>
      <xdr:colOff>139700</xdr:colOff>
      <xdr:row>39</xdr:row>
      <xdr:rowOff>177800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730250</xdr:colOff>
      <xdr:row>9</xdr:row>
      <xdr:rowOff>196850</xdr:rowOff>
    </xdr:from>
    <xdr:to>
      <xdr:col>23</xdr:col>
      <xdr:colOff>38100</xdr:colOff>
      <xdr:row>25</xdr:row>
      <xdr:rowOff>38100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196850</xdr:colOff>
      <xdr:row>10</xdr:row>
      <xdr:rowOff>0</xdr:rowOff>
    </xdr:from>
    <xdr:to>
      <xdr:col>15</xdr:col>
      <xdr:colOff>762000</xdr:colOff>
      <xdr:row>25</xdr:row>
      <xdr:rowOff>12700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196850</xdr:colOff>
      <xdr:row>10</xdr:row>
      <xdr:rowOff>0</xdr:rowOff>
    </xdr:from>
    <xdr:to>
      <xdr:col>9</xdr:col>
      <xdr:colOff>190500</xdr:colOff>
      <xdr:row>24</xdr:row>
      <xdr:rowOff>190500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22</xdr:col>
      <xdr:colOff>25400</xdr:colOff>
      <xdr:row>46</xdr:row>
      <xdr:rowOff>101600</xdr:rowOff>
    </xdr:from>
    <xdr:to>
      <xdr:col>23</xdr:col>
      <xdr:colOff>317500</xdr:colOff>
      <xdr:row>49</xdr:row>
      <xdr:rowOff>184150</xdr:rowOff>
    </xdr:to>
    <mc:AlternateContent xmlns:mc="http://schemas.openxmlformats.org/markup-compatibility/2006">
      <mc:Choice xmlns:we="http://schemas.microsoft.com/office/webextensions/webextension/2010/11" xmlns="" Requires="we">
        <xdr:graphicFrame macro="">
          <xdr:nvGraphicFramePr>
            <xdr:cNvPr id="2" name="Add-in 1"/>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2" name="Add-in 1"/>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2.xml"/></Relationships>
</file>

<file path=xl/webextensions/_rels/webextension1.xml.rels><?xml version="1.0" encoding="UTF-8" standalone="yes"?>
<Relationships xmlns="http://schemas.openxmlformats.org/package/2006/relationships"><Relationship Id="rId1" Type="http://schemas.openxmlformats.org/officeDocument/2006/relationships/image" Target="../media/image20.png"/></Relationships>
</file>

<file path=xl/webextensions/taskpanes.xml><?xml version="1.0" encoding="utf-8"?>
<wetp:taskpanes xmlns:wetp="http://schemas.microsoft.com/office/webextensions/taskpanes/2010/11">
  <wetp:taskpane dockstate="right" visibility="0" width="350" row="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8F2FB017-9D98-AE4E-B8DB-338E7156091C}">
  <we:reference id="wa104379169" version="1.5.0.0" store="en-US" storeType="OMEX"/>
  <we:alternateReferences>
    <we:reference id="WA104379169" version="1.5.0.0" store="WA104379169" storeType="OMEX"/>
  </we:alternateReferences>
  <we:properties/>
  <we:bindings/>
  <we:snapshot xmlns:r="http://schemas.openxmlformats.org/officeDocument/2006/relationships" r:embed="rId1"/>
</we:webextension>
</file>

<file path=xl/webextensions/webextension2.xml><?xml version="1.0" encoding="utf-8"?>
<we:webextension xmlns:we="http://schemas.microsoft.com/office/webextensions/webextension/2010/11" id="{060116C2-49C8-8640-B759-79B701580C08}">
  <we:reference id="wa104100404" version="2.0.0.0" store="en-US" storeType="OMEX"/>
  <we:alternateReferences>
    <we:reference id="WA104100404" version="2.0.0.0" store="WA104100404" storeType="OMEX"/>
  </we:alternateReferences>
  <we:properties>
    <we:property name="UniqueID" value="&quot;20161131480743979354&quot;"/>
    <we:property name="ACIcV0MCDFEHZzsOMg==" value="&quot;&quot;"/>
    <we:property name="ACIcV0MCDFEHZwcDNC9VCBYpBlU=" value="&quot;Dh4v&quot;"/>
    <we:property name="ACIcV0MCDFEHZzkNIBRZFA==" value="&quot;eA==&quot;"/>
    <we:property name="ACIcV0MCDFEHZwcDNC9VCBYiDVU=" value="&quot;eA==&quot;"/>
    <we:property name="ACIcV0MCDFEHZwcDNC9VCBY8Glc=" value="&quot;eWJYAgFUXQM=&quot;"/>
    <we:property name="ACIcV0MCDFEHZwcDNC9VCBY/C14=" value="&quot;eA==&quot;"/>
    <we:property name="ACIcV0MCDFEHZwcDNC9VCBY+BEo=" value="&quot;eQ==&quot;"/>
    <we:property name="ACIcV0MCDFEHZwcDNC9VCBY4B14=" value="&quot;eWJYAw==&quot;"/>
    <we:property name="ACIcV0MCDFEHZwcDNC9VCBYvHlU=" value="&quot;eWJYAgFV&quot;"/>
    <we:property name="ACIcV0MCDFEHZwcDNC9VCBYhG14=" value="&quot;eQ==&quot;"/>
    <we:property name="ACIcV0MCDFEHZwcDNC9VCBY/G0g=" value="&quot;eHxY&quot;"/>
    <we:property name="ACIcV0MCDFEHZwcDNC9VCBY+G1Y=" value="&quot;eQ==&quot;"/>
    <we:property name="ACIcV0MCDFEHZwcDNC9VCBYhGkY=" value="&quot;eWJYBQQ=&quot;"/>
    <we:property name="ACIcV0MCDFEHZwcDNC9VCBYhBls=" value="&quot;enw=&quot;"/>
    <we:property name="ACIcV0MCDFEHZwcDNC9VCBY+CkQ=" value="&quot;eA==&quot;"/>
    <we:property name="ACIcV0MCDFEHZwcDNC9VCBYiHEA=" value="&quot;ew==&quot;"/>
    <we:property name="ACIcV0MCDFEHZwcDNC9VCBYtC1E=" value="&quot;eWJYAgA=&quot;"/>
    <we:property name="ACIcV0MCDFEHZwcDNC9VCBY+DUE=" value="&quot;fA==&quot;"/>
    <we:property name="ACIcV0MCDFEHZwcDNC9VCBYtGkE=" value="&quot;eA==&quot;"/>
    <we:property name="ACIcV0MCDFEHZwcDNC9VCBY/HFM=" value="&quot;eQ==&quot;"/>
    <we:property name="ACIcV0MCDFEHZwcDNC9VCBYhDUY=" value="&quot;ew==&quot;"/>
    <we:property name="ACIcV0MCDFEHZwcDNC9VCBY/B1E=" value="&quot;eQ==&quot;"/>
    <we:property name="ACIcV0MCDFEHZwcDNC9VCBYgGEY=" value="&quot;eQ==&quot;"/>
    <we:property name="ACIcV0MCDFEHZwcDNC9VCBYgGEI=" value="&quot;eQ==&quot;"/>
    <we:property name="ACIcV0MCDFEHZwcDNC9VCBYrCUI=" value="&quot;eWJYAgFUXQM=&quot;"/>
    <we:property name="ACIcV0MCDFEHZwcDNC9VCBYlGEE=" value="&quot;eWJRCw==&quot;"/>
    <we:property name="ACIcV0MCDFEHZwcDNC9VCBYqDVM=" value="&quot;eWJYAgFUXQM=&quot;"/>
    <we:property name="ACIcV0MCDFEHZwcDNC9VCBYlGFs=" value="&quot;eA==&quot;"/>
    <we:property name="ACIcV0MCDFEHZwcDNC9VCBYlGFY=" value="&quot;eg==&quot;"/>
  </we:properties>
  <we:bindings>
    <we:binding id="Worker" type="matrix" appref="{29096FE2-DB67-1942-B4FF-161C8D294048}"/>
    <we:binding id="ObjSelect" type="matrix" appref="{B118F860-3E9D-E340-BD58-A3F6811B1A76}"/>
    <we:binding id="VarSelect" type="matrix" appref="{AE8E8742-9E3E-6B4D-AAFC-D1ED953370C0}"/>
    <we:binding id="LHS" type="matrix" appref="{DC671F36-E9AB-E64F-9294-3501729D9FFE}"/>
    <we:binding id="RHS" type="matrix" appref="{9CC1BF67-3CE5-134A-B900-A4FD37E1FF48}"/>
    <we:binding id="VarEdit" type="matrix" appref="{F6755396-1B1D-2744-BE97-516255D8A159}"/>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34"/>
  <sheetViews>
    <sheetView tabSelected="1" topLeftCell="A21" zoomScale="85" zoomScaleNormal="85" zoomScalePageLayoutView="85" workbookViewId="0">
      <selection activeCell="A47" sqref="A47:D52"/>
    </sheetView>
  </sheetViews>
  <sheetFormatPr baseColWidth="10" defaultColWidth="11" defaultRowHeight="15" x14ac:dyDescent="0"/>
  <cols>
    <col min="1" max="1" width="14.33203125" customWidth="1"/>
    <col min="2" max="2" width="3.5" style="3" customWidth="1"/>
    <col min="3" max="3" width="21.33203125" customWidth="1"/>
    <col min="4" max="4" width="26.6640625" customWidth="1"/>
    <col min="5" max="5" width="4.5" style="3" customWidth="1"/>
    <col min="6" max="6" width="13.1640625" style="3" bestFit="1" customWidth="1"/>
    <col min="7" max="7" width="11.83203125" customWidth="1"/>
    <col min="8" max="8" width="23.5" customWidth="1"/>
    <col min="9" max="11" width="7" customWidth="1"/>
    <col min="12" max="13" width="11" style="3"/>
  </cols>
  <sheetData>
    <row r="1" spans="2:22" s="3" customFormat="1"/>
    <row r="2" spans="2:22" s="3" customFormat="1">
      <c r="B2" s="101" t="s">
        <v>120</v>
      </c>
      <c r="C2" s="101"/>
      <c r="D2" s="101"/>
      <c r="E2" s="101"/>
      <c r="F2" s="101"/>
      <c r="G2" s="101"/>
      <c r="H2" s="101"/>
      <c r="I2" s="101"/>
      <c r="J2" s="101"/>
      <c r="K2" s="101"/>
      <c r="L2" s="101"/>
      <c r="N2" s="97" t="s">
        <v>129</v>
      </c>
      <c r="O2" s="98"/>
      <c r="P2" s="98"/>
      <c r="Q2" s="98"/>
      <c r="R2" s="98"/>
      <c r="S2" s="98"/>
      <c r="T2" s="98"/>
      <c r="U2" s="98"/>
      <c r="V2" s="98"/>
    </row>
    <row r="3" spans="2:22" s="3" customFormat="1">
      <c r="B3" s="101"/>
      <c r="C3" s="101"/>
      <c r="D3" s="101"/>
      <c r="E3" s="101"/>
      <c r="F3" s="101"/>
      <c r="G3" s="101"/>
      <c r="H3" s="101"/>
      <c r="I3" s="101"/>
      <c r="J3" s="101"/>
      <c r="K3" s="101"/>
      <c r="L3" s="101"/>
      <c r="N3" s="98"/>
      <c r="O3" s="98"/>
      <c r="P3" s="98"/>
      <c r="Q3" s="98"/>
      <c r="R3" s="98"/>
      <c r="S3" s="98"/>
      <c r="T3" s="98"/>
      <c r="U3" s="98"/>
      <c r="V3" s="98"/>
    </row>
    <row r="4" spans="2:22" s="3" customFormat="1">
      <c r="B4" s="101"/>
      <c r="C4" s="101"/>
      <c r="D4" s="101"/>
      <c r="E4" s="101"/>
      <c r="F4" s="101"/>
      <c r="G4" s="101"/>
      <c r="H4" s="101"/>
      <c r="I4" s="101"/>
      <c r="J4" s="101"/>
      <c r="K4" s="101"/>
      <c r="L4" s="101"/>
      <c r="N4" s="98"/>
      <c r="O4" s="98"/>
      <c r="P4" s="98"/>
      <c r="Q4" s="98"/>
      <c r="R4" s="98"/>
      <c r="S4" s="98"/>
      <c r="T4" s="98"/>
      <c r="U4" s="98"/>
      <c r="V4" s="98"/>
    </row>
    <row r="5" spans="2:22" s="3" customFormat="1">
      <c r="B5" s="101"/>
      <c r="C5" s="101"/>
      <c r="D5" s="101"/>
      <c r="E5" s="101"/>
      <c r="F5" s="101"/>
      <c r="G5" s="101"/>
      <c r="H5" s="101"/>
      <c r="I5" s="101"/>
      <c r="J5" s="101"/>
      <c r="K5" s="101"/>
      <c r="L5" s="101"/>
      <c r="N5" s="98"/>
      <c r="O5" s="98"/>
      <c r="P5" s="98"/>
      <c r="Q5" s="98"/>
      <c r="R5" s="98"/>
      <c r="S5" s="98"/>
      <c r="T5" s="98"/>
      <c r="U5" s="98"/>
      <c r="V5" s="98"/>
    </row>
    <row r="6" spans="2:22" s="3" customFormat="1">
      <c r="B6" s="101"/>
      <c r="C6" s="101"/>
      <c r="D6" s="101"/>
      <c r="E6" s="101"/>
      <c r="F6" s="101"/>
      <c r="G6" s="101"/>
      <c r="H6" s="101"/>
      <c r="I6" s="101"/>
      <c r="J6" s="101"/>
      <c r="K6" s="101"/>
      <c r="L6" s="101"/>
      <c r="N6" s="98"/>
      <c r="O6" s="98"/>
      <c r="P6" s="98"/>
      <c r="Q6" s="98"/>
      <c r="R6" s="98"/>
      <c r="S6" s="98"/>
      <c r="T6" s="98"/>
      <c r="U6" s="98"/>
      <c r="V6" s="98"/>
    </row>
    <row r="7" spans="2:22" s="3" customFormat="1">
      <c r="B7" s="101"/>
      <c r="C7" s="101"/>
      <c r="D7" s="101"/>
      <c r="E7" s="101"/>
      <c r="F7" s="101"/>
      <c r="G7" s="101"/>
      <c r="H7" s="101"/>
      <c r="I7" s="101"/>
      <c r="J7" s="101"/>
      <c r="K7" s="101"/>
      <c r="L7" s="101"/>
    </row>
    <row r="8" spans="2:22" s="3" customFormat="1">
      <c r="B8" s="101"/>
      <c r="C8" s="101"/>
      <c r="D8" s="101"/>
      <c r="E8" s="101"/>
      <c r="F8" s="101"/>
      <c r="G8" s="101"/>
      <c r="H8" s="101"/>
      <c r="I8" s="101"/>
      <c r="J8" s="101"/>
      <c r="K8" s="101"/>
      <c r="L8" s="101"/>
    </row>
    <row r="9" spans="2:22" s="3" customFormat="1" ht="45">
      <c r="B9" s="75"/>
      <c r="C9" s="102" t="s">
        <v>128</v>
      </c>
      <c r="D9" s="102"/>
      <c r="E9" s="102"/>
      <c r="F9" s="102"/>
      <c r="G9" s="102"/>
      <c r="H9" s="102"/>
      <c r="I9" s="102"/>
      <c r="J9" s="102"/>
      <c r="K9" s="102"/>
      <c r="L9" s="102"/>
    </row>
    <row r="10" spans="2:22" s="3" customFormat="1" ht="45">
      <c r="B10" s="75"/>
      <c r="C10" s="75"/>
      <c r="D10" s="75"/>
      <c r="E10" s="75"/>
      <c r="F10" s="75"/>
      <c r="G10" s="75"/>
      <c r="H10" s="75"/>
      <c r="I10" s="75"/>
      <c r="J10" s="75"/>
      <c r="K10" s="75"/>
      <c r="L10" s="75"/>
    </row>
    <row r="11" spans="2:22" s="3" customFormat="1" ht="45">
      <c r="B11" s="75"/>
      <c r="C11" s="75"/>
      <c r="D11" s="75"/>
      <c r="E11" s="75"/>
      <c r="F11" s="75"/>
      <c r="G11" s="75"/>
      <c r="H11" s="75"/>
      <c r="I11" s="75"/>
      <c r="J11" s="75"/>
      <c r="K11" s="75"/>
      <c r="L11" s="75"/>
    </row>
    <row r="12" spans="2:22" s="3" customFormat="1" ht="18">
      <c r="C12" s="66"/>
      <c r="D12" s="66"/>
      <c r="E12" s="66"/>
      <c r="F12" s="66"/>
      <c r="G12" s="66"/>
      <c r="H12" s="66"/>
      <c r="I12" s="66"/>
      <c r="J12" s="66"/>
      <c r="K12" s="66"/>
      <c r="L12" s="66"/>
    </row>
    <row r="13" spans="2:22" s="3" customFormat="1" ht="18">
      <c r="C13" s="66"/>
      <c r="D13" s="66"/>
      <c r="E13" s="66"/>
      <c r="F13" s="66"/>
      <c r="G13" s="66"/>
      <c r="H13" s="66"/>
      <c r="I13" s="66"/>
      <c r="J13" s="66"/>
      <c r="K13" s="66"/>
      <c r="L13" s="66"/>
    </row>
    <row r="14" spans="2:22" s="3" customFormat="1" ht="18">
      <c r="C14" s="66"/>
      <c r="D14" s="66"/>
      <c r="E14" s="66"/>
      <c r="F14" s="66"/>
      <c r="G14" s="103"/>
      <c r="H14" s="103"/>
      <c r="I14" s="103"/>
      <c r="J14" s="103"/>
      <c r="K14" s="103"/>
      <c r="L14" s="66"/>
    </row>
    <row r="15" spans="2:22" s="3" customFormat="1" ht="18">
      <c r="C15" s="66"/>
      <c r="D15" s="66"/>
      <c r="E15" s="66"/>
      <c r="F15" s="66"/>
      <c r="G15" s="103"/>
      <c r="H15" s="103"/>
      <c r="I15" s="103"/>
      <c r="J15" s="103"/>
      <c r="K15" s="103"/>
      <c r="L15" s="66"/>
    </row>
    <row r="16" spans="2:22" s="3" customFormat="1" ht="9" customHeight="1">
      <c r="B16" s="72"/>
      <c r="C16" s="71"/>
      <c r="D16" s="71"/>
      <c r="E16" s="71"/>
      <c r="F16" s="66"/>
      <c r="G16" s="103"/>
      <c r="H16" s="103"/>
      <c r="I16" s="103"/>
      <c r="J16" s="103"/>
      <c r="K16" s="103"/>
      <c r="L16" s="66"/>
    </row>
    <row r="17" spans="1:25" ht="31" customHeight="1">
      <c r="A17" s="3"/>
      <c r="B17" s="72"/>
      <c r="C17" s="68" t="s">
        <v>88</v>
      </c>
      <c r="D17" s="73" t="s">
        <v>23</v>
      </c>
      <c r="E17" s="71"/>
      <c r="F17" s="66"/>
      <c r="G17" s="82" t="s">
        <v>130</v>
      </c>
      <c r="H17" s="82"/>
      <c r="I17" s="83"/>
      <c r="J17" s="66"/>
      <c r="K17" s="66"/>
      <c r="L17" s="66"/>
      <c r="W17" s="3"/>
      <c r="X17" s="3"/>
      <c r="Y17" s="3"/>
    </row>
    <row r="18" spans="1:25" ht="36" customHeight="1">
      <c r="A18" s="3"/>
      <c r="B18" s="72"/>
      <c r="C18" s="69" t="s">
        <v>26</v>
      </c>
      <c r="D18" s="74">
        <v>6000</v>
      </c>
      <c r="E18" s="71"/>
      <c r="F18" s="81">
        <f>D18*9</f>
        <v>54000</v>
      </c>
      <c r="G18" s="84">
        <v>8</v>
      </c>
      <c r="H18" s="85" t="str">
        <f>VLOOKUP(MAX(interface!G15:G20),interface!G15:H20,2,0)</f>
        <v>CERT</v>
      </c>
      <c r="I18" s="111"/>
      <c r="J18" s="111"/>
      <c r="K18" s="111"/>
      <c r="L18" s="66"/>
      <c r="W18" s="3"/>
      <c r="X18" s="3"/>
      <c r="Y18" s="3"/>
    </row>
    <row r="19" spans="1:25" ht="36" customHeight="1">
      <c r="A19" s="3"/>
      <c r="B19" s="72"/>
      <c r="C19" s="70" t="s">
        <v>114</v>
      </c>
      <c r="D19" s="67">
        <v>5</v>
      </c>
      <c r="E19" s="71"/>
      <c r="F19" s="66"/>
      <c r="G19" s="84">
        <v>7</v>
      </c>
      <c r="H19" s="85" t="str">
        <f>VLOOKUP(MAX(interface!G21:G26),interface!G21:H26,2,0)</f>
        <v>CERT</v>
      </c>
      <c r="I19" s="111"/>
      <c r="J19" s="111"/>
      <c r="K19" s="111"/>
      <c r="L19" s="66"/>
      <c r="W19" s="3"/>
      <c r="X19" s="3"/>
      <c r="Y19" s="3"/>
    </row>
    <row r="20" spans="1:25" ht="36" customHeight="1">
      <c r="A20" s="3"/>
      <c r="C20" s="66"/>
      <c r="D20" s="66"/>
      <c r="E20" s="66"/>
      <c r="F20" s="66"/>
      <c r="G20" s="84">
        <v>6</v>
      </c>
      <c r="H20" s="85" t="str">
        <f>VLOOKUP(MAX(interface!G27:G32),interface!G27:H32,2,0)</f>
        <v>CERT</v>
      </c>
      <c r="I20" s="111"/>
      <c r="J20" s="111"/>
      <c r="K20" s="111"/>
      <c r="L20" s="66"/>
      <c r="W20" s="3"/>
      <c r="X20" s="3"/>
      <c r="Y20" s="3"/>
    </row>
    <row r="21" spans="1:25" ht="36" customHeight="1">
      <c r="A21" s="3"/>
      <c r="C21" s="66"/>
      <c r="D21" s="66"/>
      <c r="E21" s="66"/>
      <c r="F21" s="66"/>
      <c r="G21" s="84">
        <v>5</v>
      </c>
      <c r="H21" s="85" t="str">
        <f>VLOOKUP(MAX(interface!G33:G38),interface!G33:H38,2,0)</f>
        <v>CERT</v>
      </c>
      <c r="I21" s="111"/>
      <c r="J21" s="111"/>
      <c r="K21" s="111"/>
      <c r="L21" s="66"/>
      <c r="W21" s="3"/>
      <c r="X21" s="3"/>
      <c r="Y21" s="3"/>
    </row>
    <row r="22" spans="1:25" ht="36" customHeight="1">
      <c r="A22" s="3"/>
      <c r="C22" s="66"/>
      <c r="D22" s="66"/>
      <c r="E22" s="66"/>
      <c r="F22" s="66"/>
      <c r="G22" s="84">
        <v>4</v>
      </c>
      <c r="H22" s="86" t="str">
        <f>VLOOKUP(MAX(interface!G39:G44),interface!G39:H44,2,0)</f>
        <v>Deploy emerg T</v>
      </c>
      <c r="I22" s="111"/>
      <c r="J22" s="111"/>
      <c r="K22" s="3"/>
      <c r="L22" s="66"/>
      <c r="W22" s="3"/>
      <c r="X22" s="3"/>
      <c r="Y22" s="3"/>
    </row>
    <row r="23" spans="1:25" ht="36" customHeight="1">
      <c r="A23" s="3"/>
      <c r="C23" s="66"/>
      <c r="D23" s="66"/>
      <c r="E23" s="66"/>
      <c r="F23" s="66"/>
      <c r="G23" s="84">
        <v>3</v>
      </c>
      <c r="H23" s="86" t="str">
        <f>VLOOKUP(MAX(interface!G45:G50),interface!G45:H50,2,0)</f>
        <v>CERT</v>
      </c>
      <c r="I23" s="111"/>
      <c r="J23" s="3"/>
      <c r="K23" s="111"/>
      <c r="L23" s="66"/>
      <c r="W23" s="3"/>
      <c r="X23" s="3"/>
      <c r="Y23" s="3"/>
    </row>
    <row r="24" spans="1:25" ht="36" customHeight="1">
      <c r="A24" s="3"/>
      <c r="C24" s="104" t="s">
        <v>118</v>
      </c>
      <c r="D24" s="104"/>
      <c r="E24" s="66"/>
      <c r="F24" s="66"/>
      <c r="G24" s="84">
        <v>2</v>
      </c>
      <c r="H24" s="87" t="str">
        <f>VLOOKUP(MAX(interface!G51:G56),interface!G51:H56,2,0)</f>
        <v>CERT</v>
      </c>
      <c r="I24" s="3"/>
      <c r="J24" s="111"/>
      <c r="K24" s="111"/>
      <c r="L24" s="66"/>
      <c r="W24" s="3"/>
      <c r="X24" s="3"/>
      <c r="Y24" s="3"/>
    </row>
    <row r="25" spans="1:25" ht="36" customHeight="1">
      <c r="A25" s="3"/>
      <c r="C25" s="76" t="s">
        <v>70</v>
      </c>
      <c r="D25" s="105" t="str">
        <f>VLOOKUP(C25,menu!D2:E7,2,0)</f>
        <v xml:space="preserve">A specific type of floodgate, designed to prevent a storm surge or spring tide from flooding the protected area behind the barrier. </v>
      </c>
      <c r="E25" s="105"/>
      <c r="F25" s="66"/>
      <c r="G25" s="84">
        <v>1</v>
      </c>
      <c r="H25" s="88" t="str">
        <f>VLOOKUP(MAX(interface!G57:G62),interface!G57:H62,2,0)</f>
        <v>Deploy emerg T</v>
      </c>
      <c r="I25" s="111"/>
      <c r="J25" s="111"/>
      <c r="K25" s="111"/>
      <c r="L25" s="66"/>
      <c r="W25" s="3"/>
      <c r="X25" s="3"/>
      <c r="Y25" s="3"/>
    </row>
    <row r="26" spans="1:25" s="3" customFormat="1" ht="18">
      <c r="C26" s="66"/>
      <c r="D26" s="105"/>
      <c r="E26" s="105"/>
      <c r="F26" s="66"/>
      <c r="G26" s="106" t="s">
        <v>121</v>
      </c>
      <c r="H26" s="106"/>
      <c r="I26" s="112"/>
      <c r="J26" s="112"/>
      <c r="K26" s="112"/>
      <c r="L26" s="66"/>
    </row>
    <row r="27" spans="1:25" s="3" customFormat="1" ht="18">
      <c r="C27"/>
      <c r="D27" s="105"/>
      <c r="E27" s="105"/>
      <c r="F27" s="66"/>
      <c r="G27" s="66"/>
      <c r="H27" s="66"/>
      <c r="I27" s="66"/>
      <c r="J27" s="66"/>
      <c r="K27" s="66"/>
      <c r="L27" s="66"/>
    </row>
    <row r="28" spans="1:25" s="3" customFormat="1" ht="18">
      <c r="C28" s="66"/>
      <c r="D28" s="105"/>
      <c r="E28" s="105"/>
      <c r="F28" s="66"/>
      <c r="G28" s="66"/>
      <c r="H28" s="66"/>
      <c r="I28" s="66"/>
      <c r="J28" s="66"/>
      <c r="K28" s="66"/>
      <c r="L28" s="66"/>
    </row>
    <row r="29" spans="1:25" s="3" customFormat="1" ht="18">
      <c r="C29" s="66"/>
      <c r="D29" s="105"/>
      <c r="E29" s="105"/>
    </row>
    <row r="30" spans="1:25" s="3" customFormat="1" ht="18">
      <c r="C30" s="66"/>
      <c r="D30" s="105"/>
      <c r="E30" s="105"/>
    </row>
    <row r="31" spans="1:25" s="3" customFormat="1" ht="18">
      <c r="C31" s="66"/>
      <c r="D31" s="105"/>
      <c r="E31" s="105"/>
    </row>
    <row r="32" spans="1:25" s="3" customFormat="1">
      <c r="D32" s="105"/>
      <c r="E32" s="105"/>
    </row>
    <row r="33" spans="1:22" s="3" customFormat="1">
      <c r="D33" s="105"/>
      <c r="E33" s="105"/>
    </row>
    <row r="34" spans="1:22" s="3" customFormat="1">
      <c r="D34" s="105"/>
      <c r="E34" s="105"/>
    </row>
    <row r="35" spans="1:22" s="3" customFormat="1">
      <c r="D35" s="105"/>
      <c r="E35" s="105"/>
    </row>
    <row r="36" spans="1:22" s="3" customFormat="1">
      <c r="D36" s="105"/>
      <c r="E36" s="105"/>
    </row>
    <row r="37" spans="1:22" s="3" customFormat="1">
      <c r="D37" s="105"/>
      <c r="E37" s="105"/>
    </row>
    <row r="38" spans="1:22" s="3" customFormat="1">
      <c r="D38" s="105"/>
      <c r="E38" s="105"/>
      <c r="N38" s="99" t="s">
        <v>119</v>
      </c>
      <c r="O38" s="100"/>
      <c r="P38" s="100"/>
      <c r="Q38" s="100"/>
      <c r="R38" s="100"/>
      <c r="S38" s="100"/>
      <c r="T38" s="100"/>
      <c r="U38" s="100"/>
      <c r="V38" s="100"/>
    </row>
    <row r="39" spans="1:22" s="3" customFormat="1">
      <c r="D39" s="105"/>
      <c r="E39" s="105"/>
    </row>
    <row r="40" spans="1:22" s="3" customFormat="1">
      <c r="D40" s="105"/>
      <c r="E40" s="105"/>
    </row>
    <row r="41" spans="1:22" s="3" customFormat="1"/>
    <row r="42" spans="1:22" s="3" customFormat="1">
      <c r="E42" s="94" t="s">
        <v>137</v>
      </c>
    </row>
    <row r="43" spans="1:22" s="3" customFormat="1"/>
    <row r="44" spans="1:22" s="3" customFormat="1"/>
    <row r="45" spans="1:22" s="3" customFormat="1"/>
    <row r="46" spans="1:22" s="3" customFormat="1"/>
    <row r="47" spans="1:22" s="3" customFormat="1">
      <c r="A47" s="100"/>
      <c r="B47" s="100"/>
      <c r="C47" s="100"/>
      <c r="D47" s="100"/>
    </row>
    <row r="48" spans="1:22" s="3" customFormat="1">
      <c r="A48" s="100"/>
      <c r="B48" s="100"/>
      <c r="C48" s="100"/>
      <c r="D48" s="100"/>
    </row>
    <row r="49" spans="1:4" s="3" customFormat="1">
      <c r="A49" s="100"/>
      <c r="B49" s="100"/>
      <c r="C49" s="100"/>
      <c r="D49" s="100"/>
    </row>
    <row r="50" spans="1:4" s="3" customFormat="1">
      <c r="A50" s="100"/>
      <c r="B50" s="100"/>
      <c r="C50" s="100"/>
      <c r="D50" s="100"/>
    </row>
    <row r="51" spans="1:4" s="3" customFormat="1">
      <c r="A51" s="100"/>
      <c r="B51" s="100"/>
      <c r="C51" s="100"/>
      <c r="D51" s="100"/>
    </row>
    <row r="52" spans="1:4" s="3" customFormat="1">
      <c r="A52" s="100"/>
      <c r="B52" s="100"/>
      <c r="C52" s="100"/>
      <c r="D52" s="100"/>
    </row>
    <row r="53" spans="1:4" s="3" customFormat="1"/>
    <row r="54" spans="1:4" s="3" customFormat="1"/>
    <row r="55" spans="1:4" s="3" customFormat="1"/>
    <row r="56" spans="1:4" s="3" customFormat="1"/>
    <row r="57" spans="1:4" s="3" customFormat="1"/>
    <row r="58" spans="1:4" s="3" customFormat="1"/>
    <row r="59" spans="1:4" s="3" customFormat="1"/>
    <row r="60" spans="1:4" s="3" customFormat="1"/>
    <row r="61" spans="1:4" s="3" customFormat="1"/>
    <row r="62" spans="1:4" s="3" customFormat="1"/>
    <row r="63" spans="1:4" s="3" customFormat="1"/>
    <row r="64" spans="1:4" s="3" customFormat="1"/>
    <row r="65" s="3" customFormat="1"/>
    <row r="66" s="3" customFormat="1"/>
    <row r="67" s="3" customFormat="1"/>
    <row r="68" s="3" customFormat="1"/>
    <row r="69" s="3" customFormat="1"/>
    <row r="70" s="3" customFormat="1"/>
    <row r="71" s="3" customFormat="1"/>
    <row r="72" s="3" customFormat="1"/>
    <row r="73" s="3" customFormat="1"/>
    <row r="74" s="3" customFormat="1"/>
    <row r="75" s="3" customFormat="1"/>
    <row r="76" s="3" customFormat="1"/>
    <row r="77" s="3" customFormat="1"/>
    <row r="78" s="3" customFormat="1"/>
    <row r="79" s="3" customFormat="1"/>
    <row r="80" s="3" customFormat="1"/>
    <row r="81" s="3" customFormat="1"/>
    <row r="82" s="3" customFormat="1"/>
    <row r="83" s="3" customFormat="1"/>
    <row r="84" s="3" customFormat="1"/>
    <row r="85" s="3" customFormat="1"/>
    <row r="86" s="3" customFormat="1"/>
    <row r="87" s="3" customFormat="1"/>
    <row r="88" s="3" customFormat="1"/>
    <row r="89" s="3" customFormat="1"/>
    <row r="90" s="3" customFormat="1"/>
    <row r="91" s="3" customFormat="1"/>
    <row r="92" s="3" customFormat="1"/>
    <row r="93" s="3" customFormat="1"/>
    <row r="94" s="3" customFormat="1"/>
    <row r="95" s="3" customFormat="1"/>
    <row r="96" s="3" customFormat="1"/>
    <row r="97" s="3" customFormat="1"/>
    <row r="98" s="3" customFormat="1"/>
    <row r="99" s="3" customFormat="1"/>
    <row r="100" s="3" customFormat="1"/>
    <row r="101" s="3" customFormat="1"/>
    <row r="102" s="3" customFormat="1"/>
    <row r="103" s="3" customFormat="1"/>
    <row r="104" s="3" customFormat="1"/>
    <row r="105" s="3" customFormat="1"/>
    <row r="106" s="3" customFormat="1"/>
    <row r="107" s="3" customFormat="1"/>
    <row r="108" s="3" customFormat="1"/>
    <row r="109" s="3" customFormat="1"/>
    <row r="110" s="3" customFormat="1"/>
    <row r="111" s="3" customFormat="1"/>
    <row r="112" s="3" customFormat="1"/>
    <row r="113" s="3" customFormat="1"/>
    <row r="114" s="3" customFormat="1"/>
    <row r="115" s="3" customFormat="1"/>
    <row r="116" s="3" customFormat="1"/>
    <row r="117" s="3" customFormat="1"/>
    <row r="118" s="3" customFormat="1"/>
    <row r="119" s="3" customFormat="1"/>
    <row r="120" s="3" customFormat="1"/>
    <row r="121" s="3" customFormat="1"/>
    <row r="122" s="3" customFormat="1"/>
    <row r="123" s="3" customFormat="1"/>
    <row r="124" s="3" customFormat="1"/>
    <row r="125" s="3" customFormat="1"/>
    <row r="126" s="3" customFormat="1"/>
    <row r="127" s="3" customFormat="1"/>
    <row r="128" s="3" customFormat="1"/>
    <row r="129" s="3" customFormat="1"/>
    <row r="130" s="3" customFormat="1"/>
    <row r="131" s="3" customFormat="1"/>
    <row r="132" s="3" customFormat="1"/>
    <row r="133" s="3" customFormat="1"/>
    <row r="134" s="3" customFormat="1"/>
    <row r="135" s="3" customFormat="1"/>
    <row r="136" s="3" customFormat="1"/>
    <row r="137" s="3" customFormat="1"/>
    <row r="138" s="3" customFormat="1"/>
    <row r="139" s="3" customFormat="1"/>
    <row r="140" s="3" customFormat="1"/>
    <row r="141" s="3" customFormat="1"/>
    <row r="142" s="3" customFormat="1"/>
    <row r="143" s="3" customFormat="1"/>
    <row r="144" s="3" customFormat="1"/>
    <row r="145" s="3" customFormat="1"/>
    <row r="146" s="3" customFormat="1"/>
    <row r="147" s="3" customFormat="1"/>
    <row r="148" s="3" customFormat="1"/>
    <row r="149" s="3" customFormat="1"/>
    <row r="150" s="3" customFormat="1"/>
    <row r="151" s="3" customFormat="1"/>
    <row r="152" s="3" customFormat="1"/>
    <row r="153" s="3" customFormat="1"/>
    <row r="154" s="3" customFormat="1"/>
    <row r="155" s="3" customFormat="1"/>
    <row r="156" s="3" customFormat="1"/>
    <row r="157" s="3" customFormat="1"/>
    <row r="158" s="3" customFormat="1"/>
    <row r="159" s="3" customFormat="1"/>
    <row r="160" s="3" customFormat="1"/>
    <row r="161" s="3" customFormat="1"/>
    <row r="162" s="3" customFormat="1"/>
    <row r="163" s="3" customFormat="1"/>
    <row r="164" s="3" customFormat="1"/>
    <row r="165" s="3" customFormat="1"/>
    <row r="166" s="3" customFormat="1"/>
    <row r="167" s="3" customFormat="1"/>
    <row r="168" s="3" customFormat="1"/>
    <row r="169" s="3" customFormat="1"/>
    <row r="170" s="3" customFormat="1"/>
    <row r="171" s="3" customFormat="1"/>
    <row r="172" s="3" customFormat="1"/>
    <row r="173" s="3" customFormat="1"/>
    <row r="174" s="3" customFormat="1"/>
    <row r="175" s="3" customFormat="1"/>
    <row r="176" s="3" customFormat="1"/>
    <row r="177" s="3" customFormat="1"/>
    <row r="178" s="3" customFormat="1"/>
    <row r="179" s="3" customFormat="1"/>
    <row r="180" s="3" customFormat="1"/>
    <row r="181" s="3" customFormat="1"/>
    <row r="182" s="3" customFormat="1"/>
    <row r="183" s="3" customFormat="1"/>
    <row r="184" s="3" customFormat="1"/>
    <row r="185" s="3" customFormat="1"/>
    <row r="186" s="3" customFormat="1"/>
    <row r="187" s="3" customFormat="1"/>
    <row r="188" s="3" customFormat="1"/>
    <row r="189" s="3" customFormat="1"/>
    <row r="190" s="3" customFormat="1"/>
    <row r="191" s="3" customFormat="1"/>
    <row r="192" s="3" customFormat="1"/>
    <row r="193" s="3" customFormat="1"/>
    <row r="194" s="3" customFormat="1"/>
    <row r="195" s="3" customFormat="1"/>
    <row r="196" s="3" customFormat="1"/>
    <row r="197" s="3" customFormat="1"/>
    <row r="198" s="3" customFormat="1"/>
    <row r="199" s="3" customFormat="1"/>
    <row r="200" s="3" customFormat="1"/>
    <row r="201" s="3" customFormat="1"/>
    <row r="202" s="3" customFormat="1"/>
    <row r="203" s="3" customFormat="1"/>
    <row r="204" s="3" customFormat="1"/>
    <row r="205" s="3" customFormat="1"/>
    <row r="206" s="3" customFormat="1"/>
    <row r="207" s="3" customFormat="1"/>
    <row r="208" s="3" customFormat="1"/>
    <row r="209" s="3" customFormat="1"/>
    <row r="210" s="3" customFormat="1"/>
    <row r="211" s="3" customFormat="1"/>
    <row r="212" s="3" customFormat="1"/>
    <row r="213" s="3" customFormat="1"/>
    <row r="214" s="3" customFormat="1"/>
    <row r="215" s="3" customFormat="1"/>
    <row r="216" s="3" customFormat="1"/>
    <row r="217" s="3" customFormat="1"/>
    <row r="218" s="3" customFormat="1"/>
    <row r="219" s="3" customFormat="1"/>
    <row r="220" s="3" customFormat="1"/>
    <row r="221" s="3" customFormat="1"/>
    <row r="222" s="3" customFormat="1"/>
    <row r="223" s="3" customFormat="1"/>
    <row r="224" s="3" customFormat="1"/>
    <row r="225" s="3" customFormat="1"/>
    <row r="226" s="3" customFormat="1"/>
    <row r="227" s="3" customFormat="1"/>
    <row r="228" s="3" customFormat="1"/>
    <row r="229" s="3" customFormat="1"/>
    <row r="230" s="3" customFormat="1"/>
    <row r="231" s="3" customFormat="1"/>
    <row r="232" s="3" customFormat="1"/>
    <row r="233" s="3" customFormat="1"/>
    <row r="234" s="3" customFormat="1"/>
  </sheetData>
  <dataConsolidate/>
  <mergeCells count="9">
    <mergeCell ref="A47:D52"/>
    <mergeCell ref="N2:V6"/>
    <mergeCell ref="N38:V38"/>
    <mergeCell ref="B2:L8"/>
    <mergeCell ref="C9:L9"/>
    <mergeCell ref="G14:K16"/>
    <mergeCell ref="C24:D24"/>
    <mergeCell ref="D25:E40"/>
    <mergeCell ref="G26:H26"/>
  </mergeCells>
  <phoneticPr fontId="16" type="noConversion"/>
  <dataValidations count="2">
    <dataValidation type="whole" allowBlank="1" showInputMessage="1" showErrorMessage="1" errorTitle="too much time" error="The action time is between 1 and 24 hours " prompt="Time matters " sqref="D19">
      <formula1>1</formula1>
      <formula2>24</formula2>
    </dataValidation>
    <dataValidation type="whole" allowBlank="1" showInputMessage="1" showErrorMessage="1" sqref="D18">
      <formula1>1</formula1>
      <formula2>7000</formula2>
    </dataValidation>
  </dataValidations>
  <pageMargins left="0.7" right="0.7" top="0.75" bottom="0.75" header="0.3" footer="0.3"/>
  <pageSetup orientation="portrait"/>
  <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menu!$A$2:$A$8</xm:f>
          </x14:formula1>
          <xm:sqref>D17</xm:sqref>
        </x14:dataValidation>
        <x14:dataValidation type="list" allowBlank="1" showInputMessage="1" showErrorMessage="1">
          <x14:formula1>
            <xm:f>menu!$B$2:$B$9</xm:f>
          </x14:formula1>
          <xm:sqref>D20</xm:sqref>
        </x14:dataValidation>
        <x14:dataValidation type="list" allowBlank="1" showInputMessage="1" showErrorMessage="1">
          <x14:formula1>
            <xm:f>menu!$D$2:$D$7</xm:f>
          </x14:formula1>
          <xm:sqref>C25</xm:sqref>
        </x14:dataValidation>
      </x14:dataValidations>
    </ex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L150"/>
  <sheetViews>
    <sheetView topLeftCell="A4" workbookViewId="0">
      <selection activeCell="G6" sqref="G6"/>
    </sheetView>
  </sheetViews>
  <sheetFormatPr baseColWidth="10" defaultColWidth="8.83203125" defaultRowHeight="15" x14ac:dyDescent="0"/>
  <cols>
    <col min="6" max="6" width="12.6640625" customWidth="1"/>
    <col min="8" max="8" width="9.1640625" bestFit="1" customWidth="1"/>
  </cols>
  <sheetData>
    <row r="2" spans="4:11">
      <c r="D2" t="s">
        <v>89</v>
      </c>
    </row>
    <row r="4" spans="4:11">
      <c r="E4" t="s">
        <v>16</v>
      </c>
      <c r="F4" t="s">
        <v>17</v>
      </c>
      <c r="G4" t="s">
        <v>18</v>
      </c>
      <c r="H4" t="s">
        <v>20</v>
      </c>
      <c r="I4" t="s">
        <v>21</v>
      </c>
      <c r="J4" t="s">
        <v>22</v>
      </c>
      <c r="K4" t="s">
        <v>23</v>
      </c>
    </row>
    <row r="5" spans="4:11">
      <c r="D5" t="s">
        <v>59</v>
      </c>
      <c r="E5">
        <v>23000</v>
      </c>
      <c r="F5">
        <v>1123000</v>
      </c>
      <c r="G5">
        <v>675000</v>
      </c>
      <c r="H5">
        <v>44521000</v>
      </c>
      <c r="I5">
        <v>305000</v>
      </c>
      <c r="J5">
        <v>2424000</v>
      </c>
      <c r="K5">
        <v>2869000</v>
      </c>
    </row>
    <row r="7" spans="4:11">
      <c r="E7" t="s">
        <v>16</v>
      </c>
      <c r="F7" t="s">
        <v>17</v>
      </c>
      <c r="G7" t="s">
        <v>18</v>
      </c>
      <c r="H7" t="s">
        <v>20</v>
      </c>
      <c r="I7" t="s">
        <v>21</v>
      </c>
      <c r="J7" t="s">
        <v>22</v>
      </c>
      <c r="K7" t="s">
        <v>23</v>
      </c>
    </row>
    <row r="8" spans="4:11">
      <c r="D8" t="s">
        <v>60</v>
      </c>
      <c r="E8">
        <v>0</v>
      </c>
      <c r="F8">
        <v>16</v>
      </c>
      <c r="G8">
        <v>26</v>
      </c>
      <c r="H8">
        <v>4</v>
      </c>
      <c r="I8">
        <v>4</v>
      </c>
      <c r="J8">
        <v>21</v>
      </c>
      <c r="K8">
        <v>75</v>
      </c>
    </row>
    <row r="10" spans="4:11">
      <c r="E10" t="s">
        <v>16</v>
      </c>
      <c r="F10" t="s">
        <v>17</v>
      </c>
      <c r="G10" t="s">
        <v>18</v>
      </c>
      <c r="H10" t="s">
        <v>20</v>
      </c>
      <c r="I10" t="s">
        <v>21</v>
      </c>
      <c r="J10" t="s">
        <v>22</v>
      </c>
      <c r="K10" t="s">
        <v>23</v>
      </c>
    </row>
    <row r="11" spans="4:11">
      <c r="D11" t="s">
        <v>62</v>
      </c>
      <c r="E11">
        <v>0</v>
      </c>
      <c r="F11">
        <v>0</v>
      </c>
      <c r="G11">
        <v>1</v>
      </c>
      <c r="H11">
        <v>1</v>
      </c>
      <c r="I11">
        <v>1</v>
      </c>
      <c r="J11">
        <v>0</v>
      </c>
      <c r="K11">
        <v>2</v>
      </c>
    </row>
    <row r="14" spans="4:11">
      <c r="E14" t="s">
        <v>16</v>
      </c>
      <c r="F14" t="s">
        <v>17</v>
      </c>
      <c r="G14" t="s">
        <v>18</v>
      </c>
      <c r="H14" t="s">
        <v>20</v>
      </c>
      <c r="I14" t="s">
        <v>21</v>
      </c>
      <c r="J14" t="s">
        <v>22</v>
      </c>
      <c r="K14" t="s">
        <v>23</v>
      </c>
    </row>
    <row r="15" spans="4:11">
      <c r="D15" t="s">
        <v>63</v>
      </c>
      <c r="E15">
        <v>1500000</v>
      </c>
      <c r="F15">
        <v>1300000</v>
      </c>
      <c r="G15">
        <v>1500000</v>
      </c>
      <c r="H15">
        <v>1500000</v>
      </c>
      <c r="I15">
        <v>1400000</v>
      </c>
      <c r="J15">
        <v>1500000</v>
      </c>
      <c r="K15">
        <v>1300000</v>
      </c>
    </row>
    <row r="17" spans="4:12">
      <c r="E17" t="s">
        <v>16</v>
      </c>
      <c r="F17" t="s">
        <v>17</v>
      </c>
      <c r="G17" t="s">
        <v>18</v>
      </c>
      <c r="H17" t="s">
        <v>20</v>
      </c>
      <c r="I17" t="s">
        <v>21</v>
      </c>
      <c r="J17" t="s">
        <v>22</v>
      </c>
      <c r="K17" t="s">
        <v>23</v>
      </c>
    </row>
    <row r="18" spans="4:12">
      <c r="D18" t="s">
        <v>64</v>
      </c>
      <c r="E18">
        <v>-15.88</v>
      </c>
      <c r="F18">
        <v>-15.88</v>
      </c>
      <c r="G18">
        <v>-4.05</v>
      </c>
      <c r="H18">
        <v>57.92</v>
      </c>
      <c r="I18">
        <v>-17.52</v>
      </c>
      <c r="J18">
        <v>-20.66</v>
      </c>
      <c r="K18">
        <v>-28.21</v>
      </c>
    </row>
    <row r="22" spans="4:12">
      <c r="D22" t="s">
        <v>90</v>
      </c>
    </row>
    <row r="24" spans="4:12">
      <c r="E24" t="s">
        <v>16</v>
      </c>
      <c r="F24" t="s">
        <v>17</v>
      </c>
      <c r="G24" t="s">
        <v>18</v>
      </c>
      <c r="H24" t="s">
        <v>20</v>
      </c>
      <c r="I24" t="s">
        <v>21</v>
      </c>
      <c r="J24" t="s">
        <v>22</v>
      </c>
      <c r="K24" t="s">
        <v>23</v>
      </c>
      <c r="L24" t="s">
        <v>23</v>
      </c>
    </row>
    <row r="25" spans="4:12">
      <c r="D25" t="s">
        <v>59</v>
      </c>
      <c r="E25">
        <v>12000</v>
      </c>
      <c r="F25">
        <v>892000</v>
      </c>
      <c r="G25">
        <v>598000</v>
      </c>
      <c r="H25">
        <v>36023000</v>
      </c>
      <c r="I25">
        <v>250000</v>
      </c>
      <c r="J25">
        <v>2013000</v>
      </c>
      <c r="K25">
        <v>2428000</v>
      </c>
      <c r="L25">
        <v>2428000</v>
      </c>
    </row>
    <row r="27" spans="4:12">
      <c r="E27" t="s">
        <v>16</v>
      </c>
      <c r="F27" t="s">
        <v>17</v>
      </c>
      <c r="G27" t="s">
        <v>18</v>
      </c>
      <c r="H27" t="s">
        <v>20</v>
      </c>
      <c r="I27" t="s">
        <v>21</v>
      </c>
      <c r="J27" t="s">
        <v>22</v>
      </c>
      <c r="K27" t="s">
        <v>23</v>
      </c>
      <c r="L27" t="s">
        <v>23</v>
      </c>
    </row>
    <row r="28" spans="4:12">
      <c r="D28" t="s">
        <v>60</v>
      </c>
      <c r="E28">
        <v>0</v>
      </c>
      <c r="F28">
        <v>8</v>
      </c>
      <c r="G28">
        <v>26</v>
      </c>
      <c r="H28">
        <v>4</v>
      </c>
      <c r="I28">
        <v>4</v>
      </c>
      <c r="J28">
        <v>21</v>
      </c>
      <c r="K28">
        <v>75</v>
      </c>
      <c r="L28">
        <v>75</v>
      </c>
    </row>
    <row r="30" spans="4:12">
      <c r="E30" t="s">
        <v>16</v>
      </c>
      <c r="F30" t="s">
        <v>17</v>
      </c>
      <c r="G30" t="s">
        <v>18</v>
      </c>
      <c r="H30" t="s">
        <v>20</v>
      </c>
      <c r="I30" t="s">
        <v>21</v>
      </c>
      <c r="J30" t="s">
        <v>22</v>
      </c>
      <c r="K30" t="s">
        <v>23</v>
      </c>
      <c r="L30" t="s">
        <v>23</v>
      </c>
    </row>
    <row r="31" spans="4:12">
      <c r="D31" t="s">
        <v>62</v>
      </c>
      <c r="E31">
        <v>0</v>
      </c>
      <c r="F31">
        <v>0</v>
      </c>
      <c r="G31">
        <v>1</v>
      </c>
      <c r="H31">
        <v>1</v>
      </c>
      <c r="I31">
        <v>1</v>
      </c>
      <c r="J31">
        <v>0</v>
      </c>
      <c r="K31">
        <v>2</v>
      </c>
      <c r="L31">
        <v>2</v>
      </c>
    </row>
    <row r="34" spans="4:12">
      <c r="E34" t="s">
        <v>16</v>
      </c>
      <c r="F34" t="s">
        <v>17</v>
      </c>
      <c r="G34" t="s">
        <v>18</v>
      </c>
      <c r="H34" t="s">
        <v>20</v>
      </c>
      <c r="I34" t="s">
        <v>21</v>
      </c>
      <c r="J34" t="s">
        <v>22</v>
      </c>
      <c r="K34" t="s">
        <v>23</v>
      </c>
      <c r="L34" t="s">
        <v>23</v>
      </c>
    </row>
    <row r="35" spans="4:12">
      <c r="D35" t="s">
        <v>63</v>
      </c>
      <c r="E35">
        <v>1000000</v>
      </c>
      <c r="F35">
        <v>1000000</v>
      </c>
      <c r="G35">
        <v>1000000</v>
      </c>
      <c r="H35">
        <v>1000000</v>
      </c>
      <c r="I35">
        <v>1000000</v>
      </c>
      <c r="J35">
        <v>1000000</v>
      </c>
      <c r="K35">
        <v>1000000</v>
      </c>
      <c r="L35">
        <v>1000000</v>
      </c>
    </row>
    <row r="37" spans="4:12">
      <c r="E37" t="s">
        <v>16</v>
      </c>
      <c r="F37" t="s">
        <v>17</v>
      </c>
      <c r="G37" t="s">
        <v>18</v>
      </c>
      <c r="H37" t="s">
        <v>20</v>
      </c>
      <c r="I37" t="s">
        <v>21</v>
      </c>
      <c r="J37" t="s">
        <v>22</v>
      </c>
      <c r="K37" t="s">
        <v>23</v>
      </c>
      <c r="L37" t="s">
        <v>23</v>
      </c>
    </row>
    <row r="38" spans="4:12">
      <c r="D38" t="s">
        <v>64</v>
      </c>
      <c r="E38">
        <v>-10.24</v>
      </c>
      <c r="F38">
        <v>-15.88</v>
      </c>
      <c r="G38">
        <v>-4.05</v>
      </c>
      <c r="H38">
        <v>57.92</v>
      </c>
      <c r="I38">
        <v>-17.52</v>
      </c>
      <c r="J38">
        <v>-20.66</v>
      </c>
      <c r="K38">
        <v>-28.21</v>
      </c>
      <c r="L38">
        <v>-28.21</v>
      </c>
    </row>
    <row r="41" spans="4:12">
      <c r="D41" t="s">
        <v>91</v>
      </c>
    </row>
    <row r="43" spans="4:12">
      <c r="E43" t="s">
        <v>16</v>
      </c>
      <c r="F43" t="s">
        <v>17</v>
      </c>
      <c r="G43" t="s">
        <v>18</v>
      </c>
      <c r="H43" t="s">
        <v>20</v>
      </c>
      <c r="I43" t="s">
        <v>21</v>
      </c>
      <c r="J43" t="s">
        <v>22</v>
      </c>
      <c r="K43" t="s">
        <v>23</v>
      </c>
      <c r="L43" t="s">
        <v>23</v>
      </c>
    </row>
    <row r="44" spans="4:12">
      <c r="D44" t="s">
        <v>59</v>
      </c>
      <c r="E44">
        <v>10000</v>
      </c>
      <c r="F44">
        <v>778000</v>
      </c>
      <c r="G44">
        <v>540000</v>
      </c>
      <c r="H44">
        <v>26711000</v>
      </c>
      <c r="I44">
        <v>218000</v>
      </c>
      <c r="J44">
        <v>1601000</v>
      </c>
      <c r="K44">
        <v>1788000</v>
      </c>
      <c r="L44">
        <v>1788000</v>
      </c>
    </row>
    <row r="46" spans="4:12">
      <c r="E46" t="s">
        <v>16</v>
      </c>
      <c r="F46" t="s">
        <v>17</v>
      </c>
      <c r="G46" t="s">
        <v>18</v>
      </c>
      <c r="H46" t="s">
        <v>20</v>
      </c>
      <c r="I46" t="s">
        <v>21</v>
      </c>
      <c r="J46" t="s">
        <v>22</v>
      </c>
      <c r="K46" t="s">
        <v>23</v>
      </c>
      <c r="L46" t="s">
        <v>23</v>
      </c>
    </row>
    <row r="47" spans="4:12">
      <c r="D47" t="s">
        <v>60</v>
      </c>
      <c r="E47">
        <v>0</v>
      </c>
      <c r="F47">
        <v>8</v>
      </c>
      <c r="G47">
        <v>26</v>
      </c>
      <c r="H47">
        <v>4</v>
      </c>
      <c r="I47">
        <v>4</v>
      </c>
      <c r="J47">
        <v>21</v>
      </c>
      <c r="K47">
        <v>75</v>
      </c>
      <c r="L47">
        <v>75</v>
      </c>
    </row>
    <row r="49" spans="4:12">
      <c r="E49" t="s">
        <v>16</v>
      </c>
      <c r="F49" t="s">
        <v>17</v>
      </c>
      <c r="G49" t="s">
        <v>18</v>
      </c>
      <c r="H49" t="s">
        <v>20</v>
      </c>
      <c r="I49" t="s">
        <v>21</v>
      </c>
      <c r="J49" t="s">
        <v>22</v>
      </c>
      <c r="K49" t="s">
        <v>23</v>
      </c>
      <c r="L49" t="s">
        <v>23</v>
      </c>
    </row>
    <row r="50" spans="4:12">
      <c r="D50" t="s">
        <v>62</v>
      </c>
      <c r="E50">
        <v>0</v>
      </c>
      <c r="F50">
        <v>0</v>
      </c>
      <c r="G50">
        <v>1</v>
      </c>
      <c r="H50">
        <v>1</v>
      </c>
      <c r="I50">
        <v>1</v>
      </c>
      <c r="J50">
        <v>0</v>
      </c>
      <c r="K50">
        <v>2</v>
      </c>
      <c r="L50">
        <v>2</v>
      </c>
    </row>
    <row r="53" spans="4:12">
      <c r="E53" t="s">
        <v>16</v>
      </c>
      <c r="F53" t="s">
        <v>17</v>
      </c>
      <c r="G53" t="s">
        <v>18</v>
      </c>
      <c r="H53" t="s">
        <v>20</v>
      </c>
      <c r="I53" t="s">
        <v>21</v>
      </c>
      <c r="J53" t="s">
        <v>22</v>
      </c>
      <c r="K53" t="s">
        <v>23</v>
      </c>
      <c r="L53" t="s">
        <v>23</v>
      </c>
    </row>
    <row r="54" spans="4:12">
      <c r="D54" t="s">
        <v>63</v>
      </c>
      <c r="E54">
        <v>900000</v>
      </c>
      <c r="F54">
        <v>900000</v>
      </c>
      <c r="G54">
        <v>900000</v>
      </c>
      <c r="H54">
        <v>900000</v>
      </c>
      <c r="I54">
        <v>900000</v>
      </c>
      <c r="J54">
        <v>900000</v>
      </c>
      <c r="K54">
        <v>900000</v>
      </c>
      <c r="L54">
        <v>900000</v>
      </c>
    </row>
    <row r="56" spans="4:12">
      <c r="E56" t="s">
        <v>16</v>
      </c>
      <c r="F56" t="s">
        <v>17</v>
      </c>
      <c r="G56" t="s">
        <v>18</v>
      </c>
      <c r="H56" t="s">
        <v>20</v>
      </c>
      <c r="I56" t="s">
        <v>21</v>
      </c>
      <c r="J56" t="s">
        <v>22</v>
      </c>
      <c r="K56" t="s">
        <v>23</v>
      </c>
      <c r="L56" t="s">
        <v>23</v>
      </c>
    </row>
    <row r="57" spans="4:12">
      <c r="D57" t="s">
        <v>64</v>
      </c>
      <c r="E57">
        <v>-10.24</v>
      </c>
      <c r="F57">
        <v>-15.88</v>
      </c>
      <c r="G57">
        <v>-4.05</v>
      </c>
      <c r="H57">
        <v>57.92</v>
      </c>
      <c r="I57">
        <v>-17.52</v>
      </c>
      <c r="J57">
        <v>-20.66</v>
      </c>
      <c r="K57">
        <v>-28.21</v>
      </c>
      <c r="L57">
        <v>-28.21</v>
      </c>
    </row>
    <row r="59" spans="4:12">
      <c r="D59" t="s">
        <v>92</v>
      </c>
    </row>
    <row r="61" spans="4:12">
      <c r="E61" t="s">
        <v>16</v>
      </c>
      <c r="F61" t="s">
        <v>17</v>
      </c>
      <c r="G61" t="s">
        <v>18</v>
      </c>
      <c r="H61" t="s">
        <v>20</v>
      </c>
      <c r="I61" t="s">
        <v>21</v>
      </c>
      <c r="J61" t="s">
        <v>22</v>
      </c>
      <c r="K61" t="s">
        <v>23</v>
      </c>
    </row>
    <row r="62" spans="4:12">
      <c r="D62" t="s">
        <v>59</v>
      </c>
      <c r="E62">
        <v>4000</v>
      </c>
      <c r="F62">
        <v>705000</v>
      </c>
      <c r="G62">
        <v>503000</v>
      </c>
      <c r="H62">
        <v>21032000</v>
      </c>
      <c r="I62">
        <v>192000</v>
      </c>
      <c r="J62">
        <v>1439000</v>
      </c>
      <c r="K62">
        <v>1512000</v>
      </c>
    </row>
    <row r="64" spans="4:12">
      <c r="E64" t="s">
        <v>16</v>
      </c>
      <c r="F64" t="s">
        <v>17</v>
      </c>
      <c r="G64" t="s">
        <v>18</v>
      </c>
      <c r="H64" t="s">
        <v>20</v>
      </c>
      <c r="I64" t="s">
        <v>21</v>
      </c>
      <c r="J64" t="s">
        <v>22</v>
      </c>
      <c r="K64" t="s">
        <v>23</v>
      </c>
    </row>
    <row r="65" spans="4:11">
      <c r="D65" t="s">
        <v>60</v>
      </c>
      <c r="E65">
        <v>0</v>
      </c>
      <c r="F65">
        <v>8</v>
      </c>
      <c r="G65">
        <v>26</v>
      </c>
      <c r="H65">
        <v>4</v>
      </c>
      <c r="I65">
        <v>4</v>
      </c>
      <c r="J65">
        <v>21</v>
      </c>
      <c r="K65">
        <v>75</v>
      </c>
    </row>
    <row r="67" spans="4:11">
      <c r="E67" t="s">
        <v>16</v>
      </c>
      <c r="F67" t="s">
        <v>17</v>
      </c>
      <c r="G67" t="s">
        <v>18</v>
      </c>
      <c r="H67" t="s">
        <v>20</v>
      </c>
      <c r="I67" t="s">
        <v>21</v>
      </c>
      <c r="J67" t="s">
        <v>22</v>
      </c>
      <c r="K67" t="s">
        <v>23</v>
      </c>
    </row>
    <row r="68" spans="4:11">
      <c r="D68" t="s">
        <v>62</v>
      </c>
      <c r="E68">
        <v>0</v>
      </c>
      <c r="F68">
        <v>0</v>
      </c>
      <c r="G68">
        <v>1</v>
      </c>
      <c r="H68">
        <v>1</v>
      </c>
      <c r="I68">
        <v>1</v>
      </c>
      <c r="J68">
        <v>0</v>
      </c>
      <c r="K68">
        <v>2</v>
      </c>
    </row>
    <row r="71" spans="4:11">
      <c r="E71" t="s">
        <v>16</v>
      </c>
      <c r="F71" t="s">
        <v>17</v>
      </c>
      <c r="G71" t="s">
        <v>18</v>
      </c>
      <c r="H71" t="s">
        <v>20</v>
      </c>
      <c r="I71" t="s">
        <v>21</v>
      </c>
      <c r="J71" t="s">
        <v>22</v>
      </c>
      <c r="K71" t="s">
        <v>23</v>
      </c>
    </row>
    <row r="72" spans="4:11">
      <c r="D72" t="s">
        <v>63</v>
      </c>
      <c r="E72">
        <v>800000</v>
      </c>
      <c r="F72">
        <v>800000</v>
      </c>
      <c r="G72">
        <v>800000</v>
      </c>
      <c r="H72">
        <v>800000</v>
      </c>
      <c r="I72">
        <v>800000</v>
      </c>
      <c r="J72">
        <v>800000</v>
      </c>
      <c r="K72">
        <v>800000</v>
      </c>
    </row>
    <row r="74" spans="4:11">
      <c r="E74" t="s">
        <v>16</v>
      </c>
      <c r="F74" t="s">
        <v>17</v>
      </c>
      <c r="G74" t="s">
        <v>18</v>
      </c>
      <c r="H74" t="s">
        <v>20</v>
      </c>
      <c r="I74" t="s">
        <v>21</v>
      </c>
      <c r="J74" t="s">
        <v>22</v>
      </c>
      <c r="K74" t="s">
        <v>23</v>
      </c>
    </row>
    <row r="75" spans="4:11">
      <c r="D75" t="s">
        <v>64</v>
      </c>
      <c r="E75">
        <v>-10.24</v>
      </c>
      <c r="F75">
        <v>-15.88</v>
      </c>
      <c r="G75">
        <v>-4.05</v>
      </c>
      <c r="H75">
        <v>57.92</v>
      </c>
      <c r="I75">
        <v>-17.52</v>
      </c>
      <c r="J75">
        <v>-20.66</v>
      </c>
      <c r="K75">
        <v>-28.21</v>
      </c>
    </row>
    <row r="78" spans="4:11">
      <c r="D78" t="s">
        <v>93</v>
      </c>
    </row>
    <row r="80" spans="4:11">
      <c r="E80" t="s">
        <v>16</v>
      </c>
      <c r="F80" t="s">
        <v>17</v>
      </c>
      <c r="G80" t="s">
        <v>18</v>
      </c>
      <c r="H80" t="s">
        <v>20</v>
      </c>
      <c r="I80" t="s">
        <v>21</v>
      </c>
      <c r="J80" t="s">
        <v>22</v>
      </c>
      <c r="K80" t="s">
        <v>23</v>
      </c>
    </row>
    <row r="81" spans="4:11">
      <c r="D81" t="s">
        <v>59</v>
      </c>
      <c r="E81">
        <v>0</v>
      </c>
      <c r="F81">
        <v>577000</v>
      </c>
      <c r="G81">
        <v>426000</v>
      </c>
      <c r="H81">
        <v>12868000</v>
      </c>
      <c r="I81">
        <v>140000</v>
      </c>
      <c r="J81">
        <v>1166000</v>
      </c>
      <c r="K81">
        <v>1133000</v>
      </c>
    </row>
    <row r="83" spans="4:11">
      <c r="E83" t="s">
        <v>16</v>
      </c>
      <c r="F83" t="s">
        <v>17</v>
      </c>
      <c r="G83" t="s">
        <v>18</v>
      </c>
      <c r="H83" t="s">
        <v>20</v>
      </c>
      <c r="I83" t="s">
        <v>21</v>
      </c>
      <c r="J83" t="s">
        <v>22</v>
      </c>
      <c r="K83" t="s">
        <v>23</v>
      </c>
    </row>
    <row r="84" spans="4:11">
      <c r="D84" t="s">
        <v>60</v>
      </c>
      <c r="E84">
        <v>0</v>
      </c>
      <c r="F84">
        <v>8</v>
      </c>
      <c r="G84">
        <v>26</v>
      </c>
      <c r="H84">
        <v>4</v>
      </c>
      <c r="I84">
        <v>4</v>
      </c>
      <c r="J84">
        <v>0</v>
      </c>
      <c r="K84">
        <v>75</v>
      </c>
    </row>
    <row r="86" spans="4:11">
      <c r="E86" t="s">
        <v>16</v>
      </c>
      <c r="F86" t="s">
        <v>17</v>
      </c>
      <c r="G86" t="s">
        <v>18</v>
      </c>
      <c r="H86" t="s">
        <v>20</v>
      </c>
      <c r="I86" t="s">
        <v>21</v>
      </c>
      <c r="J86" t="s">
        <v>22</v>
      </c>
      <c r="K86" t="s">
        <v>23</v>
      </c>
    </row>
    <row r="87" spans="4:11">
      <c r="D87" t="s">
        <v>62</v>
      </c>
      <c r="E87">
        <v>0</v>
      </c>
      <c r="F87">
        <v>0</v>
      </c>
      <c r="G87">
        <v>1</v>
      </c>
      <c r="H87">
        <v>0</v>
      </c>
      <c r="I87">
        <v>1</v>
      </c>
      <c r="J87">
        <v>0</v>
      </c>
      <c r="K87">
        <v>2</v>
      </c>
    </row>
    <row r="90" spans="4:11">
      <c r="E90" t="s">
        <v>16</v>
      </c>
      <c r="F90" t="s">
        <v>17</v>
      </c>
      <c r="G90" t="s">
        <v>18</v>
      </c>
      <c r="H90" t="s">
        <v>20</v>
      </c>
      <c r="I90" t="s">
        <v>21</v>
      </c>
      <c r="J90" t="s">
        <v>22</v>
      </c>
      <c r="K90" t="s">
        <v>23</v>
      </c>
    </row>
    <row r="91" spans="4:11">
      <c r="D91" t="s">
        <v>63</v>
      </c>
      <c r="E91">
        <v>700000</v>
      </c>
      <c r="F91">
        <v>700000</v>
      </c>
      <c r="G91">
        <v>700000</v>
      </c>
      <c r="H91">
        <v>700000</v>
      </c>
      <c r="I91">
        <v>700000</v>
      </c>
      <c r="J91">
        <v>700000</v>
      </c>
      <c r="K91">
        <v>700000</v>
      </c>
    </row>
    <row r="93" spans="4:11">
      <c r="E93" t="s">
        <v>16</v>
      </c>
      <c r="F93" t="s">
        <v>17</v>
      </c>
      <c r="G93" t="s">
        <v>18</v>
      </c>
      <c r="H93" t="s">
        <v>20</v>
      </c>
      <c r="I93" t="s">
        <v>21</v>
      </c>
      <c r="J93" t="s">
        <v>22</v>
      </c>
      <c r="K93" t="s">
        <v>23</v>
      </c>
    </row>
    <row r="94" spans="4:11">
      <c r="D94" t="s">
        <v>64</v>
      </c>
      <c r="E94">
        <v>-10.24</v>
      </c>
      <c r="F94">
        <v>-15.88</v>
      </c>
      <c r="G94">
        <v>-4.05</v>
      </c>
      <c r="H94">
        <v>57.92</v>
      </c>
      <c r="I94">
        <v>-17.52</v>
      </c>
      <c r="J94">
        <v>-20.66</v>
      </c>
      <c r="K94">
        <v>-28.21</v>
      </c>
    </row>
    <row r="95" spans="4:11">
      <c r="F95" t="s">
        <v>94</v>
      </c>
    </row>
    <row r="97" spans="4:11">
      <c r="D97" t="s">
        <v>95</v>
      </c>
    </row>
    <row r="99" spans="4:11">
      <c r="E99" t="s">
        <v>16</v>
      </c>
      <c r="F99" t="s">
        <v>17</v>
      </c>
      <c r="G99" t="s">
        <v>18</v>
      </c>
      <c r="H99" t="s">
        <v>20</v>
      </c>
      <c r="I99" t="s">
        <v>21</v>
      </c>
      <c r="J99" t="s">
        <v>22</v>
      </c>
      <c r="K99" t="s">
        <v>23</v>
      </c>
    </row>
    <row r="100" spans="4:11">
      <c r="D100" t="s">
        <v>59</v>
      </c>
      <c r="E100">
        <v>0</v>
      </c>
      <c r="F100">
        <v>448000</v>
      </c>
      <c r="G100">
        <v>299000</v>
      </c>
      <c r="H100">
        <v>6695000</v>
      </c>
      <c r="I100">
        <v>101000</v>
      </c>
      <c r="J100">
        <v>858000</v>
      </c>
      <c r="K100">
        <v>694000</v>
      </c>
    </row>
    <row r="102" spans="4:11">
      <c r="E102" t="s">
        <v>16</v>
      </c>
      <c r="F102" t="s">
        <v>17</v>
      </c>
      <c r="G102" t="s">
        <v>18</v>
      </c>
      <c r="H102" t="s">
        <v>20</v>
      </c>
      <c r="I102" t="s">
        <v>21</v>
      </c>
      <c r="J102" t="s">
        <v>22</v>
      </c>
      <c r="K102" t="s">
        <v>23</v>
      </c>
    </row>
    <row r="103" spans="4:11">
      <c r="D103" t="s">
        <v>60</v>
      </c>
      <c r="E103">
        <v>0</v>
      </c>
      <c r="F103">
        <v>8</v>
      </c>
      <c r="G103">
        <v>26</v>
      </c>
      <c r="H103">
        <v>4</v>
      </c>
      <c r="I103">
        <v>4</v>
      </c>
      <c r="J103">
        <v>0</v>
      </c>
      <c r="K103">
        <v>60</v>
      </c>
    </row>
    <row r="105" spans="4:11">
      <c r="E105" t="s">
        <v>16</v>
      </c>
      <c r="F105" t="s">
        <v>17</v>
      </c>
      <c r="G105" t="s">
        <v>18</v>
      </c>
      <c r="H105" t="s">
        <v>20</v>
      </c>
      <c r="I105" t="s">
        <v>21</v>
      </c>
      <c r="J105" t="s">
        <v>22</v>
      </c>
      <c r="K105" t="s">
        <v>23</v>
      </c>
    </row>
    <row r="106" spans="4:11">
      <c r="D106" t="s">
        <v>62</v>
      </c>
      <c r="E106">
        <v>0</v>
      </c>
      <c r="F106">
        <v>0</v>
      </c>
      <c r="G106">
        <v>0</v>
      </c>
      <c r="H106">
        <v>0</v>
      </c>
      <c r="I106">
        <v>1</v>
      </c>
      <c r="J106">
        <v>0</v>
      </c>
      <c r="K106">
        <v>1</v>
      </c>
    </row>
    <row r="109" spans="4:11">
      <c r="E109" t="s">
        <v>16</v>
      </c>
      <c r="F109" t="s">
        <v>17</v>
      </c>
      <c r="G109" t="s">
        <v>18</v>
      </c>
      <c r="H109" t="s">
        <v>20</v>
      </c>
      <c r="I109" t="s">
        <v>21</v>
      </c>
      <c r="J109" t="s">
        <v>22</v>
      </c>
      <c r="K109" t="s">
        <v>23</v>
      </c>
    </row>
    <row r="110" spans="4:11">
      <c r="D110" t="s">
        <v>63</v>
      </c>
      <c r="E110">
        <v>600000</v>
      </c>
      <c r="F110">
        <v>600000</v>
      </c>
      <c r="G110">
        <v>600000</v>
      </c>
      <c r="H110">
        <v>600000</v>
      </c>
      <c r="I110">
        <v>600000</v>
      </c>
      <c r="J110">
        <v>600000</v>
      </c>
      <c r="K110">
        <v>600000</v>
      </c>
    </row>
    <row r="112" spans="4:11">
      <c r="E112" t="s">
        <v>16</v>
      </c>
      <c r="F112" t="s">
        <v>17</v>
      </c>
      <c r="G112" t="s">
        <v>18</v>
      </c>
      <c r="H112" t="s">
        <v>20</v>
      </c>
      <c r="I112" t="s">
        <v>21</v>
      </c>
      <c r="J112" t="s">
        <v>22</v>
      </c>
      <c r="K112" t="s">
        <v>23</v>
      </c>
    </row>
    <row r="113" spans="4:11">
      <c r="D113" t="s">
        <v>64</v>
      </c>
      <c r="E113">
        <v>-10.24</v>
      </c>
      <c r="F113">
        <v>-15.88</v>
      </c>
      <c r="G113">
        <v>-4.05</v>
      </c>
      <c r="H113">
        <v>57.92</v>
      </c>
      <c r="I113">
        <v>-17.52</v>
      </c>
      <c r="J113">
        <v>-20.66</v>
      </c>
      <c r="K113">
        <v>-28.21</v>
      </c>
    </row>
    <row r="116" spans="4:11">
      <c r="D116" t="s">
        <v>96</v>
      </c>
    </row>
    <row r="118" spans="4:11">
      <c r="E118" t="s">
        <v>16</v>
      </c>
      <c r="F118" t="s">
        <v>17</v>
      </c>
      <c r="G118" t="s">
        <v>18</v>
      </c>
      <c r="H118" t="s">
        <v>20</v>
      </c>
      <c r="I118" t="s">
        <v>21</v>
      </c>
      <c r="J118" t="s">
        <v>22</v>
      </c>
      <c r="K118" t="s">
        <v>23</v>
      </c>
    </row>
    <row r="119" spans="4:11">
      <c r="D119" t="s">
        <v>59</v>
      </c>
      <c r="E119">
        <v>0</v>
      </c>
      <c r="F119">
        <v>387000</v>
      </c>
      <c r="G119">
        <v>229000</v>
      </c>
      <c r="H119">
        <v>5054000</v>
      </c>
      <c r="I119">
        <v>71000</v>
      </c>
      <c r="J119">
        <v>684000</v>
      </c>
      <c r="K119">
        <v>484000</v>
      </c>
    </row>
    <row r="121" spans="4:11">
      <c r="E121" t="s">
        <v>16</v>
      </c>
      <c r="F121" t="s">
        <v>17</v>
      </c>
      <c r="G121" t="s">
        <v>18</v>
      </c>
      <c r="H121" t="s">
        <v>20</v>
      </c>
      <c r="I121" t="s">
        <v>21</v>
      </c>
      <c r="J121" t="s">
        <v>22</v>
      </c>
      <c r="K121" t="s">
        <v>23</v>
      </c>
    </row>
    <row r="122" spans="4:11">
      <c r="D122" t="s">
        <v>60</v>
      </c>
      <c r="E122">
        <v>0</v>
      </c>
      <c r="F122">
        <v>8</v>
      </c>
      <c r="G122">
        <v>26</v>
      </c>
      <c r="H122">
        <v>4</v>
      </c>
      <c r="I122">
        <v>0</v>
      </c>
      <c r="J122">
        <v>0</v>
      </c>
      <c r="K122">
        <v>60</v>
      </c>
    </row>
    <row r="124" spans="4:11">
      <c r="E124" t="s">
        <v>16</v>
      </c>
      <c r="F124" t="s">
        <v>17</v>
      </c>
      <c r="G124" t="s">
        <v>18</v>
      </c>
      <c r="H124" t="s">
        <v>20</v>
      </c>
      <c r="I124" t="s">
        <v>21</v>
      </c>
      <c r="J124" t="s">
        <v>22</v>
      </c>
      <c r="K124" t="s">
        <v>23</v>
      </c>
    </row>
    <row r="125" spans="4:11">
      <c r="D125" t="s">
        <v>62</v>
      </c>
      <c r="E125">
        <v>0</v>
      </c>
      <c r="F125">
        <v>0</v>
      </c>
      <c r="G125">
        <v>0</v>
      </c>
      <c r="H125">
        <v>0</v>
      </c>
      <c r="I125">
        <v>1</v>
      </c>
      <c r="J125">
        <v>0</v>
      </c>
      <c r="K125">
        <v>1</v>
      </c>
    </row>
    <row r="128" spans="4:11">
      <c r="E128" t="s">
        <v>16</v>
      </c>
      <c r="F128" t="s">
        <v>17</v>
      </c>
      <c r="G128" t="s">
        <v>18</v>
      </c>
      <c r="H128" t="s">
        <v>20</v>
      </c>
      <c r="I128" t="s">
        <v>21</v>
      </c>
      <c r="J128" t="s">
        <v>22</v>
      </c>
      <c r="K128" t="s">
        <v>23</v>
      </c>
    </row>
    <row r="129" spans="4:11">
      <c r="D129" t="s">
        <v>63</v>
      </c>
      <c r="E129">
        <v>499999</v>
      </c>
      <c r="F129">
        <v>499999</v>
      </c>
      <c r="G129">
        <v>499999</v>
      </c>
      <c r="H129">
        <v>499999</v>
      </c>
      <c r="I129">
        <v>499999</v>
      </c>
      <c r="J129">
        <v>499999</v>
      </c>
      <c r="K129">
        <v>499999</v>
      </c>
    </row>
    <row r="131" spans="4:11">
      <c r="E131" t="s">
        <v>16</v>
      </c>
      <c r="F131" t="s">
        <v>17</v>
      </c>
      <c r="G131" t="s">
        <v>18</v>
      </c>
      <c r="H131" t="s">
        <v>20</v>
      </c>
      <c r="I131" t="s">
        <v>21</v>
      </c>
      <c r="J131" t="s">
        <v>22</v>
      </c>
      <c r="K131" t="s">
        <v>23</v>
      </c>
    </row>
    <row r="132" spans="4:11">
      <c r="D132" t="s">
        <v>64</v>
      </c>
      <c r="E132">
        <v>-10.24</v>
      </c>
      <c r="F132">
        <v>-15.88</v>
      </c>
      <c r="G132">
        <v>-4.05</v>
      </c>
      <c r="H132">
        <v>57.92</v>
      </c>
      <c r="I132">
        <v>-17.52</v>
      </c>
      <c r="J132">
        <v>-20.66</v>
      </c>
      <c r="K132">
        <v>-28.21</v>
      </c>
    </row>
    <row r="134" spans="4:11">
      <c r="D134" t="s">
        <v>97</v>
      </c>
    </row>
    <row r="136" spans="4:11">
      <c r="E136" t="s">
        <v>16</v>
      </c>
      <c r="F136" t="s">
        <v>17</v>
      </c>
      <c r="G136" t="s">
        <v>18</v>
      </c>
      <c r="H136" t="s">
        <v>20</v>
      </c>
      <c r="I136" t="s">
        <v>21</v>
      </c>
      <c r="J136" t="s">
        <v>22</v>
      </c>
      <c r="K136" t="s">
        <v>23</v>
      </c>
    </row>
    <row r="137" spans="4:11">
      <c r="D137" t="s">
        <v>59</v>
      </c>
      <c r="E137">
        <v>0</v>
      </c>
      <c r="F137">
        <v>342000</v>
      </c>
      <c r="G137">
        <v>152000</v>
      </c>
      <c r="H137">
        <v>3861000</v>
      </c>
      <c r="I137">
        <v>54000</v>
      </c>
      <c r="J137">
        <v>501000</v>
      </c>
      <c r="K137">
        <v>270000</v>
      </c>
    </row>
    <row r="139" spans="4:11">
      <c r="E139" t="s">
        <v>16</v>
      </c>
      <c r="F139" t="s">
        <v>17</v>
      </c>
      <c r="G139" t="s">
        <v>18</v>
      </c>
      <c r="H139" t="s">
        <v>20</v>
      </c>
      <c r="I139" t="s">
        <v>21</v>
      </c>
      <c r="J139" t="s">
        <v>22</v>
      </c>
      <c r="K139" t="s">
        <v>23</v>
      </c>
    </row>
    <row r="140" spans="4:11">
      <c r="D140" t="s">
        <v>60</v>
      </c>
      <c r="E140">
        <v>0</v>
      </c>
      <c r="F140">
        <v>8</v>
      </c>
      <c r="G140">
        <v>26</v>
      </c>
      <c r="H140">
        <v>4</v>
      </c>
      <c r="I140">
        <v>0</v>
      </c>
      <c r="J140">
        <v>0</v>
      </c>
      <c r="K140">
        <v>45</v>
      </c>
    </row>
    <row r="142" spans="4:11">
      <c r="E142" t="s">
        <v>16</v>
      </c>
      <c r="F142" t="s">
        <v>17</v>
      </c>
      <c r="G142" t="s">
        <v>18</v>
      </c>
      <c r="H142" t="s">
        <v>20</v>
      </c>
      <c r="I142" t="s">
        <v>21</v>
      </c>
      <c r="J142" t="s">
        <v>22</v>
      </c>
      <c r="K142" t="s">
        <v>23</v>
      </c>
    </row>
    <row r="143" spans="4:11">
      <c r="D143" t="s">
        <v>62</v>
      </c>
      <c r="E143">
        <v>0</v>
      </c>
      <c r="F143">
        <v>0</v>
      </c>
      <c r="G143">
        <v>0</v>
      </c>
      <c r="H143">
        <v>0</v>
      </c>
      <c r="I143">
        <v>1</v>
      </c>
      <c r="J143">
        <v>0</v>
      </c>
      <c r="K143">
        <v>1</v>
      </c>
    </row>
    <row r="146" spans="4:11">
      <c r="E146" t="s">
        <v>16</v>
      </c>
      <c r="F146" t="s">
        <v>17</v>
      </c>
      <c r="G146" t="s">
        <v>18</v>
      </c>
      <c r="H146" t="s">
        <v>20</v>
      </c>
      <c r="I146" t="s">
        <v>21</v>
      </c>
      <c r="J146" t="s">
        <v>22</v>
      </c>
      <c r="K146" t="s">
        <v>23</v>
      </c>
    </row>
    <row r="147" spans="4:11">
      <c r="D147" t="s">
        <v>63</v>
      </c>
      <c r="E147">
        <v>499999</v>
      </c>
      <c r="F147">
        <v>499999</v>
      </c>
      <c r="G147">
        <v>499999</v>
      </c>
      <c r="H147">
        <v>499999</v>
      </c>
      <c r="I147">
        <v>499999</v>
      </c>
      <c r="J147">
        <v>499999</v>
      </c>
      <c r="K147">
        <v>499999</v>
      </c>
    </row>
    <row r="149" spans="4:11">
      <c r="E149" t="s">
        <v>16</v>
      </c>
      <c r="F149" t="s">
        <v>17</v>
      </c>
      <c r="G149" t="s">
        <v>18</v>
      </c>
      <c r="H149" t="s">
        <v>20</v>
      </c>
      <c r="I149" t="s">
        <v>21</v>
      </c>
      <c r="J149" t="s">
        <v>22</v>
      </c>
      <c r="K149" t="s">
        <v>23</v>
      </c>
    </row>
    <row r="150" spans="4:11">
      <c r="D150" t="s">
        <v>64</v>
      </c>
      <c r="E150">
        <v>-10.24</v>
      </c>
      <c r="F150">
        <v>-15.88</v>
      </c>
      <c r="G150">
        <v>-4.05</v>
      </c>
      <c r="H150">
        <v>57.92</v>
      </c>
      <c r="I150">
        <v>-17.52</v>
      </c>
      <c r="J150">
        <v>-20.66</v>
      </c>
      <c r="K150">
        <v>-28.21</v>
      </c>
    </row>
  </sheetData>
  <phoneticPr fontId="16"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Q61"/>
  <sheetViews>
    <sheetView topLeftCell="B1" workbookViewId="0">
      <selection activeCell="G2" sqref="G2:G9"/>
    </sheetView>
  </sheetViews>
  <sheetFormatPr baseColWidth="10" defaultColWidth="11" defaultRowHeight="15" x14ac:dyDescent="0"/>
  <cols>
    <col min="1" max="1" width="14.6640625" customWidth="1"/>
    <col min="6" max="6" width="15.6640625" customWidth="1"/>
    <col min="8" max="8" width="13" hidden="1" customWidth="1"/>
    <col min="11" max="11" width="12" bestFit="1" customWidth="1"/>
    <col min="12" max="12" width="11" customWidth="1"/>
    <col min="15" max="15" width="0" hidden="1" customWidth="1"/>
  </cols>
  <sheetData>
    <row r="1" spans="1:17" s="42" customFormat="1">
      <c r="A1" s="42" t="s">
        <v>0</v>
      </c>
      <c r="B1" s="42" t="s">
        <v>1</v>
      </c>
      <c r="C1" s="42" t="s">
        <v>2</v>
      </c>
      <c r="D1" s="42" t="s">
        <v>3</v>
      </c>
      <c r="E1" s="42" t="s">
        <v>4</v>
      </c>
      <c r="F1" s="42" t="s">
        <v>5</v>
      </c>
      <c r="G1" s="42" t="s">
        <v>6</v>
      </c>
      <c r="H1" s="42" t="s">
        <v>7</v>
      </c>
      <c r="I1" s="42" t="s">
        <v>8</v>
      </c>
      <c r="J1" s="42" t="s">
        <v>9</v>
      </c>
      <c r="K1" s="42" t="s">
        <v>10</v>
      </c>
      <c r="L1" s="42" t="s">
        <v>11</v>
      </c>
      <c r="M1" s="42" t="s">
        <v>12</v>
      </c>
      <c r="N1" s="42" t="s">
        <v>25</v>
      </c>
      <c r="O1" s="42" t="s">
        <v>24</v>
      </c>
      <c r="P1" s="42" t="s">
        <v>13</v>
      </c>
      <c r="Q1" s="42" t="s">
        <v>34</v>
      </c>
    </row>
    <row r="2" spans="1:17">
      <c r="A2">
        <v>3602116177</v>
      </c>
      <c r="B2">
        <v>21</v>
      </c>
      <c r="C2" t="s">
        <v>14</v>
      </c>
      <c r="D2" t="s">
        <v>15</v>
      </c>
      <c r="E2">
        <v>16177</v>
      </c>
      <c r="F2" t="s">
        <v>16</v>
      </c>
      <c r="G2">
        <v>5</v>
      </c>
      <c r="H2">
        <v>0</v>
      </c>
      <c r="I2">
        <v>0</v>
      </c>
      <c r="J2">
        <v>0</v>
      </c>
      <c r="K2">
        <v>0</v>
      </c>
      <c r="L2">
        <v>-2.35</v>
      </c>
      <c r="M2">
        <v>-10.24</v>
      </c>
      <c r="N2">
        <v>1965</v>
      </c>
      <c r="O2">
        <v>61509</v>
      </c>
      <c r="P2">
        <v>0.2</v>
      </c>
      <c r="Q2">
        <v>499999</v>
      </c>
    </row>
    <row r="3" spans="1:17">
      <c r="A3">
        <v>3602116177</v>
      </c>
      <c r="B3">
        <v>21</v>
      </c>
      <c r="C3" t="s">
        <v>14</v>
      </c>
      <c r="D3" t="s">
        <v>15</v>
      </c>
      <c r="E3">
        <v>16177</v>
      </c>
      <c r="F3" t="s">
        <v>16</v>
      </c>
      <c r="G3">
        <v>10</v>
      </c>
      <c r="H3">
        <v>0</v>
      </c>
      <c r="I3">
        <v>0</v>
      </c>
      <c r="J3">
        <v>0</v>
      </c>
      <c r="K3">
        <v>0</v>
      </c>
      <c r="L3">
        <v>-2.35</v>
      </c>
      <c r="M3">
        <v>-10.24</v>
      </c>
      <c r="N3">
        <v>1965</v>
      </c>
      <c r="O3">
        <v>61509</v>
      </c>
      <c r="P3">
        <v>0.1</v>
      </c>
      <c r="Q3">
        <v>499999</v>
      </c>
    </row>
    <row r="4" spans="1:17">
      <c r="A4">
        <v>3602116177</v>
      </c>
      <c r="B4">
        <v>21</v>
      </c>
      <c r="C4" t="s">
        <v>14</v>
      </c>
      <c r="D4" t="s">
        <v>15</v>
      </c>
      <c r="E4">
        <v>16177</v>
      </c>
      <c r="F4" t="s">
        <v>16</v>
      </c>
      <c r="G4">
        <v>20</v>
      </c>
      <c r="H4">
        <v>0</v>
      </c>
      <c r="I4">
        <v>0</v>
      </c>
      <c r="J4">
        <v>0</v>
      </c>
      <c r="K4">
        <v>0</v>
      </c>
      <c r="L4">
        <v>-2.35</v>
      </c>
      <c r="M4">
        <v>-10.24</v>
      </c>
      <c r="N4">
        <v>1965</v>
      </c>
      <c r="O4">
        <v>61509</v>
      </c>
      <c r="P4">
        <v>0.05</v>
      </c>
      <c r="Q4">
        <v>600000</v>
      </c>
    </row>
    <row r="5" spans="1:17">
      <c r="A5">
        <v>3602116177</v>
      </c>
      <c r="B5">
        <v>21</v>
      </c>
      <c r="C5" t="s">
        <v>14</v>
      </c>
      <c r="D5" t="s">
        <v>15</v>
      </c>
      <c r="E5">
        <v>16177</v>
      </c>
      <c r="F5" t="s">
        <v>16</v>
      </c>
      <c r="G5">
        <v>50</v>
      </c>
      <c r="H5">
        <v>0</v>
      </c>
      <c r="I5">
        <v>0</v>
      </c>
      <c r="J5">
        <v>0</v>
      </c>
      <c r="K5">
        <v>0</v>
      </c>
      <c r="L5">
        <v>-2.35</v>
      </c>
      <c r="M5">
        <v>-10.24</v>
      </c>
      <c r="N5">
        <v>1965</v>
      </c>
      <c r="O5">
        <v>61509</v>
      </c>
      <c r="P5">
        <v>0.02</v>
      </c>
      <c r="Q5">
        <v>700000</v>
      </c>
    </row>
    <row r="6" spans="1:17">
      <c r="A6">
        <v>3602116177</v>
      </c>
      <c r="B6">
        <v>21</v>
      </c>
      <c r="C6" t="s">
        <v>14</v>
      </c>
      <c r="D6" t="s">
        <v>15</v>
      </c>
      <c r="E6">
        <v>16177</v>
      </c>
      <c r="F6" t="s">
        <v>16</v>
      </c>
      <c r="G6">
        <v>100</v>
      </c>
      <c r="H6">
        <v>0</v>
      </c>
      <c r="I6">
        <v>0</v>
      </c>
      <c r="J6">
        <v>0</v>
      </c>
      <c r="K6">
        <v>4000</v>
      </c>
      <c r="L6">
        <v>-2.35</v>
      </c>
      <c r="M6">
        <v>-10.24</v>
      </c>
      <c r="N6">
        <v>1965</v>
      </c>
      <c r="O6">
        <v>61509</v>
      </c>
      <c r="P6">
        <v>0.01</v>
      </c>
      <c r="Q6">
        <v>800000</v>
      </c>
    </row>
    <row r="7" spans="1:17">
      <c r="A7">
        <v>3602116177</v>
      </c>
      <c r="B7">
        <v>21</v>
      </c>
      <c r="C7" t="s">
        <v>14</v>
      </c>
      <c r="D7" t="s">
        <v>15</v>
      </c>
      <c r="E7">
        <v>16177</v>
      </c>
      <c r="F7" t="s">
        <v>16</v>
      </c>
      <c r="G7">
        <v>200</v>
      </c>
      <c r="H7">
        <v>0</v>
      </c>
      <c r="I7">
        <v>0</v>
      </c>
      <c r="J7">
        <v>0</v>
      </c>
      <c r="K7">
        <v>10000</v>
      </c>
      <c r="L7">
        <v>-2.35</v>
      </c>
      <c r="M7">
        <v>-10.24</v>
      </c>
      <c r="N7">
        <v>1965</v>
      </c>
      <c r="O7">
        <v>61509</v>
      </c>
      <c r="P7">
        <v>5.0000000000000001E-3</v>
      </c>
      <c r="Q7">
        <v>900000</v>
      </c>
    </row>
    <row r="8" spans="1:17">
      <c r="A8">
        <v>3602116177</v>
      </c>
      <c r="B8">
        <v>21</v>
      </c>
      <c r="C8" t="s">
        <v>14</v>
      </c>
      <c r="D8" t="s">
        <v>15</v>
      </c>
      <c r="E8">
        <v>16177</v>
      </c>
      <c r="F8" t="s">
        <v>16</v>
      </c>
      <c r="G8">
        <v>500</v>
      </c>
      <c r="H8">
        <v>0</v>
      </c>
      <c r="I8">
        <v>0</v>
      </c>
      <c r="J8">
        <v>0</v>
      </c>
      <c r="K8">
        <v>12000</v>
      </c>
      <c r="L8">
        <v>-2.35</v>
      </c>
      <c r="M8">
        <v>-10.24</v>
      </c>
      <c r="N8">
        <v>1965</v>
      </c>
      <c r="O8">
        <v>61509</v>
      </c>
      <c r="P8">
        <v>2E-3</v>
      </c>
      <c r="Q8">
        <v>1000000</v>
      </c>
    </row>
    <row r="9" spans="1:17">
      <c r="A9">
        <v>3602116177</v>
      </c>
      <c r="B9">
        <v>21</v>
      </c>
      <c r="C9" t="s">
        <v>14</v>
      </c>
      <c r="D9" t="s">
        <v>15</v>
      </c>
      <c r="E9">
        <v>16177</v>
      </c>
      <c r="F9" t="s">
        <v>16</v>
      </c>
      <c r="G9">
        <v>1000</v>
      </c>
      <c r="H9">
        <v>0</v>
      </c>
      <c r="I9">
        <v>0</v>
      </c>
      <c r="J9">
        <v>0</v>
      </c>
      <c r="K9">
        <v>23000</v>
      </c>
      <c r="L9">
        <v>-2.35</v>
      </c>
      <c r="M9">
        <v>-10.24</v>
      </c>
      <c r="N9">
        <v>1965</v>
      </c>
      <c r="O9">
        <v>61509</v>
      </c>
      <c r="P9">
        <v>1E-3</v>
      </c>
      <c r="Q9">
        <v>1500000</v>
      </c>
    </row>
    <row r="10" spans="1:17" hidden="1">
      <c r="A10">
        <v>3602128772</v>
      </c>
      <c r="B10">
        <v>21</v>
      </c>
      <c r="C10" t="s">
        <v>14</v>
      </c>
      <c r="D10" t="s">
        <v>15</v>
      </c>
      <c r="E10">
        <v>28772</v>
      </c>
      <c r="F10" t="s">
        <v>17</v>
      </c>
      <c r="G10">
        <v>5</v>
      </c>
      <c r="H10">
        <v>0</v>
      </c>
      <c r="I10">
        <v>8</v>
      </c>
      <c r="J10">
        <v>0</v>
      </c>
      <c r="K10">
        <v>342000</v>
      </c>
      <c r="L10">
        <v>-0.88</v>
      </c>
      <c r="M10">
        <v>-15.88</v>
      </c>
      <c r="N10">
        <v>1954</v>
      </c>
      <c r="O10">
        <v>61509</v>
      </c>
      <c r="P10">
        <v>0.2</v>
      </c>
      <c r="Q10">
        <v>499999</v>
      </c>
    </row>
    <row r="11" spans="1:17" hidden="1">
      <c r="A11">
        <v>3602128772</v>
      </c>
      <c r="B11">
        <v>21</v>
      </c>
      <c r="C11" t="s">
        <v>14</v>
      </c>
      <c r="D11" t="s">
        <v>15</v>
      </c>
      <c r="E11">
        <v>28772</v>
      </c>
      <c r="F11" t="s">
        <v>17</v>
      </c>
      <c r="G11">
        <v>10</v>
      </c>
      <c r="H11">
        <v>0</v>
      </c>
      <c r="I11">
        <v>8</v>
      </c>
      <c r="J11">
        <v>0</v>
      </c>
      <c r="K11">
        <v>387000</v>
      </c>
      <c r="L11">
        <v>-0.88</v>
      </c>
      <c r="M11">
        <v>-15.88</v>
      </c>
      <c r="N11">
        <v>1954</v>
      </c>
      <c r="O11">
        <v>61509</v>
      </c>
      <c r="P11">
        <v>0.1</v>
      </c>
      <c r="Q11">
        <v>499999</v>
      </c>
    </row>
    <row r="12" spans="1:17" hidden="1">
      <c r="A12">
        <v>3602128772</v>
      </c>
      <c r="B12">
        <v>21</v>
      </c>
      <c r="C12" t="s">
        <v>14</v>
      </c>
      <c r="D12" t="s">
        <v>15</v>
      </c>
      <c r="E12">
        <v>28772</v>
      </c>
      <c r="F12" t="s">
        <v>17</v>
      </c>
      <c r="G12">
        <v>20</v>
      </c>
      <c r="H12">
        <v>0</v>
      </c>
      <c r="I12">
        <v>8</v>
      </c>
      <c r="J12">
        <v>0</v>
      </c>
      <c r="K12">
        <v>448000</v>
      </c>
      <c r="L12">
        <v>-0.88</v>
      </c>
      <c r="M12">
        <v>-15.88</v>
      </c>
      <c r="N12">
        <v>1954</v>
      </c>
      <c r="O12">
        <v>61509</v>
      </c>
      <c r="P12">
        <v>0.05</v>
      </c>
      <c r="Q12">
        <v>600000</v>
      </c>
    </row>
    <row r="13" spans="1:17" hidden="1">
      <c r="A13">
        <v>3602128772</v>
      </c>
      <c r="B13">
        <v>21</v>
      </c>
      <c r="C13" t="s">
        <v>14</v>
      </c>
      <c r="D13" t="s">
        <v>15</v>
      </c>
      <c r="E13">
        <v>28772</v>
      </c>
      <c r="F13" t="s">
        <v>17</v>
      </c>
      <c r="G13">
        <v>50</v>
      </c>
      <c r="H13">
        <v>0</v>
      </c>
      <c r="I13">
        <v>8</v>
      </c>
      <c r="J13">
        <v>0</v>
      </c>
      <c r="K13">
        <v>577000</v>
      </c>
      <c r="L13">
        <v>-0.88</v>
      </c>
      <c r="M13">
        <v>-15.88</v>
      </c>
      <c r="N13">
        <v>1954</v>
      </c>
      <c r="O13">
        <v>61509</v>
      </c>
      <c r="P13">
        <v>0.02</v>
      </c>
      <c r="Q13">
        <v>700000</v>
      </c>
    </row>
    <row r="14" spans="1:17" hidden="1">
      <c r="A14">
        <v>3602128772</v>
      </c>
      <c r="B14">
        <v>21</v>
      </c>
      <c r="C14" t="s">
        <v>14</v>
      </c>
      <c r="D14" t="s">
        <v>15</v>
      </c>
      <c r="E14">
        <v>28772</v>
      </c>
      <c r="F14" t="s">
        <v>17</v>
      </c>
      <c r="G14">
        <v>100</v>
      </c>
      <c r="H14">
        <v>0</v>
      </c>
      <c r="I14">
        <v>8</v>
      </c>
      <c r="J14">
        <v>0</v>
      </c>
      <c r="K14">
        <v>705000</v>
      </c>
      <c r="L14">
        <v>-0.88</v>
      </c>
      <c r="M14">
        <v>-15.88</v>
      </c>
      <c r="N14">
        <v>1954</v>
      </c>
      <c r="O14">
        <v>61509</v>
      </c>
      <c r="P14">
        <v>0.01</v>
      </c>
      <c r="Q14">
        <v>800000</v>
      </c>
    </row>
    <row r="15" spans="1:17" hidden="1">
      <c r="A15">
        <v>3602128772</v>
      </c>
      <c r="B15">
        <v>21</v>
      </c>
      <c r="C15" t="s">
        <v>14</v>
      </c>
      <c r="D15" t="s">
        <v>15</v>
      </c>
      <c r="E15">
        <v>28772</v>
      </c>
      <c r="F15" t="s">
        <v>17</v>
      </c>
      <c r="G15">
        <v>200</v>
      </c>
      <c r="H15">
        <v>0</v>
      </c>
      <c r="I15">
        <v>8</v>
      </c>
      <c r="J15">
        <v>0</v>
      </c>
      <c r="K15">
        <v>778000</v>
      </c>
      <c r="L15">
        <v>-0.88</v>
      </c>
      <c r="M15">
        <v>-15.88</v>
      </c>
      <c r="N15">
        <v>1954</v>
      </c>
      <c r="O15">
        <v>61509</v>
      </c>
      <c r="P15">
        <v>5.0000000000000001E-3</v>
      </c>
      <c r="Q15">
        <v>900000</v>
      </c>
    </row>
    <row r="16" spans="1:17" hidden="1">
      <c r="A16">
        <v>3602128772</v>
      </c>
      <c r="B16">
        <v>21</v>
      </c>
      <c r="C16" t="s">
        <v>14</v>
      </c>
      <c r="D16" t="s">
        <v>15</v>
      </c>
      <c r="E16">
        <v>28772</v>
      </c>
      <c r="F16" t="s">
        <v>17</v>
      </c>
      <c r="G16">
        <v>500</v>
      </c>
      <c r="H16">
        <v>0</v>
      </c>
      <c r="I16">
        <v>8</v>
      </c>
      <c r="J16">
        <v>0</v>
      </c>
      <c r="K16">
        <v>892000</v>
      </c>
      <c r="L16">
        <v>-0.88</v>
      </c>
      <c r="M16">
        <v>-15.88</v>
      </c>
      <c r="N16">
        <v>1954</v>
      </c>
      <c r="O16">
        <v>61509</v>
      </c>
      <c r="P16">
        <v>2E-3</v>
      </c>
      <c r="Q16">
        <v>1000000</v>
      </c>
    </row>
    <row r="17" spans="1:17" hidden="1">
      <c r="A17">
        <v>3602128772</v>
      </c>
      <c r="B17">
        <v>21</v>
      </c>
      <c r="C17" t="s">
        <v>14</v>
      </c>
      <c r="D17" t="s">
        <v>15</v>
      </c>
      <c r="E17">
        <v>28772</v>
      </c>
      <c r="F17" t="s">
        <v>17</v>
      </c>
      <c r="G17">
        <v>1000</v>
      </c>
      <c r="H17">
        <v>0</v>
      </c>
      <c r="I17">
        <v>16</v>
      </c>
      <c r="J17">
        <v>0</v>
      </c>
      <c r="K17">
        <v>1123000</v>
      </c>
      <c r="L17">
        <v>-0.88</v>
      </c>
      <c r="M17">
        <v>-15.88</v>
      </c>
      <c r="N17">
        <v>1954</v>
      </c>
      <c r="O17">
        <v>61509</v>
      </c>
      <c r="P17">
        <v>1E-3</v>
      </c>
      <c r="Q17">
        <v>1500000</v>
      </c>
    </row>
    <row r="18" spans="1:17" hidden="1">
      <c r="A18">
        <v>3602130565</v>
      </c>
      <c r="B18">
        <v>21</v>
      </c>
      <c r="C18" t="s">
        <v>14</v>
      </c>
      <c r="D18" t="s">
        <v>15</v>
      </c>
      <c r="E18">
        <v>30565</v>
      </c>
      <c r="F18" t="s">
        <v>18</v>
      </c>
      <c r="G18">
        <v>5</v>
      </c>
      <c r="H18">
        <v>0</v>
      </c>
      <c r="I18">
        <v>26</v>
      </c>
      <c r="J18">
        <v>0</v>
      </c>
      <c r="K18">
        <v>152000</v>
      </c>
      <c r="L18">
        <v>-1.01</v>
      </c>
      <c r="M18">
        <v>-4.05</v>
      </c>
      <c r="N18">
        <v>4165</v>
      </c>
      <c r="O18">
        <v>61509</v>
      </c>
      <c r="P18">
        <v>0.2</v>
      </c>
      <c r="Q18">
        <v>499999</v>
      </c>
    </row>
    <row r="19" spans="1:17" hidden="1">
      <c r="A19">
        <v>3602130565</v>
      </c>
      <c r="B19">
        <v>21</v>
      </c>
      <c r="C19" t="s">
        <v>14</v>
      </c>
      <c r="D19" t="s">
        <v>15</v>
      </c>
      <c r="E19">
        <v>30565</v>
      </c>
      <c r="F19" t="s">
        <v>18</v>
      </c>
      <c r="G19">
        <v>10</v>
      </c>
      <c r="H19">
        <v>0</v>
      </c>
      <c r="I19">
        <v>26</v>
      </c>
      <c r="J19">
        <v>0</v>
      </c>
      <c r="K19">
        <v>229000</v>
      </c>
      <c r="L19">
        <v>-1.01</v>
      </c>
      <c r="M19">
        <v>-4.05</v>
      </c>
      <c r="N19">
        <v>4165</v>
      </c>
      <c r="O19">
        <v>61509</v>
      </c>
      <c r="P19">
        <v>0.1</v>
      </c>
      <c r="Q19">
        <v>499999</v>
      </c>
    </row>
    <row r="20" spans="1:17" hidden="1">
      <c r="A20">
        <v>3602130565</v>
      </c>
      <c r="B20">
        <v>21</v>
      </c>
      <c r="C20" t="s">
        <v>14</v>
      </c>
      <c r="D20" t="s">
        <v>15</v>
      </c>
      <c r="E20">
        <v>30565</v>
      </c>
      <c r="F20" t="s">
        <v>18</v>
      </c>
      <c r="G20">
        <v>20</v>
      </c>
      <c r="H20">
        <v>0</v>
      </c>
      <c r="I20">
        <v>26</v>
      </c>
      <c r="J20">
        <v>0</v>
      </c>
      <c r="K20">
        <v>299000</v>
      </c>
      <c r="L20">
        <v>-1.01</v>
      </c>
      <c r="M20">
        <v>-4.05</v>
      </c>
      <c r="N20">
        <v>4165</v>
      </c>
      <c r="O20">
        <v>61509</v>
      </c>
      <c r="P20">
        <v>0.05</v>
      </c>
      <c r="Q20">
        <v>600000</v>
      </c>
    </row>
    <row r="21" spans="1:17" hidden="1">
      <c r="A21">
        <v>3602130565</v>
      </c>
      <c r="B21">
        <v>21</v>
      </c>
      <c r="C21" t="s">
        <v>14</v>
      </c>
      <c r="D21" t="s">
        <v>15</v>
      </c>
      <c r="E21">
        <v>30565</v>
      </c>
      <c r="F21" t="s">
        <v>18</v>
      </c>
      <c r="G21">
        <v>50</v>
      </c>
      <c r="H21">
        <v>0</v>
      </c>
      <c r="I21">
        <v>26</v>
      </c>
      <c r="J21">
        <v>1</v>
      </c>
      <c r="K21">
        <v>426000</v>
      </c>
      <c r="L21">
        <v>-1.01</v>
      </c>
      <c r="M21">
        <v>-4.05</v>
      </c>
      <c r="N21">
        <v>4165</v>
      </c>
      <c r="O21">
        <v>61509</v>
      </c>
      <c r="P21">
        <v>0.02</v>
      </c>
      <c r="Q21">
        <v>700000</v>
      </c>
    </row>
    <row r="22" spans="1:17" hidden="1">
      <c r="A22">
        <v>3602130565</v>
      </c>
      <c r="B22">
        <v>21</v>
      </c>
      <c r="C22" t="s">
        <v>14</v>
      </c>
      <c r="D22" t="s">
        <v>15</v>
      </c>
      <c r="E22">
        <v>30565</v>
      </c>
      <c r="F22" t="s">
        <v>18</v>
      </c>
      <c r="G22">
        <v>100</v>
      </c>
      <c r="H22">
        <v>0</v>
      </c>
      <c r="I22">
        <v>26</v>
      </c>
      <c r="J22">
        <v>1</v>
      </c>
      <c r="K22">
        <v>503000</v>
      </c>
      <c r="L22">
        <v>-1.01</v>
      </c>
      <c r="M22">
        <v>-4.05</v>
      </c>
      <c r="N22">
        <v>4165</v>
      </c>
      <c r="O22">
        <v>61509</v>
      </c>
      <c r="P22">
        <v>0.01</v>
      </c>
      <c r="Q22">
        <v>800000</v>
      </c>
    </row>
    <row r="23" spans="1:17" hidden="1">
      <c r="A23">
        <v>3602130565</v>
      </c>
      <c r="B23">
        <v>21</v>
      </c>
      <c r="C23" t="s">
        <v>14</v>
      </c>
      <c r="D23" t="s">
        <v>15</v>
      </c>
      <c r="E23">
        <v>30565</v>
      </c>
      <c r="F23" t="s">
        <v>18</v>
      </c>
      <c r="G23">
        <v>200</v>
      </c>
      <c r="H23">
        <v>0</v>
      </c>
      <c r="I23">
        <v>26</v>
      </c>
      <c r="J23">
        <v>1</v>
      </c>
      <c r="K23">
        <v>540000</v>
      </c>
      <c r="L23">
        <v>-1.01</v>
      </c>
      <c r="M23">
        <v>-4.05</v>
      </c>
      <c r="N23">
        <v>4165</v>
      </c>
      <c r="O23">
        <v>61509</v>
      </c>
      <c r="P23">
        <v>5.0000000000000001E-3</v>
      </c>
      <c r="Q23">
        <v>900000</v>
      </c>
    </row>
    <row r="24" spans="1:17" hidden="1">
      <c r="A24">
        <v>3602130565</v>
      </c>
      <c r="B24">
        <v>21</v>
      </c>
      <c r="C24" t="s">
        <v>14</v>
      </c>
      <c r="D24" t="s">
        <v>15</v>
      </c>
      <c r="E24">
        <v>30565</v>
      </c>
      <c r="F24" t="s">
        <v>18</v>
      </c>
      <c r="G24">
        <v>500</v>
      </c>
      <c r="H24">
        <v>0</v>
      </c>
      <c r="I24">
        <v>26</v>
      </c>
      <c r="J24">
        <v>1</v>
      </c>
      <c r="K24">
        <v>598000</v>
      </c>
      <c r="L24">
        <v>-1.01</v>
      </c>
      <c r="M24">
        <v>-4.05</v>
      </c>
      <c r="N24">
        <v>4165</v>
      </c>
      <c r="O24">
        <v>61509</v>
      </c>
      <c r="P24">
        <v>2E-3</v>
      </c>
      <c r="Q24">
        <v>1000000</v>
      </c>
    </row>
    <row r="25" spans="1:17" hidden="1">
      <c r="A25">
        <v>3602130565</v>
      </c>
      <c r="B25">
        <v>21</v>
      </c>
      <c r="C25" t="s">
        <v>14</v>
      </c>
      <c r="D25" t="s">
        <v>15</v>
      </c>
      <c r="E25">
        <v>30565</v>
      </c>
      <c r="F25" t="s">
        <v>18</v>
      </c>
      <c r="G25">
        <v>1000</v>
      </c>
      <c r="H25">
        <v>0</v>
      </c>
      <c r="I25">
        <v>26</v>
      </c>
      <c r="J25">
        <v>1</v>
      </c>
      <c r="K25">
        <v>675000</v>
      </c>
      <c r="L25">
        <v>-1.01</v>
      </c>
      <c r="M25">
        <v>-4.05</v>
      </c>
      <c r="N25">
        <v>4165</v>
      </c>
      <c r="O25">
        <v>61509</v>
      </c>
      <c r="P25">
        <v>1E-3</v>
      </c>
      <c r="Q25">
        <v>1500000</v>
      </c>
    </row>
    <row r="26" spans="1:17" hidden="1">
      <c r="A26">
        <v>3602135969</v>
      </c>
      <c r="B26">
        <v>21</v>
      </c>
      <c r="C26" t="s">
        <v>14</v>
      </c>
      <c r="D26" t="s">
        <v>19</v>
      </c>
      <c r="E26">
        <v>35969</v>
      </c>
      <c r="F26" t="s">
        <v>20</v>
      </c>
      <c r="G26">
        <v>5</v>
      </c>
      <c r="H26">
        <v>0</v>
      </c>
      <c r="I26">
        <v>4</v>
      </c>
      <c r="J26">
        <v>0</v>
      </c>
      <c r="K26">
        <v>3861000</v>
      </c>
      <c r="L26">
        <v>4.18</v>
      </c>
      <c r="M26">
        <v>57.92</v>
      </c>
      <c r="N26">
        <v>6648</v>
      </c>
      <c r="O26">
        <v>61509</v>
      </c>
      <c r="P26">
        <v>0.2</v>
      </c>
      <c r="Q26">
        <v>499999</v>
      </c>
    </row>
    <row r="27" spans="1:17" hidden="1">
      <c r="A27">
        <v>3602135969</v>
      </c>
      <c r="B27">
        <v>21</v>
      </c>
      <c r="C27" t="s">
        <v>14</v>
      </c>
      <c r="D27" t="s">
        <v>19</v>
      </c>
      <c r="E27">
        <v>35969</v>
      </c>
      <c r="F27" t="s">
        <v>20</v>
      </c>
      <c r="G27">
        <v>10</v>
      </c>
      <c r="H27">
        <v>1</v>
      </c>
      <c r="I27">
        <v>4</v>
      </c>
      <c r="J27">
        <v>0</v>
      </c>
      <c r="K27">
        <v>5054000</v>
      </c>
      <c r="L27">
        <v>4.18</v>
      </c>
      <c r="M27">
        <v>57.92</v>
      </c>
      <c r="N27">
        <v>6648</v>
      </c>
      <c r="O27">
        <v>61509</v>
      </c>
      <c r="P27">
        <v>0.1</v>
      </c>
      <c r="Q27">
        <v>499999</v>
      </c>
    </row>
    <row r="28" spans="1:17" hidden="1">
      <c r="A28">
        <v>3602135969</v>
      </c>
      <c r="B28">
        <v>21</v>
      </c>
      <c r="C28" t="s">
        <v>14</v>
      </c>
      <c r="D28" t="s">
        <v>19</v>
      </c>
      <c r="E28">
        <v>35969</v>
      </c>
      <c r="F28" t="s">
        <v>20</v>
      </c>
      <c r="G28">
        <v>20</v>
      </c>
      <c r="H28">
        <v>0</v>
      </c>
      <c r="I28">
        <v>4</v>
      </c>
      <c r="J28">
        <v>0</v>
      </c>
      <c r="K28">
        <v>6695000</v>
      </c>
      <c r="L28">
        <v>4.18</v>
      </c>
      <c r="M28">
        <v>57.92</v>
      </c>
      <c r="N28">
        <v>6648</v>
      </c>
      <c r="O28">
        <v>61509</v>
      </c>
      <c r="P28">
        <v>0.05</v>
      </c>
      <c r="Q28">
        <v>600000</v>
      </c>
    </row>
    <row r="29" spans="1:17" hidden="1">
      <c r="A29">
        <v>3602135969</v>
      </c>
      <c r="B29">
        <v>21</v>
      </c>
      <c r="C29" t="s">
        <v>14</v>
      </c>
      <c r="D29" t="s">
        <v>19</v>
      </c>
      <c r="E29">
        <v>35969</v>
      </c>
      <c r="F29" t="s">
        <v>20</v>
      </c>
      <c r="G29">
        <v>50</v>
      </c>
      <c r="H29">
        <v>4</v>
      </c>
      <c r="I29">
        <v>4</v>
      </c>
      <c r="J29">
        <v>0</v>
      </c>
      <c r="K29">
        <v>12868000</v>
      </c>
      <c r="L29">
        <v>4.18</v>
      </c>
      <c r="M29">
        <v>57.92</v>
      </c>
      <c r="N29">
        <v>6648</v>
      </c>
      <c r="O29">
        <v>61509</v>
      </c>
      <c r="P29">
        <v>0.02</v>
      </c>
      <c r="Q29">
        <v>700000</v>
      </c>
    </row>
    <row r="30" spans="1:17" hidden="1">
      <c r="A30">
        <v>3602135969</v>
      </c>
      <c r="B30">
        <v>21</v>
      </c>
      <c r="C30" t="s">
        <v>14</v>
      </c>
      <c r="D30" t="s">
        <v>19</v>
      </c>
      <c r="E30">
        <v>35969</v>
      </c>
      <c r="F30" t="s">
        <v>20</v>
      </c>
      <c r="G30">
        <v>100</v>
      </c>
      <c r="H30">
        <v>10</v>
      </c>
      <c r="I30">
        <v>4</v>
      </c>
      <c r="J30">
        <v>1</v>
      </c>
      <c r="K30">
        <v>21032000</v>
      </c>
      <c r="L30">
        <v>4.18</v>
      </c>
      <c r="M30">
        <v>57.92</v>
      </c>
      <c r="N30">
        <v>6648</v>
      </c>
      <c r="O30">
        <v>61509</v>
      </c>
      <c r="P30">
        <v>0.01</v>
      </c>
      <c r="Q30">
        <v>800000</v>
      </c>
    </row>
    <row r="31" spans="1:17" hidden="1">
      <c r="A31">
        <v>3602135969</v>
      </c>
      <c r="B31">
        <v>21</v>
      </c>
      <c r="C31" t="s">
        <v>14</v>
      </c>
      <c r="D31" t="s">
        <v>19</v>
      </c>
      <c r="E31">
        <v>35969</v>
      </c>
      <c r="F31" t="s">
        <v>20</v>
      </c>
      <c r="G31">
        <v>200</v>
      </c>
      <c r="H31">
        <v>15</v>
      </c>
      <c r="I31">
        <v>4</v>
      </c>
      <c r="J31">
        <v>1</v>
      </c>
      <c r="K31">
        <v>26711000</v>
      </c>
      <c r="L31">
        <v>4.18</v>
      </c>
      <c r="M31">
        <v>57.92</v>
      </c>
      <c r="N31">
        <v>6648</v>
      </c>
      <c r="O31">
        <v>61509</v>
      </c>
      <c r="P31">
        <v>5.0000000000000001E-3</v>
      </c>
      <c r="Q31">
        <v>900000</v>
      </c>
    </row>
    <row r="32" spans="1:17" hidden="1">
      <c r="A32">
        <v>3602135969</v>
      </c>
      <c r="B32">
        <v>21</v>
      </c>
      <c r="C32" t="s">
        <v>14</v>
      </c>
      <c r="D32" t="s">
        <v>19</v>
      </c>
      <c r="E32">
        <v>35969</v>
      </c>
      <c r="F32" t="s">
        <v>20</v>
      </c>
      <c r="G32">
        <v>500</v>
      </c>
      <c r="H32">
        <v>25</v>
      </c>
      <c r="I32">
        <v>4</v>
      </c>
      <c r="J32">
        <v>1</v>
      </c>
      <c r="K32">
        <v>36023000</v>
      </c>
      <c r="L32">
        <v>4.18</v>
      </c>
      <c r="M32">
        <v>57.92</v>
      </c>
      <c r="N32">
        <v>6648</v>
      </c>
      <c r="O32">
        <v>61509</v>
      </c>
      <c r="P32">
        <v>2E-3</v>
      </c>
      <c r="Q32">
        <v>1000000</v>
      </c>
    </row>
    <row r="33" spans="1:17" hidden="1">
      <c r="A33">
        <v>3602135969</v>
      </c>
      <c r="B33">
        <v>21</v>
      </c>
      <c r="C33" t="s">
        <v>14</v>
      </c>
      <c r="D33" t="s">
        <v>19</v>
      </c>
      <c r="E33">
        <v>35969</v>
      </c>
      <c r="F33" t="s">
        <v>20</v>
      </c>
      <c r="G33">
        <v>1000</v>
      </c>
      <c r="H33">
        <v>27</v>
      </c>
      <c r="I33">
        <v>4</v>
      </c>
      <c r="J33">
        <v>1</v>
      </c>
      <c r="K33">
        <v>44521000</v>
      </c>
      <c r="L33">
        <v>4.18</v>
      </c>
      <c r="M33">
        <v>57.92</v>
      </c>
      <c r="N33">
        <v>6648</v>
      </c>
      <c r="O33">
        <v>61509</v>
      </c>
      <c r="P33">
        <v>1E-3</v>
      </c>
      <c r="Q33">
        <v>1500000</v>
      </c>
    </row>
    <row r="34" spans="1:17" hidden="1">
      <c r="A34">
        <v>3602142917</v>
      </c>
      <c r="B34">
        <v>21</v>
      </c>
      <c r="C34" t="s">
        <v>14</v>
      </c>
      <c r="D34" t="s">
        <v>15</v>
      </c>
      <c r="E34">
        <v>42917</v>
      </c>
      <c r="F34" t="s">
        <v>21</v>
      </c>
      <c r="G34">
        <v>5</v>
      </c>
      <c r="H34">
        <v>0</v>
      </c>
      <c r="I34">
        <v>0</v>
      </c>
      <c r="J34">
        <v>1</v>
      </c>
      <c r="K34">
        <v>54000</v>
      </c>
      <c r="L34">
        <v>-4.4800000000000004</v>
      </c>
      <c r="M34">
        <v>-17.52</v>
      </c>
      <c r="N34">
        <v>3646</v>
      </c>
      <c r="O34">
        <v>61509</v>
      </c>
      <c r="P34">
        <v>0.2</v>
      </c>
      <c r="Q34">
        <v>499999</v>
      </c>
    </row>
    <row r="35" spans="1:17" hidden="1">
      <c r="A35">
        <v>3602142917</v>
      </c>
      <c r="B35">
        <v>21</v>
      </c>
      <c r="C35" t="s">
        <v>14</v>
      </c>
      <c r="D35" t="s">
        <v>15</v>
      </c>
      <c r="E35">
        <v>42917</v>
      </c>
      <c r="F35" t="s">
        <v>21</v>
      </c>
      <c r="G35">
        <v>10</v>
      </c>
      <c r="H35">
        <v>0</v>
      </c>
      <c r="I35">
        <v>0</v>
      </c>
      <c r="J35">
        <v>1</v>
      </c>
      <c r="K35">
        <v>71000</v>
      </c>
      <c r="L35">
        <v>-4.4800000000000004</v>
      </c>
      <c r="M35">
        <v>-17.52</v>
      </c>
      <c r="N35">
        <v>3646</v>
      </c>
      <c r="O35">
        <v>61509</v>
      </c>
      <c r="P35">
        <v>0.1</v>
      </c>
      <c r="Q35">
        <v>499999</v>
      </c>
    </row>
    <row r="36" spans="1:17" hidden="1">
      <c r="A36">
        <v>3602142917</v>
      </c>
      <c r="B36">
        <v>21</v>
      </c>
      <c r="C36" t="s">
        <v>14</v>
      </c>
      <c r="D36" t="s">
        <v>15</v>
      </c>
      <c r="E36">
        <v>42917</v>
      </c>
      <c r="F36" t="s">
        <v>21</v>
      </c>
      <c r="G36">
        <v>20</v>
      </c>
      <c r="H36">
        <v>0</v>
      </c>
      <c r="I36">
        <v>4</v>
      </c>
      <c r="J36">
        <v>1</v>
      </c>
      <c r="K36">
        <v>101000</v>
      </c>
      <c r="L36">
        <v>-4.4800000000000004</v>
      </c>
      <c r="M36">
        <v>-17.52</v>
      </c>
      <c r="N36">
        <v>3646</v>
      </c>
      <c r="O36">
        <v>61509</v>
      </c>
      <c r="P36">
        <v>0.05</v>
      </c>
      <c r="Q36">
        <v>600000</v>
      </c>
    </row>
    <row r="37" spans="1:17" hidden="1">
      <c r="A37">
        <v>3602142917</v>
      </c>
      <c r="B37">
        <v>21</v>
      </c>
      <c r="C37" t="s">
        <v>14</v>
      </c>
      <c r="D37" t="s">
        <v>15</v>
      </c>
      <c r="E37">
        <v>42917</v>
      </c>
      <c r="F37" t="s">
        <v>21</v>
      </c>
      <c r="G37">
        <v>50</v>
      </c>
      <c r="H37">
        <v>0</v>
      </c>
      <c r="I37">
        <v>4</v>
      </c>
      <c r="J37">
        <v>1</v>
      </c>
      <c r="K37">
        <v>140000</v>
      </c>
      <c r="L37">
        <v>-4.4800000000000004</v>
      </c>
      <c r="M37">
        <v>-17.52</v>
      </c>
      <c r="N37">
        <v>3646</v>
      </c>
      <c r="O37">
        <v>61509</v>
      </c>
      <c r="P37">
        <v>0.02</v>
      </c>
      <c r="Q37">
        <v>700000</v>
      </c>
    </row>
    <row r="38" spans="1:17" hidden="1">
      <c r="A38">
        <v>3602142917</v>
      </c>
      <c r="B38">
        <v>21</v>
      </c>
      <c r="C38" t="s">
        <v>14</v>
      </c>
      <c r="D38" t="s">
        <v>15</v>
      </c>
      <c r="E38">
        <v>42917</v>
      </c>
      <c r="F38" t="s">
        <v>21</v>
      </c>
      <c r="G38">
        <v>100</v>
      </c>
      <c r="H38">
        <v>0</v>
      </c>
      <c r="I38">
        <v>4</v>
      </c>
      <c r="J38">
        <v>1</v>
      </c>
      <c r="K38">
        <v>192000</v>
      </c>
      <c r="L38">
        <v>-4.4800000000000004</v>
      </c>
      <c r="M38">
        <v>-17.52</v>
      </c>
      <c r="N38">
        <v>3646</v>
      </c>
      <c r="O38">
        <v>61509</v>
      </c>
      <c r="P38">
        <v>0.01</v>
      </c>
      <c r="Q38">
        <v>800000</v>
      </c>
    </row>
    <row r="39" spans="1:17" hidden="1">
      <c r="A39">
        <v>3602142917</v>
      </c>
      <c r="B39">
        <v>21</v>
      </c>
      <c r="C39" t="s">
        <v>14</v>
      </c>
      <c r="D39" t="s">
        <v>15</v>
      </c>
      <c r="E39">
        <v>42917</v>
      </c>
      <c r="F39" t="s">
        <v>21</v>
      </c>
      <c r="G39">
        <v>200</v>
      </c>
      <c r="H39">
        <v>0</v>
      </c>
      <c r="I39">
        <v>4</v>
      </c>
      <c r="J39">
        <v>1</v>
      </c>
      <c r="K39">
        <v>218000</v>
      </c>
      <c r="L39">
        <v>-4.4800000000000004</v>
      </c>
      <c r="M39">
        <v>-17.52</v>
      </c>
      <c r="N39">
        <v>3646</v>
      </c>
      <c r="O39">
        <v>61509</v>
      </c>
      <c r="P39">
        <v>5.0000000000000001E-3</v>
      </c>
      <c r="Q39">
        <v>900000</v>
      </c>
    </row>
    <row r="40" spans="1:17" hidden="1">
      <c r="A40">
        <v>3602142917</v>
      </c>
      <c r="B40">
        <v>21</v>
      </c>
      <c r="C40" t="s">
        <v>14</v>
      </c>
      <c r="D40" t="s">
        <v>15</v>
      </c>
      <c r="E40">
        <v>42917</v>
      </c>
      <c r="F40" t="s">
        <v>21</v>
      </c>
      <c r="G40">
        <v>500</v>
      </c>
      <c r="H40">
        <v>0</v>
      </c>
      <c r="I40">
        <v>4</v>
      </c>
      <c r="J40">
        <v>1</v>
      </c>
      <c r="K40">
        <v>250000</v>
      </c>
      <c r="L40">
        <v>-4.4800000000000004</v>
      </c>
      <c r="M40">
        <v>-17.52</v>
      </c>
      <c r="N40">
        <v>3646</v>
      </c>
      <c r="O40">
        <v>61509</v>
      </c>
      <c r="P40">
        <v>2E-3</v>
      </c>
      <c r="Q40">
        <v>1000000</v>
      </c>
    </row>
    <row r="41" spans="1:17" hidden="1">
      <c r="A41">
        <v>3602142917</v>
      </c>
      <c r="B41">
        <v>21</v>
      </c>
      <c r="C41" t="s">
        <v>14</v>
      </c>
      <c r="D41" t="s">
        <v>15</v>
      </c>
      <c r="E41">
        <v>42917</v>
      </c>
      <c r="F41" t="s">
        <v>21</v>
      </c>
      <c r="G41">
        <v>1000</v>
      </c>
      <c r="H41">
        <v>0</v>
      </c>
      <c r="I41">
        <v>4</v>
      </c>
      <c r="J41">
        <v>1</v>
      </c>
      <c r="K41">
        <v>305000</v>
      </c>
      <c r="L41">
        <v>-4.4800000000000004</v>
      </c>
      <c r="M41">
        <v>-17.52</v>
      </c>
      <c r="N41">
        <v>3646</v>
      </c>
      <c r="O41">
        <v>61509</v>
      </c>
      <c r="P41">
        <v>1E-3</v>
      </c>
      <c r="Q41">
        <v>1500000</v>
      </c>
    </row>
    <row r="42" spans="1:17" hidden="1">
      <c r="A42">
        <v>3602171443</v>
      </c>
      <c r="B42">
        <v>21</v>
      </c>
      <c r="C42" t="s">
        <v>14</v>
      </c>
      <c r="D42" t="s">
        <v>15</v>
      </c>
      <c r="E42">
        <v>71443</v>
      </c>
      <c r="F42" t="s">
        <v>22</v>
      </c>
      <c r="G42">
        <v>5</v>
      </c>
      <c r="H42">
        <v>1</v>
      </c>
      <c r="I42">
        <v>0</v>
      </c>
      <c r="J42">
        <v>0</v>
      </c>
      <c r="K42">
        <v>501000</v>
      </c>
      <c r="L42">
        <v>-2.65</v>
      </c>
      <c r="M42">
        <v>-20.66</v>
      </c>
      <c r="N42">
        <v>2815</v>
      </c>
      <c r="O42">
        <v>61509</v>
      </c>
      <c r="P42">
        <v>0.2</v>
      </c>
      <c r="Q42">
        <v>499999</v>
      </c>
    </row>
    <row r="43" spans="1:17" hidden="1">
      <c r="A43">
        <v>3602171443</v>
      </c>
      <c r="B43">
        <v>21</v>
      </c>
      <c r="C43" t="s">
        <v>14</v>
      </c>
      <c r="D43" t="s">
        <v>15</v>
      </c>
      <c r="E43">
        <v>71443</v>
      </c>
      <c r="F43" t="s">
        <v>22</v>
      </c>
      <c r="G43">
        <v>10</v>
      </c>
      <c r="H43">
        <v>3</v>
      </c>
      <c r="I43">
        <v>0</v>
      </c>
      <c r="J43">
        <v>0</v>
      </c>
      <c r="K43">
        <v>684000</v>
      </c>
      <c r="L43">
        <v>-2.65</v>
      </c>
      <c r="M43">
        <v>-20.66</v>
      </c>
      <c r="N43">
        <v>2815</v>
      </c>
      <c r="O43">
        <v>61509</v>
      </c>
      <c r="P43">
        <v>0.1</v>
      </c>
      <c r="Q43">
        <v>499999</v>
      </c>
    </row>
    <row r="44" spans="1:17" hidden="1">
      <c r="A44">
        <v>3602171443</v>
      </c>
      <c r="B44">
        <v>21</v>
      </c>
      <c r="C44" t="s">
        <v>14</v>
      </c>
      <c r="D44" t="s">
        <v>15</v>
      </c>
      <c r="E44">
        <v>71443</v>
      </c>
      <c r="F44" t="s">
        <v>22</v>
      </c>
      <c r="G44">
        <v>20</v>
      </c>
      <c r="H44">
        <v>3</v>
      </c>
      <c r="I44">
        <v>0</v>
      </c>
      <c r="J44">
        <v>0</v>
      </c>
      <c r="K44">
        <v>858000</v>
      </c>
      <c r="L44">
        <v>-2.65</v>
      </c>
      <c r="M44">
        <v>-20.66</v>
      </c>
      <c r="N44">
        <v>2815</v>
      </c>
      <c r="O44">
        <v>61509</v>
      </c>
      <c r="P44">
        <v>0.05</v>
      </c>
      <c r="Q44">
        <v>600000</v>
      </c>
    </row>
    <row r="45" spans="1:17" hidden="1">
      <c r="A45">
        <v>3602171443</v>
      </c>
      <c r="B45">
        <v>21</v>
      </c>
      <c r="C45" t="s">
        <v>14</v>
      </c>
      <c r="D45" t="s">
        <v>15</v>
      </c>
      <c r="E45">
        <v>71443</v>
      </c>
      <c r="F45" t="s">
        <v>22</v>
      </c>
      <c r="G45">
        <v>50</v>
      </c>
      <c r="H45">
        <v>5</v>
      </c>
      <c r="I45">
        <v>0</v>
      </c>
      <c r="J45">
        <v>0</v>
      </c>
      <c r="K45">
        <v>1166000</v>
      </c>
      <c r="L45">
        <v>-2.65</v>
      </c>
      <c r="M45">
        <v>-20.66</v>
      </c>
      <c r="N45">
        <v>2815</v>
      </c>
      <c r="O45">
        <v>61509</v>
      </c>
      <c r="P45">
        <v>0.02</v>
      </c>
      <c r="Q45">
        <v>700000</v>
      </c>
    </row>
    <row r="46" spans="1:17" hidden="1">
      <c r="A46">
        <v>3602171443</v>
      </c>
      <c r="B46">
        <v>21</v>
      </c>
      <c r="C46" t="s">
        <v>14</v>
      </c>
      <c r="D46" t="s">
        <v>15</v>
      </c>
      <c r="E46">
        <v>71443</v>
      </c>
      <c r="F46" t="s">
        <v>22</v>
      </c>
      <c r="G46">
        <v>100</v>
      </c>
      <c r="H46">
        <v>6</v>
      </c>
      <c r="I46">
        <v>21</v>
      </c>
      <c r="J46">
        <v>0</v>
      </c>
      <c r="K46">
        <v>1439000</v>
      </c>
      <c r="L46">
        <v>-2.65</v>
      </c>
      <c r="M46">
        <v>-20.66</v>
      </c>
      <c r="N46">
        <v>2815</v>
      </c>
      <c r="O46">
        <v>61509</v>
      </c>
      <c r="P46">
        <v>0.01</v>
      </c>
      <c r="Q46">
        <v>800000</v>
      </c>
    </row>
    <row r="47" spans="1:17" hidden="1">
      <c r="A47">
        <v>3602171443</v>
      </c>
      <c r="B47">
        <v>21</v>
      </c>
      <c r="C47" t="s">
        <v>14</v>
      </c>
      <c r="D47" t="s">
        <v>15</v>
      </c>
      <c r="E47">
        <v>71443</v>
      </c>
      <c r="F47" t="s">
        <v>22</v>
      </c>
      <c r="G47">
        <v>200</v>
      </c>
      <c r="H47">
        <v>5</v>
      </c>
      <c r="I47">
        <v>21</v>
      </c>
      <c r="J47">
        <v>0</v>
      </c>
      <c r="K47">
        <v>1601000</v>
      </c>
      <c r="L47">
        <v>-2.65</v>
      </c>
      <c r="M47">
        <v>-20.66</v>
      </c>
      <c r="N47">
        <v>2815</v>
      </c>
      <c r="O47">
        <v>61509</v>
      </c>
      <c r="P47">
        <v>5.0000000000000001E-3</v>
      </c>
      <c r="Q47">
        <v>900000</v>
      </c>
    </row>
    <row r="48" spans="1:17" hidden="1">
      <c r="A48">
        <v>3602171443</v>
      </c>
      <c r="B48">
        <v>21</v>
      </c>
      <c r="C48" t="s">
        <v>14</v>
      </c>
      <c r="D48" t="s">
        <v>15</v>
      </c>
      <c r="E48">
        <v>71443</v>
      </c>
      <c r="F48" t="s">
        <v>22</v>
      </c>
      <c r="G48">
        <v>500</v>
      </c>
      <c r="H48">
        <v>6</v>
      </c>
      <c r="I48">
        <v>21</v>
      </c>
      <c r="J48">
        <v>0</v>
      </c>
      <c r="K48">
        <v>2013000</v>
      </c>
      <c r="L48">
        <v>-2.65</v>
      </c>
      <c r="M48">
        <v>-20.66</v>
      </c>
      <c r="N48">
        <v>2815</v>
      </c>
      <c r="O48">
        <v>61509</v>
      </c>
      <c r="P48">
        <v>2E-3</v>
      </c>
      <c r="Q48">
        <v>1000000</v>
      </c>
    </row>
    <row r="49" spans="1:17" hidden="1">
      <c r="A49">
        <v>3602171443</v>
      </c>
      <c r="B49">
        <v>21</v>
      </c>
      <c r="C49" t="s">
        <v>14</v>
      </c>
      <c r="D49" t="s">
        <v>15</v>
      </c>
      <c r="E49">
        <v>71443</v>
      </c>
      <c r="F49" t="s">
        <v>22</v>
      </c>
      <c r="G49">
        <v>1000</v>
      </c>
      <c r="H49">
        <v>8</v>
      </c>
      <c r="I49">
        <v>21</v>
      </c>
      <c r="J49">
        <v>0</v>
      </c>
      <c r="K49">
        <v>2424000</v>
      </c>
      <c r="L49">
        <v>-2.65</v>
      </c>
      <c r="M49">
        <v>-20.66</v>
      </c>
      <c r="N49">
        <v>2815</v>
      </c>
      <c r="O49">
        <v>61509</v>
      </c>
      <c r="P49">
        <v>1E-3</v>
      </c>
      <c r="Q49">
        <v>1500000</v>
      </c>
    </row>
    <row r="50" spans="1:17" hidden="1">
      <c r="A50">
        <v>3602171850</v>
      </c>
      <c r="B50">
        <v>21</v>
      </c>
      <c r="C50" t="s">
        <v>14</v>
      </c>
      <c r="D50" t="s">
        <v>15</v>
      </c>
      <c r="E50">
        <v>71850</v>
      </c>
      <c r="F50" t="s">
        <v>23</v>
      </c>
      <c r="G50">
        <v>5</v>
      </c>
      <c r="H50">
        <v>0</v>
      </c>
      <c r="I50">
        <v>45</v>
      </c>
      <c r="J50">
        <v>1</v>
      </c>
      <c r="K50">
        <v>270000</v>
      </c>
      <c r="L50">
        <v>-6.49</v>
      </c>
      <c r="M50">
        <v>-28.21</v>
      </c>
      <c r="N50">
        <v>2027</v>
      </c>
      <c r="O50">
        <v>61509</v>
      </c>
      <c r="P50">
        <v>0.2</v>
      </c>
      <c r="Q50">
        <v>499999</v>
      </c>
    </row>
    <row r="51" spans="1:17" hidden="1">
      <c r="A51">
        <v>3602171850</v>
      </c>
      <c r="B51">
        <v>21</v>
      </c>
      <c r="C51" t="s">
        <v>14</v>
      </c>
      <c r="D51" t="s">
        <v>15</v>
      </c>
      <c r="E51">
        <v>71850</v>
      </c>
      <c r="F51" t="s">
        <v>23</v>
      </c>
      <c r="G51">
        <v>10</v>
      </c>
      <c r="H51">
        <v>0</v>
      </c>
      <c r="I51">
        <v>60</v>
      </c>
      <c r="J51">
        <v>1</v>
      </c>
      <c r="K51">
        <v>484000</v>
      </c>
      <c r="L51">
        <v>-6.49</v>
      </c>
      <c r="M51">
        <v>-28.21</v>
      </c>
      <c r="N51">
        <v>2027</v>
      </c>
      <c r="O51">
        <v>61509</v>
      </c>
      <c r="P51">
        <v>0.1</v>
      </c>
      <c r="Q51">
        <v>499999</v>
      </c>
    </row>
    <row r="52" spans="1:17" hidden="1">
      <c r="A52">
        <v>3602171850</v>
      </c>
      <c r="B52">
        <v>21</v>
      </c>
      <c r="C52" t="s">
        <v>14</v>
      </c>
      <c r="D52" t="s">
        <v>15</v>
      </c>
      <c r="E52">
        <v>71850</v>
      </c>
      <c r="F52" t="s">
        <v>23</v>
      </c>
      <c r="G52">
        <v>20</v>
      </c>
      <c r="H52">
        <v>0</v>
      </c>
      <c r="I52">
        <v>60</v>
      </c>
      <c r="J52">
        <v>1</v>
      </c>
      <c r="K52">
        <v>694000</v>
      </c>
      <c r="L52">
        <v>-6.49</v>
      </c>
      <c r="M52">
        <v>-28.21</v>
      </c>
      <c r="N52">
        <v>2027</v>
      </c>
      <c r="O52">
        <v>61509</v>
      </c>
      <c r="P52">
        <v>0.05</v>
      </c>
      <c r="Q52">
        <v>600000</v>
      </c>
    </row>
    <row r="53" spans="1:17" hidden="1">
      <c r="A53">
        <v>3602171850</v>
      </c>
      <c r="B53">
        <v>21</v>
      </c>
      <c r="C53" t="s">
        <v>14</v>
      </c>
      <c r="D53" t="s">
        <v>15</v>
      </c>
      <c r="E53">
        <v>71850</v>
      </c>
      <c r="F53" t="s">
        <v>23</v>
      </c>
      <c r="G53">
        <v>50</v>
      </c>
      <c r="H53">
        <v>0</v>
      </c>
      <c r="I53">
        <v>75</v>
      </c>
      <c r="J53">
        <v>2</v>
      </c>
      <c r="K53">
        <v>1133000</v>
      </c>
      <c r="L53">
        <v>-6.49</v>
      </c>
      <c r="M53">
        <v>-28.21</v>
      </c>
      <c r="N53">
        <v>2027</v>
      </c>
      <c r="O53">
        <v>61509</v>
      </c>
      <c r="P53">
        <v>0.02</v>
      </c>
      <c r="Q53">
        <v>700000</v>
      </c>
    </row>
    <row r="54" spans="1:17" hidden="1">
      <c r="A54">
        <v>3602171850</v>
      </c>
      <c r="B54">
        <v>21</v>
      </c>
      <c r="C54" t="s">
        <v>14</v>
      </c>
      <c r="D54" t="s">
        <v>15</v>
      </c>
      <c r="E54">
        <v>71850</v>
      </c>
      <c r="F54" t="s">
        <v>23</v>
      </c>
      <c r="G54">
        <v>100</v>
      </c>
      <c r="H54">
        <v>0</v>
      </c>
      <c r="I54">
        <v>75</v>
      </c>
      <c r="J54">
        <v>2</v>
      </c>
      <c r="K54">
        <v>1512000</v>
      </c>
      <c r="L54">
        <v>-6.49</v>
      </c>
      <c r="M54">
        <v>-28.21</v>
      </c>
      <c r="N54">
        <v>2027</v>
      </c>
      <c r="O54">
        <v>61509</v>
      </c>
      <c r="P54">
        <v>0.01</v>
      </c>
      <c r="Q54">
        <v>800000</v>
      </c>
    </row>
    <row r="55" spans="1:17" hidden="1">
      <c r="A55">
        <v>3602171850</v>
      </c>
      <c r="B55">
        <v>21</v>
      </c>
      <c r="C55" t="s">
        <v>14</v>
      </c>
      <c r="D55" t="s">
        <v>15</v>
      </c>
      <c r="E55">
        <v>71850</v>
      </c>
      <c r="F55" t="s">
        <v>23</v>
      </c>
      <c r="G55">
        <v>200</v>
      </c>
      <c r="H55">
        <v>0</v>
      </c>
      <c r="I55">
        <v>75</v>
      </c>
      <c r="J55">
        <v>2</v>
      </c>
      <c r="K55">
        <v>1788000</v>
      </c>
      <c r="L55">
        <v>-6.49</v>
      </c>
      <c r="M55">
        <v>-28.21</v>
      </c>
      <c r="N55">
        <v>2027</v>
      </c>
      <c r="O55">
        <v>61509</v>
      </c>
      <c r="P55">
        <v>5.0000000000000001E-3</v>
      </c>
      <c r="Q55">
        <v>900000</v>
      </c>
    </row>
    <row r="56" spans="1:17" hidden="1">
      <c r="A56">
        <v>3602171850</v>
      </c>
      <c r="B56">
        <v>21</v>
      </c>
      <c r="C56" t="s">
        <v>14</v>
      </c>
      <c r="D56" t="s">
        <v>15</v>
      </c>
      <c r="E56">
        <v>71850</v>
      </c>
      <c r="F56" t="s">
        <v>23</v>
      </c>
      <c r="G56">
        <v>500</v>
      </c>
      <c r="H56">
        <v>1</v>
      </c>
      <c r="I56">
        <v>75</v>
      </c>
      <c r="J56">
        <v>2</v>
      </c>
      <c r="K56">
        <v>2428000</v>
      </c>
      <c r="L56">
        <v>-6.49</v>
      </c>
      <c r="M56">
        <v>-28.21</v>
      </c>
      <c r="N56">
        <v>2027</v>
      </c>
      <c r="O56">
        <v>61509</v>
      </c>
      <c r="P56">
        <v>2E-3</v>
      </c>
      <c r="Q56">
        <v>1000000</v>
      </c>
    </row>
    <row r="57" spans="1:17" hidden="1">
      <c r="A57">
        <v>3602171850</v>
      </c>
      <c r="B57">
        <v>21</v>
      </c>
      <c r="C57" t="s">
        <v>14</v>
      </c>
      <c r="D57" t="s">
        <v>15</v>
      </c>
      <c r="E57">
        <v>71850</v>
      </c>
      <c r="F57" t="s">
        <v>23</v>
      </c>
      <c r="G57">
        <v>1000</v>
      </c>
      <c r="H57">
        <v>2</v>
      </c>
      <c r="I57">
        <v>75</v>
      </c>
      <c r="J57">
        <v>2</v>
      </c>
      <c r="K57">
        <v>2869000</v>
      </c>
      <c r="L57">
        <v>-6.49</v>
      </c>
      <c r="M57">
        <v>-28.21</v>
      </c>
      <c r="N57">
        <v>2027</v>
      </c>
      <c r="O57">
        <v>61509</v>
      </c>
      <c r="P57">
        <v>1E-3</v>
      </c>
      <c r="Q57">
        <v>1500000</v>
      </c>
    </row>
    <row r="60" spans="1:17">
      <c r="F60" t="s">
        <v>49</v>
      </c>
      <c r="G60">
        <f>MAX(G2:G57)</f>
        <v>1000</v>
      </c>
      <c r="H60">
        <f t="shared" ref="H60:Q60" si="0">MAX(H2:H57)</f>
        <v>27</v>
      </c>
      <c r="I60">
        <f t="shared" si="0"/>
        <v>75</v>
      </c>
      <c r="J60">
        <f t="shared" si="0"/>
        <v>2</v>
      </c>
      <c r="K60">
        <f t="shared" si="0"/>
        <v>44521000</v>
      </c>
      <c r="L60">
        <f t="shared" si="0"/>
        <v>4.18</v>
      </c>
      <c r="M60">
        <f t="shared" si="0"/>
        <v>57.92</v>
      </c>
      <c r="N60">
        <f t="shared" si="0"/>
        <v>6648</v>
      </c>
      <c r="O60">
        <f t="shared" si="0"/>
        <v>61509</v>
      </c>
      <c r="P60">
        <f t="shared" si="0"/>
        <v>0.2</v>
      </c>
      <c r="Q60">
        <f t="shared" si="0"/>
        <v>1500000</v>
      </c>
    </row>
    <row r="61" spans="1:17">
      <c r="F61" t="s">
        <v>50</v>
      </c>
      <c r="G61">
        <f>MIN(G2:G57)</f>
        <v>5</v>
      </c>
      <c r="H61">
        <f t="shared" ref="H61:Q61" si="1">MIN(H2:H57)</f>
        <v>0</v>
      </c>
      <c r="I61">
        <f t="shared" si="1"/>
        <v>0</v>
      </c>
      <c r="J61">
        <f t="shared" si="1"/>
        <v>0</v>
      </c>
      <c r="K61">
        <f t="shared" si="1"/>
        <v>0</v>
      </c>
      <c r="L61">
        <f t="shared" si="1"/>
        <v>-6.49</v>
      </c>
      <c r="M61">
        <f t="shared" si="1"/>
        <v>-28.21</v>
      </c>
      <c r="N61">
        <f t="shared" si="1"/>
        <v>1954</v>
      </c>
      <c r="O61">
        <f t="shared" si="1"/>
        <v>61509</v>
      </c>
      <c r="P61">
        <f t="shared" si="1"/>
        <v>1E-3</v>
      </c>
      <c r="Q61">
        <f t="shared" si="1"/>
        <v>499999</v>
      </c>
    </row>
  </sheetData>
  <autoFilter ref="A1:Q57">
    <filterColumn colId="5">
      <filters>
        <filter val="Clermont"/>
      </filters>
    </filterColumn>
    <sortState ref="A2:Q57">
      <sortCondition ref="F1:F57"/>
    </sortState>
  </autoFilter>
  <phoneticPr fontId="16" type="noConversion"/>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62"/>
  <sheetViews>
    <sheetView workbookViewId="0">
      <selection activeCell="A2" sqref="A2"/>
    </sheetView>
  </sheetViews>
  <sheetFormatPr baseColWidth="10" defaultColWidth="8.83203125" defaultRowHeight="15" x14ac:dyDescent="0"/>
  <cols>
    <col min="1" max="1" width="20.1640625" customWidth="1"/>
    <col min="2" max="4" width="0" hidden="1" customWidth="1"/>
    <col min="5" max="5" width="6.6640625" hidden="1" customWidth="1"/>
    <col min="6" max="6" width="11.6640625" customWidth="1"/>
    <col min="7" max="12" width="16.83203125" customWidth="1"/>
    <col min="14" max="14" width="25.6640625" customWidth="1"/>
    <col min="15" max="15" width="8.83203125" customWidth="1"/>
  </cols>
  <sheetData>
    <row r="2" spans="1:17" ht="16" thickBot="1">
      <c r="A2" t="s">
        <v>131</v>
      </c>
      <c r="F2" t="s">
        <v>130</v>
      </c>
      <c r="G2" s="50" t="s">
        <v>69</v>
      </c>
      <c r="H2" s="50" t="s">
        <v>70</v>
      </c>
      <c r="I2" s="50" t="s">
        <v>71</v>
      </c>
      <c r="J2" s="50" t="s">
        <v>72</v>
      </c>
      <c r="K2" s="50" t="s">
        <v>99</v>
      </c>
      <c r="L2" s="50" t="s">
        <v>74</v>
      </c>
      <c r="O2" t="s">
        <v>109</v>
      </c>
      <c r="Q2" t="s">
        <v>115</v>
      </c>
    </row>
    <row r="3" spans="1:17" ht="16" thickTop="1">
      <c r="A3">
        <v>1000</v>
      </c>
      <c r="F3">
        <v>8</v>
      </c>
      <c r="G3" s="61">
        <f>($O$3*intermedia2!C2)+($O$4*intermedia2!C3)+($O$5*intermedia2!C4)+($O$6*intermedia2!C5)+($O$7*intermedia2!C6)+($O$8*intermedia2!C7)+($O$9*intermedia2!C8)</f>
        <v>0.56723909283392571</v>
      </c>
      <c r="H3" s="61">
        <f>($O$3*intermedia2!E2)+($O$4*intermedia2!E3)+($O$5*intermedia2!E4)+($O$6*intermedia2!E5)+($O$7*intermedia2!E6)+($O$8*intermedia2!E7)+($O$9*intermedia2!E8)</f>
        <v>0.81484474054755762</v>
      </c>
      <c r="I3" s="62">
        <f>($O$3*intermedia2!G2)+($O$4*intermedia2!G3)+($O$5*intermedia2!G4)+($O$6*intermedia2!G5)+($O$7*intermedia2!G6)+($O$8*intermedia2!G7)+($O$9*intermedia2!G8)</f>
        <v>0.9688680756955208</v>
      </c>
      <c r="J3" s="62">
        <f>($O$3*intermedia2!I2)+($O$4*intermedia2!I3)+($O$5*intermedia2!I4)+($O$6*intermedia2!I5)+($O$7*intermedia2!I6)+($O$8*intermedia2!I7)+($O$9*intermedia2!I8)</f>
        <v>1.0988156188343281</v>
      </c>
      <c r="K3" s="62">
        <f>($O$3*intermedia2!K2)+($O$4*intermedia2!K3)+($O$5*intermedia2!K4)+($O$6*intermedia2!K5)+($O$7*intermedia2!K6)+($O$8*intermedia2!K7)+($O$9*intermedia2!K8)</f>
        <v>1.0870512547851325</v>
      </c>
      <c r="L3" s="62">
        <f>($O$3*intermedia2!M2)+($O$4*intermedia2!M3)+($O$5*intermedia2!M4)+($O$6*intermedia2!M5)+($O$7*intermedia2!M6)+($O$8*intermedia2!M7)+($O$9*intermedia2!M8)</f>
        <v>1.0433652068455408</v>
      </c>
      <c r="N3" s="31" t="s">
        <v>26</v>
      </c>
      <c r="O3" s="33">
        <f>'u(x)'!AL3</f>
        <v>0.25974025974025972</v>
      </c>
      <c r="Q3" s="61">
        <f>MAX(G3:L3)</f>
        <v>1.0988156188343281</v>
      </c>
    </row>
    <row r="4" spans="1:17">
      <c r="A4">
        <v>500</v>
      </c>
      <c r="F4">
        <v>7</v>
      </c>
      <c r="G4" s="62">
        <f>($O$3*intermedia2!C9)+($O$4*intermedia2!C10)+($O$5*intermedia2!C11)+($O$6*intermedia2!C12)+($O$7*intermedia2!C13)+($O$8*intermedia2!C14)+($O$9*intermedia2!C15)</f>
        <v>0.55056350126587539</v>
      </c>
      <c r="H4" s="62">
        <f>($O$3*intermedia2!E9)+($O$4*intermedia2!E10)+($O$5*intermedia2!E11)+($O$6*intermedia2!E12)+($O$7*intermedia2!E13)+($O$8*intermedia2!E14)+($O$9*intermedia2!E15)</f>
        <v>0.81668050078648768</v>
      </c>
      <c r="I4" s="61">
        <f>($O$3*intermedia2!G9)+($O$4*intermedia2!G10)+($O$5*intermedia2!G11)+($O$6*intermedia2!G12)+($O$7*intermedia2!G13)+($O$8*intermedia2!G14)+($O$9*intermedia2!G15)</f>
        <v>0.97438872401917842</v>
      </c>
      <c r="J4" s="61">
        <f>($O$3*intermedia2!I9)+($O$4*intermedia2!I10)+($O$5*intermedia2!I11)+($O$6*intermedia2!I12)+($O$7*intermedia2!I13)+($O$8*intermedia2!I14)+($O$9*intermedia2!I15)</f>
        <v>1.1052248211302111</v>
      </c>
      <c r="K4" s="61">
        <f>($O$3*intermedia2!K9)+($O$4*intermedia2!K10)+($O$5*intermedia2!K11)+($O$6*intermedia2!K12)+($O$7*intermedia2!K13)+($O$8*intermedia2!K14)+($O$9*intermedia2!K15)</f>
        <v>1.0970638316963668</v>
      </c>
      <c r="L4" s="62">
        <f>($O$3*intermedia2!M9)+($O$4*intermedia2!M10)+($O$5*intermedia2!M11)+($O$6*intermedia2!M12)+($O$7*intermedia2!M13)+($O$8*intermedia2!M14)+($O$9*intermedia2!M15)</f>
        <v>1.0535041486408994</v>
      </c>
      <c r="N4" s="31" t="s">
        <v>27</v>
      </c>
      <c r="O4" s="33">
        <f>'u(x)'!AL4</f>
        <v>7.792207792207792E-2</v>
      </c>
      <c r="Q4" s="61">
        <f t="shared" ref="Q4:Q8" si="0">MAX(G4:L4)</f>
        <v>1.1052248211302111</v>
      </c>
    </row>
    <row r="5" spans="1:17">
      <c r="A5">
        <v>200</v>
      </c>
      <c r="F5">
        <v>6</v>
      </c>
      <c r="G5" s="62">
        <f>($O$3*intermedia2!C16)+($O$4*intermedia2!C17)+($O$5*intermedia2!C18+($O$6*intermedia2!C19)+($O$7*intermedia2!C20)+($O$8*intermedia2!C21)+($O$9*intermedia2!C22))</f>
        <v>0.52443369275107532</v>
      </c>
      <c r="H5" s="61">
        <f>($O$3*intermedia2!E16)+($O$4*intermedia2!E17)+($O$5*intermedia2!E18+($O$6*intermedia2!E19)+($O$7*intermedia2!E20)+($O$8*intermedia2!E21)+($O$9*intermedia2!E22))</f>
        <v>0.80825383562750752</v>
      </c>
      <c r="I5" s="61">
        <f>($O$3*intermedia2!G16)+($O$4*intermedia2!G17)+($O$5*intermedia2!G18)+($O$6*intermedia2!G19)+($O$7*intermedia2!G20)+($O$8*intermedia2!G21)+($O$9*intermedia2!G22)</f>
        <v>0.97041609877499757</v>
      </c>
      <c r="J5" s="61">
        <f>($O$3*intermedia2!I16)+($O$4*intermedia2!I17)+($O$5*intermedia2!I18)+($O$6*intermedia2!I19)+($O$7*intermedia2!I20)+($O$8*intermedia2!I21)+($O$9*intermedia2!I22)</f>
        <v>1.1031112079261673</v>
      </c>
      <c r="K5" s="61">
        <f>($O$3*intermedia2!K16)+($O$4*intermedia2!K17)+($O$5*intermedia2!K18)+($O$6*intermedia2!K19)+($O$7*intermedia2!K20)+($O$8*intermedia2!K21)+($O$9*intermedia2!K22)</f>
        <v>1.0978650153295604</v>
      </c>
      <c r="L5" s="62">
        <f>($O$3*intermedia2!M16)+($O$4*intermedia2!M17)+($O$5*intermedia2!M18)+($O$6*intermedia2!M19)+($O$7*intermedia2!M20)+($O$8*intermedia2!M21)+($O$9*intermedia2!M22)</f>
        <v>1.0552445457766009</v>
      </c>
      <c r="N5" s="31" t="s">
        <v>28</v>
      </c>
      <c r="O5" s="33">
        <f>'u(x)'!AL5</f>
        <v>0.12987012987012986</v>
      </c>
      <c r="Q5" s="61">
        <f t="shared" si="0"/>
        <v>1.1031112079261673</v>
      </c>
    </row>
    <row r="6" spans="1:17">
      <c r="A6">
        <v>100</v>
      </c>
      <c r="F6">
        <v>5</v>
      </c>
      <c r="G6" s="61">
        <f>($O$3*intermedia2!C23)+($O$4*intermedia2!C24)+($O$5*intermedia2!C25)+($O$6*intermedia2!C26)+($O$7*intermedia2!C27)+($O$8*intermedia2!C28)+($O$9*intermedia2!C29)</f>
        <v>0.49339897693851215</v>
      </c>
      <c r="H6" s="62">
        <f>($O$3*intermedia2!E23)+($O$4*intermedia2!E24)+($O$5*intermedia2!E25)+($O$6*intermedia2!E26)+($O$7*intermedia2!E27)+($O$8*intermedia2!E28)+($O$9*intermedia2!E29)</f>
        <v>0.79907724907404643</v>
      </c>
      <c r="I6" s="62">
        <f>($O$3*intermedia2!G23)+($O$4*intermedia2!G24)+($O$5*intermedia2!G25)+($O$6*intermedia2!G26)+($O$7*intermedia2!G27)+($O$8*intermedia2!G28)+($O$9*intermedia2!G29)</f>
        <v>0.96632175752505489</v>
      </c>
      <c r="J6" s="62">
        <f>($O$3*intermedia2!I23)+($O$4*intermedia2!I24)+($O$5*intermedia2!I25)+($O$6*intermedia2!I26)+($O$7*intermedia2!I27)+($O$8*intermedia2!I28)+($O$9*intermedia2!I29)</f>
        <v>1.1009087344745128</v>
      </c>
      <c r="K6" s="61">
        <f>($O$3*intermedia2!K23)+($O$4*intermedia2!K24)+($O$5*intermedia2!K25)+($O$6*intermedia2!K26)+($O$7*intermedia2!K27)+($O$8*intermedia2!K28)+($O$9*intermedia2!K29)</f>
        <v>1.0989525471896522</v>
      </c>
      <c r="L6" s="61">
        <f>($O$3*intermedia2!M23)+($O$4*intermedia2!M24)+($O$5*intermedia2!M25)+($O$6*intermedia2!M26)+($O$7*intermedia2!M27)+($O$8*intermedia2!M28)+($O$9*intermedia2!M29)</f>
        <v>1.0575166782471719</v>
      </c>
      <c r="N6" s="31" t="s">
        <v>29</v>
      </c>
      <c r="O6" s="33">
        <f>'u(x)'!AL6</f>
        <v>0.24675324675324675</v>
      </c>
      <c r="Q6" s="61">
        <f t="shared" si="0"/>
        <v>1.1009087344745128</v>
      </c>
    </row>
    <row r="7" spans="1:17">
      <c r="A7">
        <v>50</v>
      </c>
      <c r="F7">
        <v>4</v>
      </c>
      <c r="G7" s="61">
        <f>($O$3*intermedia2!C30)+($O$4*intermedia2!C31)+($O$5*intermedia2!C32)+($O$6*intermedia2!C33)+($O$7*intermedia2!C34)+($O$8*intermedia2!C35)+($O$9*intermedia2!C36)</f>
        <v>0.45493633227616026</v>
      </c>
      <c r="H7" s="61">
        <f>($O$3*intermedia2!E30)+($O$4*intermedia2!E31)+($O$5*intermedia2!E32)+($O$6*intermedia2!E33)+($O$7*intermedia2!E34)+($O$8*intermedia2!E35)+($O$9*intermedia2!E36)</f>
        <v>0.78904623778075944</v>
      </c>
      <c r="I7" s="62">
        <f>($O$3*intermedia2!G30)+($O$4*intermedia2!G31)+($O$5*intermedia2!G32)+($O$6*intermedia2!G33)+($O$7*intermedia2!G34)+($O$8*intermedia2!G35)+($O$9*intermedia2!G36)</f>
        <v>0.96201357731963255</v>
      </c>
      <c r="J7" s="62">
        <f>($O$3*intermedia2!I30)+($O$4*intermedia2!I31)+($O$5*intermedia2!I32)+($O$6*intermedia2!I33)+($O$7*intermedia2!I34)+($O$8*intermedia2!I35)+($O$9*intermedia2!I36)</f>
        <v>1.098626829113031</v>
      </c>
      <c r="K7" s="62">
        <f>($O$3*intermedia2!K30)+($O$4*intermedia2!K31)+($O$5*intermedia2!K32)+($O$6*intermedia2!K33)+($O$7*intermedia2!K34)+($O$8*intermedia2!K35)+($O$9*intermedia2!K36)</f>
        <v>1.1004015698439886</v>
      </c>
      <c r="L7" s="62">
        <f>($O$3*intermedia2!M30)+($O$4*intermedia2!M31)+($O$5*intermedia2!M32)+($O$6*intermedia2!M33)+($O$7*intermedia2!M34)+($O$8*intermedia2!M35)+($O$9*intermedia2!M36)</f>
        <v>1.060353035071121</v>
      </c>
      <c r="N7" s="31" t="s">
        <v>30</v>
      </c>
      <c r="O7" s="33">
        <f>'u(x)'!AL7</f>
        <v>9.0909090909090912E-2</v>
      </c>
      <c r="Q7" s="61">
        <f t="shared" si="0"/>
        <v>1.1004015698439886</v>
      </c>
    </row>
    <row r="8" spans="1:17">
      <c r="A8">
        <v>20</v>
      </c>
      <c r="F8">
        <v>3</v>
      </c>
      <c r="G8" s="61">
        <f>($O$3*intermedia2!C37)+($O$4*intermedia2!C38)+($O$5*intermedia2!C39)+($O$6*intermedia2!C40)+($O$7*intermedia2!C41)+($O$8*intermedia2!C42)+($O$9*intermedia2!C43)</f>
        <v>0.3329858011699337</v>
      </c>
      <c r="H8" s="61">
        <f>($O$3*intermedia2!E37)+($O$4*intermedia2!E38)+($O$5*intermedia2!E39)+($O$6*intermedia2!E40)+($O$7*intermedia2!E41)+($O$8*intermedia2!E42)+($O$9*intermedia2!E43)</f>
        <v>0.73684609640634025</v>
      </c>
      <c r="I8" s="62">
        <f>($O$3*intermedia2!G37)+($O$4*intermedia2!G38)+($O$5*intermedia2!G39)+($O$6*intermedia2!G40)+($O$7*intermedia2!G41)+($O$8*intermedia2!G42)+($O$9*intermedia2!G43)</f>
        <v>0.89068269436541092</v>
      </c>
      <c r="J8" s="62">
        <f>($O$3*intermedia2!I37)+($O$4*intermedia2!I38)+($O$5*intermedia2!I39)+($O$6*intermedia2!I40)+($O$7*intermedia2!I41)+($O$8*intermedia2!I42)+($O$9*intermedia2!I43)</f>
        <v>1.0662003642013351</v>
      </c>
      <c r="K8" s="62">
        <f>($O$3*intermedia2!K37)+($O$4*intermedia2!K38)+($O$5*intermedia2!K39)+($O$6*intermedia2!K40)+($O$7*intermedia2!K41)+($O$8*intermedia2!K42)+($O$9*intermedia2!K43)</f>
        <v>1.0606659266021472</v>
      </c>
      <c r="L8" s="61">
        <f>($O$3*intermedia2!M37)+($O$4*intermedia2!M38)+($O$5*intermedia2!M39)+($O$6*intermedia2!M40)+($O$7*intermedia2!M41)+($O$8*intermedia2!M42)+($O$9*intermedia2!M43)</f>
        <v>1.0336590441997622</v>
      </c>
      <c r="N8" s="31" t="s">
        <v>31</v>
      </c>
      <c r="O8" s="33">
        <f>'u(x)'!AL8</f>
        <v>5.1948051948051951E-2</v>
      </c>
      <c r="Q8" s="61">
        <f t="shared" si="0"/>
        <v>1.0662003642013351</v>
      </c>
    </row>
    <row r="9" spans="1:17">
      <c r="A9">
        <v>10</v>
      </c>
      <c r="F9">
        <v>2</v>
      </c>
      <c r="G9" s="61">
        <f>($O$3*intermedia2!C44)+($O$4*intermedia2!C45)+($O$5*intermedia2!C46)+($O$6*intermedia2!C47)+($O$7*intermedia2!C48)+($O$8*intermedia2!C49)+($O$9*intermedia2!C50)</f>
        <v>0.25872235400675869</v>
      </c>
      <c r="H9" s="61">
        <f>($O$3*intermedia2!E44)+($O$4*intermedia2!E45)+($O$5*intermedia2!E46)+($O$6*intermedia2!E47)+($O$7*intermedia2!E48)+($O$8*intermedia2!E49)+($O$9*intermedia2!E50)</f>
        <v>0.7243683567202146</v>
      </c>
      <c r="I9" s="62">
        <f>($O$3*intermedia2!G44)+($O$4*intermedia2!G45)+($O$5*intermedia2!G46)+($O$6*intermedia2!G47)+($O$7*intermedia2!G48)+($O$8*intermedia2!G49)+($O$9*intermedia2!G50)</f>
        <v>0.88454467117255398</v>
      </c>
      <c r="J9" s="61">
        <f>($O$3*intermedia2!I44)+($O$4*intermedia2!I45)+($O$5*intermedia2!I46)+($O$6*intermedia2!I47)+($O$7*intermedia2!I48)+($O$8*intermedia2!I49)+($O$9*intermedia2!I50)</f>
        <v>1.0636909287186695</v>
      </c>
      <c r="K9" s="61">
        <f>($O$3*intermedia2!K44)+($O$4*intermedia2!K45)+($O$5*intermedia2!K46)+($O$6*intermedia2!K47)+($O$7*intermedia2!K48)+($O$8*intermedia2!K49)+($O$9*intermedia2!K50)</f>
        <v>1.0627701757908146</v>
      </c>
      <c r="L9" s="62">
        <f>($O$3*intermedia2!M44)+($O$4*intermedia2!M45)+($O$5*intermedia2!M46)+($O$6*intermedia2!M47)+($O$7*intermedia2!M48)+($O$8*intermedia2!M49)+($O$9*intermedia2!M50)</f>
        <v>1.0375910406925886</v>
      </c>
      <c r="N9" s="31" t="s">
        <v>32</v>
      </c>
      <c r="O9" s="33">
        <f>'u(x)'!AL9</f>
        <v>0.14285714285714285</v>
      </c>
      <c r="Q9" s="61">
        <f>MAX(G9:L9)</f>
        <v>1.0636909287186695</v>
      </c>
    </row>
    <row r="10" spans="1:17">
      <c r="A10">
        <v>5</v>
      </c>
      <c r="F10">
        <v>1</v>
      </c>
      <c r="G10" s="61">
        <f>($O$3*intermedia2!C51)+($O$4*intermedia2!C52)+($O$5*intermedia2!C53)+($O$6*intermedia2!C54)+($O$7*intermedia2!C55)+($O$8*intermedia2!C56)+($O$9*intermedia2!C57)</f>
        <v>0.1016338572515909</v>
      </c>
      <c r="H10" s="62">
        <f>($O$3*intermedia2!E51)+($O$4*intermedia2!E52)+($O$5*intermedia2!E53)+($O$6*intermedia2!E54)+($O$7*intermedia2!E55)+($O$8*intermedia2!E56)+($O$9*intermedia2!E57)</f>
        <v>0.68603261236587643</v>
      </c>
      <c r="I10" s="62">
        <f>($O$3*intermedia2!G51)+($O$4*intermedia2!G52)+($O$5*intermedia2!G53)+($O$6*intermedia2!G54)+($O$7*intermedia2!G55)+($O$8*intermedia2!G56)+($O$9*intermedia2!G57)</f>
        <v>0.85481449553865296</v>
      </c>
      <c r="J10" s="62">
        <f>($O$3*intermedia2!I51)+($O$4*intermedia2!I52)+($O$5*intermedia2!I53)+($O$6*intermedia2!I54)+($O$7*intermedia2!I55)+($O$8*intermedia2!I56)+($O$9*intermedia2!I57)</f>
        <v>1.0381428433629625</v>
      </c>
      <c r="K10" s="61">
        <f>($O$3*intermedia2!K51)+($O$4*intermedia2!K52)+($O$5*intermedia2!K53)+($O$6*intermedia2!K54)+($O$7*intermedia2!K55)+($O$8*intermedia2!K56)+($O$9*intermedia2!K57)</f>
        <v>1.0414649625697765</v>
      </c>
      <c r="L10" s="61">
        <f>($O$3*intermedia2!M51)+($O$4*intermedia2!M52)+($O$5*intermedia2!M53)+($O$6*intermedia2!M54)+($O$7*intermedia2!M55)+($O$8*intermedia2!M56)+($O$9*intermedia2!M57)</f>
        <v>1.021611041939843</v>
      </c>
      <c r="Q10" s="61">
        <f>MAX(G10:L10)</f>
        <v>1.0414649625697765</v>
      </c>
    </row>
    <row r="11" spans="1:17">
      <c r="H11" s="59"/>
      <c r="I11" s="59"/>
    </row>
    <row r="12" spans="1:17">
      <c r="H12" s="89" t="s">
        <v>132</v>
      </c>
    </row>
    <row r="14" spans="1:17">
      <c r="F14" t="s">
        <v>130</v>
      </c>
      <c r="G14" t="s">
        <v>116</v>
      </c>
      <c r="H14" t="s">
        <v>117</v>
      </c>
    </row>
    <row r="15" spans="1:17">
      <c r="F15">
        <v>8</v>
      </c>
      <c r="G15" s="61">
        <f>G3</f>
        <v>0.56723909283392571</v>
      </c>
      <c r="H15" t="str">
        <f>G$2</f>
        <v>Realocation</v>
      </c>
    </row>
    <row r="16" spans="1:17">
      <c r="F16">
        <v>8</v>
      </c>
      <c r="G16" s="61">
        <f>H3</f>
        <v>0.81484474054755762</v>
      </c>
      <c r="H16" t="str">
        <f>H$2</f>
        <v>Flood Barriers</v>
      </c>
    </row>
    <row r="17" spans="6:10">
      <c r="F17">
        <v>8</v>
      </c>
      <c r="G17" s="64">
        <f>I3</f>
        <v>0.9688680756955208</v>
      </c>
      <c r="H17" s="56" t="str">
        <f>I$2</f>
        <v>Backup powerplant</v>
      </c>
      <c r="I17" s="56" t="str">
        <f>VLOOKUP(MAX(G15:G20),G15:H20,2,0)</f>
        <v>CERT</v>
      </c>
      <c r="J17" s="56"/>
    </row>
    <row r="18" spans="6:10">
      <c r="F18">
        <v>8</v>
      </c>
      <c r="G18" s="64">
        <f>J3</f>
        <v>1.0988156188343281</v>
      </c>
      <c r="H18" s="56" t="str">
        <f>+J$2</f>
        <v>CERT</v>
      </c>
      <c r="I18" s="56"/>
      <c r="J18" s="56"/>
    </row>
    <row r="19" spans="6:10">
      <c r="F19">
        <v>8</v>
      </c>
      <c r="G19" s="64">
        <f>K3</f>
        <v>1.0870512547851325</v>
      </c>
      <c r="H19" s="56" t="str">
        <f>K$2</f>
        <v>Deploy emerg T</v>
      </c>
      <c r="I19" s="56"/>
      <c r="J19" s="56"/>
    </row>
    <row r="20" spans="6:10">
      <c r="F20">
        <v>8</v>
      </c>
      <c r="G20" s="64">
        <f>L3</f>
        <v>1.0433652068455408</v>
      </c>
      <c r="H20" s="56" t="str">
        <f>L$2</f>
        <v>Food &amp; Water sup</v>
      </c>
      <c r="I20" s="56"/>
      <c r="J20" s="56"/>
    </row>
    <row r="21" spans="6:10">
      <c r="F21" s="63">
        <v>7</v>
      </c>
      <c r="G21" s="64">
        <f>G4</f>
        <v>0.55056350126587539</v>
      </c>
      <c r="H21" t="str">
        <f>G$2</f>
        <v>Realocation</v>
      </c>
      <c r="I21" s="56"/>
      <c r="J21" s="56"/>
    </row>
    <row r="22" spans="6:10">
      <c r="F22" s="63">
        <v>7</v>
      </c>
      <c r="G22" s="64">
        <f>H4</f>
        <v>0.81668050078648768</v>
      </c>
      <c r="H22" t="str">
        <f>H$2</f>
        <v>Flood Barriers</v>
      </c>
      <c r="I22" s="56"/>
      <c r="J22" s="56"/>
    </row>
    <row r="23" spans="6:10">
      <c r="F23" s="63">
        <v>7</v>
      </c>
      <c r="G23" s="64">
        <f>I4</f>
        <v>0.97438872401917842</v>
      </c>
      <c r="H23" s="56" t="str">
        <f>I$2</f>
        <v>Backup powerplant</v>
      </c>
      <c r="I23" s="56"/>
      <c r="J23" s="56"/>
    </row>
    <row r="24" spans="6:10">
      <c r="F24" s="63">
        <v>7</v>
      </c>
      <c r="G24" s="64">
        <f>J4</f>
        <v>1.1052248211302111</v>
      </c>
      <c r="H24" s="56" t="str">
        <f>+J$2</f>
        <v>CERT</v>
      </c>
      <c r="I24" s="56"/>
      <c r="J24" s="56"/>
    </row>
    <row r="25" spans="6:10">
      <c r="F25" s="63">
        <v>7</v>
      </c>
      <c r="G25" s="64">
        <f>K4</f>
        <v>1.0970638316963668</v>
      </c>
      <c r="H25" s="56" t="str">
        <f>K$2</f>
        <v>Deploy emerg T</v>
      </c>
      <c r="I25" s="56"/>
      <c r="J25" s="56"/>
    </row>
    <row r="26" spans="6:10">
      <c r="F26" s="63">
        <v>7</v>
      </c>
      <c r="G26" s="65">
        <f>L4</f>
        <v>1.0535041486408994</v>
      </c>
      <c r="H26" s="56" t="str">
        <f>L$2</f>
        <v>Food &amp; Water sup</v>
      </c>
      <c r="I26" s="56"/>
      <c r="J26" s="56"/>
    </row>
    <row r="27" spans="6:10">
      <c r="F27" s="63">
        <v>6</v>
      </c>
      <c r="G27" s="61">
        <f>G5</f>
        <v>0.52443369275107532</v>
      </c>
      <c r="H27" t="str">
        <f>G$2</f>
        <v>Realocation</v>
      </c>
    </row>
    <row r="28" spans="6:10">
      <c r="F28" s="63">
        <v>6</v>
      </c>
      <c r="G28" s="61">
        <f>H5</f>
        <v>0.80825383562750752</v>
      </c>
      <c r="H28" t="str">
        <f>H$2</f>
        <v>Flood Barriers</v>
      </c>
    </row>
    <row r="29" spans="6:10">
      <c r="F29" s="63">
        <v>6</v>
      </c>
      <c r="G29" s="61">
        <f>I5</f>
        <v>0.97041609877499757</v>
      </c>
      <c r="H29" s="56" t="str">
        <f>I$2</f>
        <v>Backup powerplant</v>
      </c>
    </row>
    <row r="30" spans="6:10">
      <c r="F30" s="63">
        <v>6</v>
      </c>
      <c r="G30" s="61">
        <f>J5</f>
        <v>1.1031112079261673</v>
      </c>
      <c r="H30" s="56" t="str">
        <f>+J$2</f>
        <v>CERT</v>
      </c>
    </row>
    <row r="31" spans="6:10">
      <c r="F31" s="63">
        <v>6</v>
      </c>
      <c r="G31" s="61">
        <f>K5</f>
        <v>1.0978650153295604</v>
      </c>
      <c r="H31" s="56" t="str">
        <f>K$2</f>
        <v>Deploy emerg T</v>
      </c>
    </row>
    <row r="32" spans="6:10">
      <c r="F32" s="63">
        <v>6</v>
      </c>
      <c r="G32" s="61">
        <f>L5</f>
        <v>1.0552445457766009</v>
      </c>
      <c r="H32" s="56" t="str">
        <f>L$2</f>
        <v>Food &amp; Water sup</v>
      </c>
    </row>
    <row r="33" spans="6:8">
      <c r="F33" s="63">
        <v>5</v>
      </c>
      <c r="G33" s="61">
        <f>G6</f>
        <v>0.49339897693851215</v>
      </c>
      <c r="H33" t="str">
        <f>G$2</f>
        <v>Realocation</v>
      </c>
    </row>
    <row r="34" spans="6:8">
      <c r="F34" s="63">
        <v>5</v>
      </c>
      <c r="G34" s="61">
        <f>H6</f>
        <v>0.79907724907404643</v>
      </c>
      <c r="H34" t="str">
        <f>H$2</f>
        <v>Flood Barriers</v>
      </c>
    </row>
    <row r="35" spans="6:8">
      <c r="F35" s="63">
        <v>5</v>
      </c>
      <c r="G35" s="61">
        <f>I6</f>
        <v>0.96632175752505489</v>
      </c>
      <c r="H35" s="56" t="str">
        <f>I$2</f>
        <v>Backup powerplant</v>
      </c>
    </row>
    <row r="36" spans="6:8">
      <c r="F36" s="63">
        <v>5</v>
      </c>
      <c r="G36" s="61">
        <f>J6</f>
        <v>1.1009087344745128</v>
      </c>
      <c r="H36" s="56" t="str">
        <f>+J$2</f>
        <v>CERT</v>
      </c>
    </row>
    <row r="37" spans="6:8">
      <c r="F37" s="63">
        <v>5</v>
      </c>
      <c r="G37" s="61">
        <f>K6</f>
        <v>1.0989525471896522</v>
      </c>
      <c r="H37" s="56" t="str">
        <f>K$2</f>
        <v>Deploy emerg T</v>
      </c>
    </row>
    <row r="38" spans="6:8">
      <c r="F38" s="63">
        <v>5</v>
      </c>
      <c r="G38" s="61">
        <f>L6</f>
        <v>1.0575166782471719</v>
      </c>
      <c r="H38" s="56" t="str">
        <f>L$2</f>
        <v>Food &amp; Water sup</v>
      </c>
    </row>
    <row r="39" spans="6:8">
      <c r="F39" s="63">
        <v>4</v>
      </c>
      <c r="G39" s="61">
        <f>G7</f>
        <v>0.45493633227616026</v>
      </c>
      <c r="H39" t="str">
        <f>G$2</f>
        <v>Realocation</v>
      </c>
    </row>
    <row r="40" spans="6:8">
      <c r="F40" s="63">
        <v>4</v>
      </c>
      <c r="G40" s="61">
        <f>H7</f>
        <v>0.78904623778075944</v>
      </c>
      <c r="H40" t="str">
        <f>H$2</f>
        <v>Flood Barriers</v>
      </c>
    </row>
    <row r="41" spans="6:8">
      <c r="F41" s="63">
        <v>4</v>
      </c>
      <c r="G41" s="61">
        <f>I7</f>
        <v>0.96201357731963255</v>
      </c>
      <c r="H41" s="56" t="str">
        <f>I$2</f>
        <v>Backup powerplant</v>
      </c>
    </row>
    <row r="42" spans="6:8">
      <c r="F42" s="63">
        <v>4</v>
      </c>
      <c r="G42" s="61">
        <f>J7</f>
        <v>1.098626829113031</v>
      </c>
      <c r="H42" s="56" t="str">
        <f>+J$2</f>
        <v>CERT</v>
      </c>
    </row>
    <row r="43" spans="6:8">
      <c r="F43" s="63">
        <v>4</v>
      </c>
      <c r="G43" s="61">
        <f>K7</f>
        <v>1.1004015698439886</v>
      </c>
      <c r="H43" s="56" t="str">
        <f>K$2</f>
        <v>Deploy emerg T</v>
      </c>
    </row>
    <row r="44" spans="6:8">
      <c r="F44" s="63">
        <v>4</v>
      </c>
      <c r="G44" s="61">
        <f>L7</f>
        <v>1.060353035071121</v>
      </c>
      <c r="H44" s="56" t="str">
        <f>L$2</f>
        <v>Food &amp; Water sup</v>
      </c>
    </row>
    <row r="45" spans="6:8">
      <c r="F45" s="63">
        <v>3</v>
      </c>
      <c r="G45" s="61">
        <f>G8</f>
        <v>0.3329858011699337</v>
      </c>
      <c r="H45" t="str">
        <f>G$2</f>
        <v>Realocation</v>
      </c>
    </row>
    <row r="46" spans="6:8">
      <c r="F46" s="63">
        <v>3</v>
      </c>
      <c r="G46" s="61">
        <f>H8</f>
        <v>0.73684609640634025</v>
      </c>
      <c r="H46" t="str">
        <f>H$2</f>
        <v>Flood Barriers</v>
      </c>
    </row>
    <row r="47" spans="6:8">
      <c r="F47" s="63">
        <v>3</v>
      </c>
      <c r="G47" s="61">
        <f>I8</f>
        <v>0.89068269436541092</v>
      </c>
      <c r="H47" s="56" t="str">
        <f>I$2</f>
        <v>Backup powerplant</v>
      </c>
    </row>
    <row r="48" spans="6:8">
      <c r="F48" s="63">
        <v>3</v>
      </c>
      <c r="G48" s="61">
        <f>J8</f>
        <v>1.0662003642013351</v>
      </c>
      <c r="H48" s="56" t="str">
        <f>+J$2</f>
        <v>CERT</v>
      </c>
    </row>
    <row r="49" spans="6:8">
      <c r="F49" s="63">
        <v>3</v>
      </c>
      <c r="G49" s="61">
        <f>K8</f>
        <v>1.0606659266021472</v>
      </c>
      <c r="H49" s="56" t="str">
        <f>K$2</f>
        <v>Deploy emerg T</v>
      </c>
    </row>
    <row r="50" spans="6:8">
      <c r="F50" s="63">
        <v>3</v>
      </c>
      <c r="G50" s="61">
        <f>L8</f>
        <v>1.0336590441997622</v>
      </c>
      <c r="H50" s="56" t="str">
        <f>L$2</f>
        <v>Food &amp; Water sup</v>
      </c>
    </row>
    <row r="51" spans="6:8">
      <c r="F51" s="63">
        <v>2</v>
      </c>
      <c r="G51" s="61">
        <f>G9</f>
        <v>0.25872235400675869</v>
      </c>
      <c r="H51" t="str">
        <f>G$2</f>
        <v>Realocation</v>
      </c>
    </row>
    <row r="52" spans="6:8">
      <c r="F52" s="63">
        <v>2</v>
      </c>
      <c r="G52" s="61">
        <f>H9</f>
        <v>0.7243683567202146</v>
      </c>
      <c r="H52" t="str">
        <f>H$2</f>
        <v>Flood Barriers</v>
      </c>
    </row>
    <row r="53" spans="6:8">
      <c r="F53" s="63">
        <v>2</v>
      </c>
      <c r="G53" s="61">
        <f>I9</f>
        <v>0.88454467117255398</v>
      </c>
      <c r="H53" s="56" t="str">
        <f>I$2</f>
        <v>Backup powerplant</v>
      </c>
    </row>
    <row r="54" spans="6:8">
      <c r="F54" s="63">
        <v>2</v>
      </c>
      <c r="G54" s="61">
        <f>J9</f>
        <v>1.0636909287186695</v>
      </c>
      <c r="H54" s="56" t="str">
        <f>+J$2</f>
        <v>CERT</v>
      </c>
    </row>
    <row r="55" spans="6:8">
      <c r="F55" s="63">
        <v>2</v>
      </c>
      <c r="G55" s="61">
        <f>K9</f>
        <v>1.0627701757908146</v>
      </c>
      <c r="H55" s="56" t="str">
        <f>K$2</f>
        <v>Deploy emerg T</v>
      </c>
    </row>
    <row r="56" spans="6:8">
      <c r="F56">
        <v>2</v>
      </c>
      <c r="G56" s="61">
        <f>L9</f>
        <v>1.0375910406925886</v>
      </c>
      <c r="H56" s="56" t="str">
        <f>L$2</f>
        <v>Food &amp; Water sup</v>
      </c>
    </row>
    <row r="57" spans="6:8">
      <c r="F57">
        <v>1</v>
      </c>
      <c r="G57" s="61">
        <f>G10</f>
        <v>0.1016338572515909</v>
      </c>
      <c r="H57" t="str">
        <f>G$2</f>
        <v>Realocation</v>
      </c>
    </row>
    <row r="58" spans="6:8">
      <c r="F58">
        <v>1</v>
      </c>
      <c r="G58" s="61">
        <f>H10</f>
        <v>0.68603261236587643</v>
      </c>
      <c r="H58" t="str">
        <f>H$2</f>
        <v>Flood Barriers</v>
      </c>
    </row>
    <row r="59" spans="6:8">
      <c r="F59">
        <v>1</v>
      </c>
      <c r="G59" s="61">
        <f>I10</f>
        <v>0.85481449553865296</v>
      </c>
      <c r="H59" s="56" t="str">
        <f>I$2</f>
        <v>Backup powerplant</v>
      </c>
    </row>
    <row r="60" spans="6:8">
      <c r="F60">
        <v>1</v>
      </c>
      <c r="G60" s="61">
        <f>J10</f>
        <v>1.0381428433629625</v>
      </c>
      <c r="H60" s="56" t="str">
        <f>+J$2</f>
        <v>CERT</v>
      </c>
    </row>
    <row r="61" spans="6:8">
      <c r="F61">
        <v>1</v>
      </c>
      <c r="G61" s="61">
        <f>K10</f>
        <v>1.0414649625697765</v>
      </c>
      <c r="H61" s="56" t="str">
        <f>K$2</f>
        <v>Deploy emerg T</v>
      </c>
    </row>
    <row r="62" spans="6:8">
      <c r="F62">
        <v>1</v>
      </c>
      <c r="G62" s="61">
        <f>L10</f>
        <v>1.021611041939843</v>
      </c>
      <c r="H62" s="56" t="str">
        <f>L$2</f>
        <v>Food &amp; Water sup</v>
      </c>
    </row>
  </sheetData>
  <phoneticPr fontId="16" type="noConversion"/>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23"/>
  <sheetViews>
    <sheetView workbookViewId="0">
      <selection activeCell="A33" sqref="A33"/>
    </sheetView>
  </sheetViews>
  <sheetFormatPr baseColWidth="10" defaultColWidth="11" defaultRowHeight="15" x14ac:dyDescent="0"/>
  <cols>
    <col min="1" max="1" width="109.6640625" customWidth="1"/>
  </cols>
  <sheetData>
    <row r="2" spans="1:14" ht="127" customHeight="1">
      <c r="A2" s="49" t="s">
        <v>75</v>
      </c>
      <c r="B2" s="49"/>
      <c r="C2" s="49"/>
      <c r="D2" s="49"/>
      <c r="E2" s="49"/>
      <c r="F2" s="49"/>
      <c r="G2" s="49"/>
      <c r="H2" s="49"/>
      <c r="I2" s="49"/>
      <c r="J2" s="49"/>
      <c r="K2" s="49"/>
      <c r="L2" s="49"/>
      <c r="M2" s="49"/>
      <c r="N2" s="49"/>
    </row>
    <row r="3" spans="1:14">
      <c r="A3" s="49" t="s">
        <v>76</v>
      </c>
      <c r="B3" s="49"/>
      <c r="C3" s="49"/>
      <c r="D3" s="49"/>
      <c r="E3" s="49"/>
      <c r="F3" s="49"/>
      <c r="G3" s="49"/>
      <c r="H3" s="49"/>
      <c r="I3" s="49"/>
      <c r="J3" s="49"/>
      <c r="K3" s="49"/>
      <c r="L3" s="49"/>
      <c r="M3" s="49"/>
      <c r="N3" s="49"/>
    </row>
    <row r="4" spans="1:14" ht="30">
      <c r="A4" s="49" t="s">
        <v>77</v>
      </c>
      <c r="B4" s="49"/>
      <c r="C4" s="49"/>
      <c r="D4" s="49"/>
      <c r="E4" s="49"/>
      <c r="F4" s="49"/>
      <c r="G4" s="49"/>
      <c r="H4" s="49"/>
      <c r="I4" s="49"/>
      <c r="J4" s="49"/>
      <c r="K4" s="49"/>
      <c r="L4" s="49"/>
      <c r="M4" s="49"/>
      <c r="N4" s="49"/>
    </row>
    <row r="5" spans="1:14">
      <c r="A5" s="49" t="s">
        <v>78</v>
      </c>
      <c r="B5" s="49"/>
      <c r="C5" s="49"/>
      <c r="D5" s="49"/>
      <c r="E5" s="49"/>
      <c r="F5" s="49"/>
      <c r="G5" s="49"/>
      <c r="H5" s="49"/>
      <c r="I5" s="49"/>
      <c r="J5" s="49"/>
      <c r="K5" s="49"/>
      <c r="L5" s="49"/>
      <c r="M5" s="49"/>
      <c r="N5" s="49"/>
    </row>
    <row r="6" spans="1:14">
      <c r="A6" s="49"/>
      <c r="B6" s="49"/>
      <c r="C6" s="49"/>
      <c r="D6" s="49"/>
      <c r="E6" s="49"/>
      <c r="F6" s="49"/>
      <c r="G6" s="49"/>
      <c r="H6" s="49"/>
      <c r="I6" s="49"/>
      <c r="J6" s="49"/>
      <c r="K6" s="49"/>
      <c r="L6" s="49"/>
      <c r="M6" s="49"/>
      <c r="N6" s="49"/>
    </row>
    <row r="7" spans="1:14">
      <c r="A7" s="49"/>
      <c r="B7" s="49"/>
      <c r="C7" s="49"/>
      <c r="D7" s="49"/>
      <c r="E7" s="49"/>
      <c r="F7" s="49"/>
      <c r="G7" s="49"/>
      <c r="H7" s="49"/>
      <c r="I7" s="49"/>
      <c r="J7" s="49"/>
      <c r="K7" s="49"/>
      <c r="L7" s="49"/>
      <c r="M7" s="49"/>
      <c r="N7" s="49"/>
    </row>
    <row r="8" spans="1:14">
      <c r="A8" s="49"/>
      <c r="B8" s="49"/>
      <c r="C8" s="49"/>
      <c r="D8" s="49"/>
      <c r="E8" s="49"/>
      <c r="F8" s="49"/>
      <c r="G8" s="49"/>
      <c r="H8" s="49"/>
      <c r="I8" s="49"/>
      <c r="J8" s="49"/>
      <c r="K8" s="49"/>
      <c r="L8" s="49"/>
      <c r="M8" s="49"/>
      <c r="N8" s="49"/>
    </row>
    <row r="9" spans="1:14">
      <c r="A9" s="49"/>
      <c r="B9" s="49"/>
      <c r="C9" s="49"/>
      <c r="D9" s="49"/>
      <c r="E9" s="49"/>
      <c r="F9" s="49"/>
      <c r="G9" s="49"/>
      <c r="H9" s="49"/>
      <c r="I9" s="49"/>
      <c r="J9" s="49"/>
      <c r="K9" s="49"/>
      <c r="L9" s="49"/>
      <c r="M9" s="49"/>
      <c r="N9" s="49"/>
    </row>
    <row r="10" spans="1:14">
      <c r="A10" s="49"/>
      <c r="B10" s="49"/>
      <c r="C10" s="49"/>
      <c r="D10" s="49"/>
      <c r="E10" s="49"/>
      <c r="F10" s="49"/>
      <c r="G10" s="49"/>
      <c r="H10" s="49"/>
      <c r="I10" s="49"/>
      <c r="J10" s="49"/>
      <c r="K10" s="49"/>
      <c r="L10" s="49"/>
      <c r="M10" s="49"/>
      <c r="N10" s="49"/>
    </row>
    <row r="11" spans="1:14">
      <c r="A11" s="49"/>
      <c r="B11" s="49"/>
      <c r="C11" s="49"/>
      <c r="D11" s="49"/>
      <c r="E11" s="49"/>
      <c r="F11" s="49"/>
      <c r="G11" s="49"/>
      <c r="H11" s="49"/>
      <c r="I11" s="49"/>
      <c r="J11" s="49"/>
      <c r="K11" s="49"/>
      <c r="L11" s="49"/>
      <c r="M11" s="49"/>
      <c r="N11" s="49"/>
    </row>
    <row r="12" spans="1:14">
      <c r="A12" s="49"/>
      <c r="B12" s="49"/>
      <c r="C12" s="49"/>
      <c r="D12" s="49"/>
      <c r="E12" s="49"/>
      <c r="F12" s="49"/>
      <c r="G12" s="49"/>
      <c r="H12" s="49"/>
      <c r="I12" s="49"/>
      <c r="J12" s="49"/>
      <c r="K12" s="49"/>
      <c r="L12" s="49"/>
      <c r="M12" s="49"/>
      <c r="N12" s="49"/>
    </row>
    <row r="13" spans="1:14">
      <c r="A13" s="49"/>
      <c r="B13" s="49"/>
      <c r="C13" s="49"/>
      <c r="D13" s="49"/>
      <c r="E13" s="49"/>
      <c r="F13" s="49"/>
      <c r="G13" s="49"/>
      <c r="H13" s="49"/>
      <c r="I13" s="49"/>
      <c r="J13" s="49"/>
      <c r="K13" s="49"/>
      <c r="L13" s="49"/>
      <c r="M13" s="49"/>
      <c r="N13" s="49"/>
    </row>
    <row r="14" spans="1:14">
      <c r="A14" s="49"/>
      <c r="B14" s="49"/>
      <c r="C14" s="49"/>
      <c r="D14" s="49"/>
      <c r="E14" s="49"/>
      <c r="F14" s="49"/>
      <c r="G14" s="49"/>
      <c r="H14" s="49"/>
      <c r="I14" s="49"/>
      <c r="J14" s="49"/>
      <c r="K14" s="49"/>
      <c r="L14" s="49"/>
      <c r="M14" s="49"/>
      <c r="N14" s="49"/>
    </row>
    <row r="15" spans="1:14">
      <c r="A15" s="49"/>
      <c r="B15" s="49"/>
      <c r="C15" s="49"/>
      <c r="D15" s="49"/>
      <c r="E15" s="49"/>
      <c r="F15" s="49"/>
      <c r="G15" s="49"/>
      <c r="H15" s="49"/>
      <c r="I15" s="49"/>
      <c r="J15" s="49"/>
      <c r="K15" s="49"/>
      <c r="L15" s="49"/>
      <c r="M15" s="49"/>
      <c r="N15" s="49"/>
    </row>
    <row r="16" spans="1:14">
      <c r="A16" s="49"/>
      <c r="B16" s="49"/>
      <c r="C16" s="49"/>
      <c r="D16" s="49"/>
      <c r="E16" s="49"/>
      <c r="F16" s="49"/>
      <c r="G16" s="49"/>
      <c r="H16" s="49"/>
      <c r="I16" s="49"/>
      <c r="J16" s="49"/>
      <c r="K16" s="49"/>
      <c r="L16" s="49"/>
      <c r="M16" s="49"/>
      <c r="N16" s="49"/>
    </row>
    <row r="17" spans="1:14">
      <c r="A17" s="49"/>
      <c r="B17" s="49"/>
      <c r="C17" s="49"/>
      <c r="D17" s="49"/>
      <c r="E17" s="49"/>
      <c r="F17" s="49"/>
      <c r="G17" s="49"/>
      <c r="H17" s="49"/>
      <c r="I17" s="49"/>
      <c r="J17" s="49"/>
      <c r="K17" s="49"/>
      <c r="L17" s="49"/>
      <c r="M17" s="49"/>
      <c r="N17" s="49"/>
    </row>
    <row r="18" spans="1:14">
      <c r="A18" s="49"/>
      <c r="B18" s="49"/>
      <c r="C18" s="49"/>
      <c r="D18" s="49"/>
      <c r="E18" s="49"/>
      <c r="F18" s="49"/>
      <c r="G18" s="49"/>
      <c r="H18" s="49"/>
      <c r="I18" s="49"/>
      <c r="J18" s="49"/>
      <c r="K18" s="49"/>
      <c r="L18" s="49"/>
      <c r="M18" s="49"/>
      <c r="N18" s="49"/>
    </row>
    <row r="19" spans="1:14">
      <c r="A19" s="49"/>
      <c r="B19" s="49"/>
      <c r="C19" s="49"/>
      <c r="D19" s="49"/>
      <c r="E19" s="49"/>
      <c r="F19" s="49"/>
      <c r="G19" s="49"/>
      <c r="H19" s="49"/>
      <c r="I19" s="49"/>
      <c r="J19" s="49"/>
      <c r="K19" s="49"/>
      <c r="L19" s="49"/>
      <c r="M19" s="49"/>
      <c r="N19" s="49"/>
    </row>
    <row r="20" spans="1:14">
      <c r="A20" s="49"/>
      <c r="B20" s="49"/>
      <c r="C20" s="49"/>
      <c r="D20" s="49"/>
      <c r="E20" s="49"/>
      <c r="F20" s="49"/>
      <c r="G20" s="49"/>
      <c r="H20" s="49"/>
      <c r="I20" s="49"/>
      <c r="J20" s="49"/>
      <c r="K20" s="49"/>
      <c r="L20" s="49"/>
      <c r="M20" s="49"/>
      <c r="N20" s="49"/>
    </row>
    <row r="21" spans="1:14">
      <c r="A21" s="49"/>
      <c r="B21" s="49"/>
      <c r="C21" s="49"/>
      <c r="D21" s="49"/>
      <c r="E21" s="49"/>
      <c r="F21" s="49"/>
      <c r="G21" s="49"/>
      <c r="H21" s="49"/>
      <c r="I21" s="49"/>
      <c r="J21" s="49"/>
      <c r="K21" s="49"/>
      <c r="L21" s="49"/>
      <c r="M21" s="49"/>
      <c r="N21" s="49"/>
    </row>
    <row r="22" spans="1:14">
      <c r="A22" s="49"/>
      <c r="B22" s="49"/>
      <c r="C22" s="49"/>
      <c r="D22" s="49"/>
      <c r="E22" s="49"/>
      <c r="F22" s="49"/>
      <c r="G22" s="49"/>
      <c r="H22" s="49"/>
      <c r="I22" s="49"/>
      <c r="J22" s="49"/>
      <c r="K22" s="49"/>
      <c r="L22" s="49"/>
      <c r="M22" s="49"/>
      <c r="N22" s="49"/>
    </row>
    <row r="23" spans="1:14">
      <c r="A23" s="49"/>
      <c r="B23" s="49"/>
      <c r="C23" s="49"/>
      <c r="D23" s="49"/>
      <c r="E23" s="49"/>
      <c r="F23" s="49"/>
      <c r="G23" s="49"/>
      <c r="H23" s="49"/>
      <c r="I23" s="49"/>
      <c r="J23" s="49"/>
      <c r="K23" s="49"/>
      <c r="L23" s="49"/>
      <c r="M23" s="49"/>
      <c r="N23" s="49"/>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
  <sheetViews>
    <sheetView topLeftCell="A38" workbookViewId="0">
      <selection activeCell="D63" sqref="D63"/>
    </sheetView>
  </sheetViews>
  <sheetFormatPr baseColWidth="10" defaultColWidth="11" defaultRowHeight="15" x14ac:dyDescent="0"/>
  <cols>
    <col min="1" max="1" width="21" customWidth="1"/>
    <col min="2" max="2" width="18.5" customWidth="1"/>
    <col min="3" max="9" width="18.83203125" customWidth="1"/>
  </cols>
  <sheetData>
    <row r="1" spans="1:8">
      <c r="C1" s="89" t="s">
        <v>135</v>
      </c>
    </row>
    <row r="2" spans="1:8">
      <c r="B2" t="s">
        <v>79</v>
      </c>
      <c r="C2" s="31" t="s">
        <v>26</v>
      </c>
      <c r="D2" s="31" t="s">
        <v>27</v>
      </c>
      <c r="E2" s="31" t="s">
        <v>28</v>
      </c>
      <c r="F2" s="31" t="s">
        <v>30</v>
      </c>
      <c r="G2" s="31" t="s">
        <v>31</v>
      </c>
      <c r="H2" s="31" t="s">
        <v>32</v>
      </c>
    </row>
    <row r="3" spans="1:8" ht="16" thickBot="1">
      <c r="A3" s="50" t="s">
        <v>69</v>
      </c>
      <c r="B3" t="s">
        <v>80</v>
      </c>
      <c r="C3" t="s">
        <v>101</v>
      </c>
      <c r="D3" s="54">
        <v>1</v>
      </c>
      <c r="E3" s="54">
        <v>1</v>
      </c>
      <c r="F3">
        <v>100</v>
      </c>
      <c r="G3" s="54">
        <v>1</v>
      </c>
      <c r="H3" s="54">
        <v>1</v>
      </c>
    </row>
    <row r="4" spans="1:8" ht="17" thickTop="1" thickBot="1">
      <c r="A4" s="50" t="s">
        <v>70</v>
      </c>
      <c r="B4" t="s">
        <v>81</v>
      </c>
      <c r="C4" t="s">
        <v>86</v>
      </c>
      <c r="D4" s="54">
        <v>0.8</v>
      </c>
      <c r="E4" s="54">
        <v>0.85</v>
      </c>
      <c r="F4">
        <v>70</v>
      </c>
      <c r="G4">
        <v>60</v>
      </c>
      <c r="H4">
        <v>60</v>
      </c>
    </row>
    <row r="5" spans="1:8" ht="17" thickTop="1" thickBot="1">
      <c r="A5" s="50" t="s">
        <v>71</v>
      </c>
      <c r="B5" t="s">
        <v>82</v>
      </c>
      <c r="C5" t="s">
        <v>87</v>
      </c>
      <c r="D5" s="54">
        <v>0.7</v>
      </c>
      <c r="E5" s="54">
        <v>0.7</v>
      </c>
      <c r="F5">
        <v>90</v>
      </c>
      <c r="G5">
        <v>50</v>
      </c>
      <c r="H5">
        <v>50</v>
      </c>
    </row>
    <row r="6" spans="1:8" ht="17" thickTop="1" thickBot="1">
      <c r="A6" s="50" t="s">
        <v>72</v>
      </c>
      <c r="B6" t="s">
        <v>83</v>
      </c>
      <c r="C6" t="s">
        <v>102</v>
      </c>
      <c r="D6" s="54">
        <v>0.5</v>
      </c>
      <c r="E6" s="54">
        <v>0.55000000000000004</v>
      </c>
      <c r="F6">
        <v>50</v>
      </c>
      <c r="G6">
        <v>40</v>
      </c>
      <c r="H6">
        <v>90</v>
      </c>
    </row>
    <row r="7" spans="1:8" ht="17" thickTop="1" thickBot="1">
      <c r="A7" s="50" t="s">
        <v>73</v>
      </c>
      <c r="B7" t="s">
        <v>84</v>
      </c>
      <c r="C7" t="s">
        <v>103</v>
      </c>
      <c r="D7" s="54">
        <v>0.9</v>
      </c>
      <c r="E7" s="54">
        <v>0.4</v>
      </c>
      <c r="F7">
        <v>65</v>
      </c>
      <c r="G7">
        <v>70</v>
      </c>
      <c r="H7">
        <v>80</v>
      </c>
    </row>
    <row r="8" spans="1:8" ht="17" thickTop="1" thickBot="1">
      <c r="A8" s="50" t="s">
        <v>74</v>
      </c>
      <c r="B8" t="s">
        <v>85</v>
      </c>
      <c r="C8" t="s">
        <v>104</v>
      </c>
      <c r="D8" s="54">
        <v>0.6</v>
      </c>
      <c r="E8" s="55">
        <v>0.25</v>
      </c>
      <c r="F8">
        <v>55</v>
      </c>
      <c r="G8">
        <v>80</v>
      </c>
      <c r="H8">
        <v>75</v>
      </c>
    </row>
    <row r="9" spans="1:8" ht="16" thickTop="1"/>
    <row r="11" spans="1:8">
      <c r="B11" t="s">
        <v>110</v>
      </c>
      <c r="C11" t="s">
        <v>111</v>
      </c>
      <c r="D11" t="s">
        <v>113</v>
      </c>
    </row>
    <row r="12" spans="1:8">
      <c r="A12" s="108" t="s">
        <v>112</v>
      </c>
      <c r="B12" s="56">
        <v>8</v>
      </c>
      <c r="C12" s="56">
        <v>9.6</v>
      </c>
      <c r="D12" s="56">
        <v>1</v>
      </c>
      <c r="E12">
        <f>C12/100</f>
        <v>9.6000000000000002E-2</v>
      </c>
    </row>
    <row r="13" spans="1:8">
      <c r="A13" s="108"/>
      <c r="B13" s="56">
        <v>7</v>
      </c>
      <c r="C13" s="56">
        <v>8.4</v>
      </c>
      <c r="D13" s="56">
        <v>1</v>
      </c>
      <c r="E13">
        <f t="shared" ref="E13:E59" si="0">C13/100</f>
        <v>8.4000000000000005E-2</v>
      </c>
    </row>
    <row r="14" spans="1:8">
      <c r="A14" s="108"/>
      <c r="B14" s="56">
        <v>6</v>
      </c>
      <c r="C14" s="56">
        <v>7.2</v>
      </c>
      <c r="D14" s="56">
        <v>1</v>
      </c>
      <c r="E14">
        <f t="shared" si="0"/>
        <v>7.2000000000000008E-2</v>
      </c>
    </row>
    <row r="15" spans="1:8">
      <c r="A15" s="108"/>
      <c r="B15" s="56">
        <v>5</v>
      </c>
      <c r="C15" s="56">
        <v>6</v>
      </c>
      <c r="D15" s="56">
        <v>1</v>
      </c>
      <c r="E15">
        <f t="shared" si="0"/>
        <v>0.06</v>
      </c>
    </row>
    <row r="16" spans="1:8">
      <c r="A16" s="108"/>
      <c r="B16" s="56">
        <v>4</v>
      </c>
      <c r="C16" s="56">
        <v>4.8</v>
      </c>
      <c r="D16" s="56">
        <v>1</v>
      </c>
      <c r="E16">
        <f t="shared" si="0"/>
        <v>4.8000000000000001E-2</v>
      </c>
    </row>
    <row r="17" spans="1:5">
      <c r="A17" s="108"/>
      <c r="B17" s="56">
        <v>3</v>
      </c>
      <c r="C17" s="56">
        <v>3.5999999999999996</v>
      </c>
      <c r="D17" s="56">
        <v>1</v>
      </c>
      <c r="E17">
        <f t="shared" si="0"/>
        <v>3.5999999999999997E-2</v>
      </c>
    </row>
    <row r="18" spans="1:5">
      <c r="A18" s="108"/>
      <c r="B18" s="56">
        <v>2</v>
      </c>
      <c r="C18" s="56">
        <v>2.4</v>
      </c>
      <c r="D18" s="56">
        <v>1</v>
      </c>
      <c r="E18">
        <f t="shared" si="0"/>
        <v>2.4E-2</v>
      </c>
    </row>
    <row r="19" spans="1:5">
      <c r="A19" s="109"/>
      <c r="B19" s="57">
        <v>1</v>
      </c>
      <c r="C19" s="57">
        <v>1.2</v>
      </c>
      <c r="D19" s="57">
        <v>1</v>
      </c>
      <c r="E19">
        <f t="shared" si="0"/>
        <v>1.2E-2</v>
      </c>
    </row>
    <row r="20" spans="1:5">
      <c r="A20" s="107" t="s">
        <v>105</v>
      </c>
      <c r="B20" s="58">
        <v>8</v>
      </c>
      <c r="C20" s="58">
        <v>19.199999999999996</v>
      </c>
      <c r="D20" s="58">
        <v>2</v>
      </c>
      <c r="E20">
        <f t="shared" si="0"/>
        <v>0.19199999999999995</v>
      </c>
    </row>
    <row r="21" spans="1:5">
      <c r="A21" s="108"/>
      <c r="B21" s="56">
        <v>7</v>
      </c>
      <c r="C21" s="56">
        <v>17.999999999999996</v>
      </c>
      <c r="D21" s="56">
        <v>2</v>
      </c>
      <c r="E21">
        <f t="shared" si="0"/>
        <v>0.17999999999999997</v>
      </c>
    </row>
    <row r="22" spans="1:5">
      <c r="A22" s="108"/>
      <c r="B22" s="56">
        <v>6</v>
      </c>
      <c r="C22" s="56">
        <v>16.799999999999997</v>
      </c>
      <c r="D22" s="56">
        <v>2</v>
      </c>
      <c r="E22">
        <f t="shared" si="0"/>
        <v>0.16799999999999998</v>
      </c>
    </row>
    <row r="23" spans="1:5">
      <c r="A23" s="108"/>
      <c r="B23" s="56">
        <v>5</v>
      </c>
      <c r="C23" s="56">
        <v>15.599999999999996</v>
      </c>
      <c r="D23" s="56">
        <v>2</v>
      </c>
      <c r="E23">
        <f t="shared" si="0"/>
        <v>0.15599999999999997</v>
      </c>
    </row>
    <row r="24" spans="1:5">
      <c r="A24" s="108"/>
      <c r="B24" s="56">
        <v>4</v>
      </c>
      <c r="C24" s="56">
        <v>14.399999999999997</v>
      </c>
      <c r="D24" s="56">
        <v>2</v>
      </c>
      <c r="E24">
        <f t="shared" si="0"/>
        <v>0.14399999999999996</v>
      </c>
    </row>
    <row r="25" spans="1:5">
      <c r="A25" s="108"/>
      <c r="B25" s="56">
        <v>3</v>
      </c>
      <c r="C25" s="56">
        <v>13.199999999999998</v>
      </c>
      <c r="D25" s="56">
        <v>2</v>
      </c>
      <c r="E25">
        <f t="shared" si="0"/>
        <v>0.13199999999999998</v>
      </c>
    </row>
    <row r="26" spans="1:5">
      <c r="A26" s="108"/>
      <c r="B26" s="56">
        <v>2</v>
      </c>
      <c r="C26" s="56">
        <v>11.999999999999998</v>
      </c>
      <c r="D26" s="56">
        <v>2</v>
      </c>
      <c r="E26">
        <f t="shared" si="0"/>
        <v>0.11999999999999998</v>
      </c>
    </row>
    <row r="27" spans="1:5">
      <c r="A27" s="109"/>
      <c r="B27" s="57">
        <v>1</v>
      </c>
      <c r="C27" s="57">
        <v>10.799999999999999</v>
      </c>
      <c r="D27" s="57">
        <v>2</v>
      </c>
      <c r="E27">
        <f t="shared" si="0"/>
        <v>0.10799999999999998</v>
      </c>
    </row>
    <row r="28" spans="1:5">
      <c r="A28" s="107" t="s">
        <v>106</v>
      </c>
      <c r="B28" s="58">
        <v>8</v>
      </c>
      <c r="C28" s="58">
        <v>28.79999999999999</v>
      </c>
      <c r="D28" s="58">
        <v>3</v>
      </c>
      <c r="E28">
        <f t="shared" si="0"/>
        <v>0.28799999999999992</v>
      </c>
    </row>
    <row r="29" spans="1:5">
      <c r="A29" s="108"/>
      <c r="B29" s="56">
        <v>7</v>
      </c>
      <c r="C29" s="56">
        <v>27.599999999999991</v>
      </c>
      <c r="D29" s="56">
        <v>3</v>
      </c>
      <c r="E29">
        <f t="shared" si="0"/>
        <v>0.27599999999999991</v>
      </c>
    </row>
    <row r="30" spans="1:5">
      <c r="A30" s="108"/>
      <c r="B30" s="56">
        <v>6</v>
      </c>
      <c r="C30" s="56">
        <v>26.399999999999991</v>
      </c>
      <c r="D30" s="56">
        <v>3</v>
      </c>
      <c r="E30">
        <f t="shared" si="0"/>
        <v>0.2639999999999999</v>
      </c>
    </row>
    <row r="31" spans="1:5">
      <c r="A31" s="108"/>
      <c r="B31" s="56">
        <v>5</v>
      </c>
      <c r="C31" s="56">
        <v>25.199999999999992</v>
      </c>
      <c r="D31" s="56">
        <v>3</v>
      </c>
      <c r="E31">
        <f t="shared" si="0"/>
        <v>0.25199999999999995</v>
      </c>
    </row>
    <row r="32" spans="1:5">
      <c r="A32" s="108"/>
      <c r="B32" s="56">
        <v>4</v>
      </c>
      <c r="C32" s="56">
        <v>23.999999999999993</v>
      </c>
      <c r="D32" s="56">
        <v>3</v>
      </c>
      <c r="E32">
        <f t="shared" si="0"/>
        <v>0.23999999999999994</v>
      </c>
    </row>
    <row r="33" spans="1:5">
      <c r="A33" s="108"/>
      <c r="B33" s="56">
        <v>3</v>
      </c>
      <c r="C33" s="56">
        <v>22.799999999999994</v>
      </c>
      <c r="D33" s="56">
        <v>3</v>
      </c>
      <c r="E33">
        <f t="shared" si="0"/>
        <v>0.22799999999999992</v>
      </c>
    </row>
    <row r="34" spans="1:5">
      <c r="A34" s="108"/>
      <c r="B34" s="56">
        <v>2</v>
      </c>
      <c r="C34" s="56">
        <v>21.599999999999994</v>
      </c>
      <c r="D34" s="56">
        <v>3</v>
      </c>
      <c r="E34">
        <f t="shared" si="0"/>
        <v>0.21599999999999994</v>
      </c>
    </row>
    <row r="35" spans="1:5">
      <c r="A35" s="109"/>
      <c r="B35" s="57">
        <v>1</v>
      </c>
      <c r="C35" s="57">
        <v>20.399999999999995</v>
      </c>
      <c r="D35" s="57">
        <v>3</v>
      </c>
      <c r="E35">
        <f t="shared" si="0"/>
        <v>0.20399999999999996</v>
      </c>
    </row>
    <row r="36" spans="1:5">
      <c r="A36" s="107" t="s">
        <v>72</v>
      </c>
      <c r="B36" s="58">
        <v>8</v>
      </c>
      <c r="C36" s="58">
        <v>38.400000000000006</v>
      </c>
      <c r="D36" s="58">
        <v>4</v>
      </c>
      <c r="E36">
        <f t="shared" si="0"/>
        <v>0.38400000000000006</v>
      </c>
    </row>
    <row r="37" spans="1:5">
      <c r="A37" s="108"/>
      <c r="B37" s="56">
        <v>7</v>
      </c>
      <c r="C37" s="56">
        <v>37.200000000000003</v>
      </c>
      <c r="D37" s="56">
        <v>4</v>
      </c>
      <c r="E37">
        <f t="shared" si="0"/>
        <v>0.37200000000000005</v>
      </c>
    </row>
    <row r="38" spans="1:5">
      <c r="A38" s="108"/>
      <c r="B38" s="56">
        <v>6</v>
      </c>
      <c r="C38" s="56">
        <v>36</v>
      </c>
      <c r="D38" s="56">
        <v>4</v>
      </c>
      <c r="E38">
        <f t="shared" si="0"/>
        <v>0.36</v>
      </c>
    </row>
    <row r="39" spans="1:5">
      <c r="A39" s="108"/>
      <c r="B39" s="56">
        <v>5</v>
      </c>
      <c r="C39" s="56">
        <v>34.799999999999997</v>
      </c>
      <c r="D39" s="56">
        <v>4</v>
      </c>
      <c r="E39">
        <f t="shared" si="0"/>
        <v>0.34799999999999998</v>
      </c>
    </row>
    <row r="40" spans="1:5">
      <c r="A40" s="108"/>
      <c r="B40" s="56">
        <v>4</v>
      </c>
      <c r="C40" s="56">
        <v>33.599999999999994</v>
      </c>
      <c r="D40" s="56">
        <v>4</v>
      </c>
      <c r="E40">
        <f t="shared" si="0"/>
        <v>0.33599999999999997</v>
      </c>
    </row>
    <row r="41" spans="1:5">
      <c r="A41" s="108"/>
      <c r="B41" s="56">
        <v>3</v>
      </c>
      <c r="C41" s="56">
        <v>32.399999999999991</v>
      </c>
      <c r="D41" s="56">
        <v>4</v>
      </c>
      <c r="E41">
        <f t="shared" si="0"/>
        <v>0.3239999999999999</v>
      </c>
    </row>
    <row r="42" spans="1:5">
      <c r="A42" s="108"/>
      <c r="B42" s="56">
        <v>2</v>
      </c>
      <c r="C42" s="56">
        <v>31.199999999999989</v>
      </c>
      <c r="D42" s="56">
        <v>4</v>
      </c>
      <c r="E42">
        <f t="shared" si="0"/>
        <v>0.31199999999999989</v>
      </c>
    </row>
    <row r="43" spans="1:5">
      <c r="A43" s="109"/>
      <c r="B43" s="57">
        <v>1</v>
      </c>
      <c r="C43" s="57">
        <v>29.999999999999989</v>
      </c>
      <c r="D43" s="57">
        <v>4</v>
      </c>
      <c r="E43">
        <f t="shared" si="0"/>
        <v>0.29999999999999988</v>
      </c>
    </row>
    <row r="44" spans="1:5">
      <c r="A44" s="107" t="s">
        <v>107</v>
      </c>
      <c r="B44" s="58">
        <v>8</v>
      </c>
      <c r="C44" s="58">
        <v>48.000000000000028</v>
      </c>
      <c r="D44" s="58">
        <v>5</v>
      </c>
      <c r="E44">
        <f t="shared" si="0"/>
        <v>0.48000000000000026</v>
      </c>
    </row>
    <row r="45" spans="1:5">
      <c r="A45" s="108"/>
      <c r="B45" s="56">
        <v>7</v>
      </c>
      <c r="C45" s="56">
        <v>46.800000000000026</v>
      </c>
      <c r="D45" s="56">
        <v>5</v>
      </c>
      <c r="E45">
        <f t="shared" si="0"/>
        <v>0.46800000000000025</v>
      </c>
    </row>
    <row r="46" spans="1:5">
      <c r="A46" s="108"/>
      <c r="B46" s="56">
        <v>6</v>
      </c>
      <c r="C46" s="56">
        <v>45.600000000000023</v>
      </c>
      <c r="D46" s="56">
        <v>5</v>
      </c>
      <c r="E46">
        <f t="shared" si="0"/>
        <v>0.45600000000000024</v>
      </c>
    </row>
    <row r="47" spans="1:5">
      <c r="A47" s="108"/>
      <c r="B47" s="56">
        <v>5</v>
      </c>
      <c r="C47" s="56">
        <v>44.40000000000002</v>
      </c>
      <c r="D47" s="56">
        <v>5</v>
      </c>
      <c r="E47">
        <f t="shared" si="0"/>
        <v>0.44400000000000017</v>
      </c>
    </row>
    <row r="48" spans="1:5">
      <c r="A48" s="108"/>
      <c r="B48" s="56">
        <v>4</v>
      </c>
      <c r="C48" s="56">
        <v>43.200000000000017</v>
      </c>
      <c r="D48" s="56">
        <v>5</v>
      </c>
      <c r="E48">
        <f t="shared" si="0"/>
        <v>0.43200000000000016</v>
      </c>
    </row>
    <row r="49" spans="1:5">
      <c r="A49" s="108"/>
      <c r="B49" s="56">
        <v>3</v>
      </c>
      <c r="C49" s="56">
        <v>42.000000000000014</v>
      </c>
      <c r="D49" s="56">
        <v>5</v>
      </c>
      <c r="E49">
        <f t="shared" si="0"/>
        <v>0.42000000000000015</v>
      </c>
    </row>
    <row r="50" spans="1:5">
      <c r="A50" s="108"/>
      <c r="B50" s="56">
        <v>2</v>
      </c>
      <c r="C50" s="56">
        <v>40.800000000000011</v>
      </c>
      <c r="D50" s="56">
        <v>5</v>
      </c>
      <c r="E50">
        <f t="shared" si="0"/>
        <v>0.40800000000000014</v>
      </c>
    </row>
    <row r="51" spans="1:5">
      <c r="A51" s="109"/>
      <c r="B51" s="57">
        <v>1</v>
      </c>
      <c r="C51" s="57">
        <v>39.600000000000009</v>
      </c>
      <c r="D51" s="57">
        <v>5</v>
      </c>
      <c r="E51">
        <f t="shared" si="0"/>
        <v>0.39600000000000007</v>
      </c>
    </row>
    <row r="52" spans="1:5">
      <c r="A52" s="107" t="s">
        <v>108</v>
      </c>
      <c r="B52" s="58">
        <v>8</v>
      </c>
      <c r="C52" s="58">
        <v>57.600000000000051</v>
      </c>
      <c r="D52" s="58">
        <v>6</v>
      </c>
      <c r="E52">
        <f t="shared" si="0"/>
        <v>0.57600000000000051</v>
      </c>
    </row>
    <row r="53" spans="1:5">
      <c r="A53" s="108"/>
      <c r="B53" s="56">
        <v>7</v>
      </c>
      <c r="C53" s="56">
        <v>56.400000000000048</v>
      </c>
      <c r="D53" s="56">
        <v>6</v>
      </c>
      <c r="E53">
        <f t="shared" si="0"/>
        <v>0.5640000000000005</v>
      </c>
    </row>
    <row r="54" spans="1:5">
      <c r="A54" s="108"/>
      <c r="B54" s="56">
        <v>6</v>
      </c>
      <c r="C54" s="56">
        <v>55.200000000000045</v>
      </c>
      <c r="D54" s="56">
        <v>6</v>
      </c>
      <c r="E54">
        <f t="shared" si="0"/>
        <v>0.55200000000000049</v>
      </c>
    </row>
    <row r="55" spans="1:5">
      <c r="A55" s="108"/>
      <c r="B55" s="56">
        <v>5</v>
      </c>
      <c r="C55" s="56">
        <v>54.000000000000043</v>
      </c>
      <c r="D55" s="56">
        <v>6</v>
      </c>
      <c r="E55">
        <f t="shared" si="0"/>
        <v>0.54000000000000048</v>
      </c>
    </row>
    <row r="56" spans="1:5">
      <c r="A56" s="108"/>
      <c r="B56" s="56">
        <v>4</v>
      </c>
      <c r="C56" s="56">
        <v>52.80000000000004</v>
      </c>
      <c r="D56" s="56">
        <v>6</v>
      </c>
      <c r="E56">
        <f t="shared" si="0"/>
        <v>0.52800000000000036</v>
      </c>
    </row>
    <row r="57" spans="1:5">
      <c r="A57" s="108"/>
      <c r="B57" s="56">
        <v>3</v>
      </c>
      <c r="C57" s="56">
        <v>51.600000000000037</v>
      </c>
      <c r="D57" s="56">
        <v>6</v>
      </c>
      <c r="E57">
        <f t="shared" si="0"/>
        <v>0.51600000000000035</v>
      </c>
    </row>
    <row r="58" spans="1:5">
      <c r="A58" s="108"/>
      <c r="B58" s="56">
        <v>2</v>
      </c>
      <c r="C58" s="56">
        <v>50.400000000000034</v>
      </c>
      <c r="D58" s="56">
        <v>6</v>
      </c>
      <c r="E58">
        <f t="shared" si="0"/>
        <v>0.50400000000000034</v>
      </c>
    </row>
    <row r="59" spans="1:5">
      <c r="A59" s="109"/>
      <c r="B59" s="57">
        <v>1</v>
      </c>
      <c r="C59" s="57">
        <v>49.200000000000031</v>
      </c>
      <c r="D59" s="57">
        <v>6</v>
      </c>
      <c r="E59">
        <f t="shared" si="0"/>
        <v>0.49200000000000033</v>
      </c>
    </row>
    <row r="63" spans="1:5">
      <c r="D63" s="89" t="s">
        <v>136</v>
      </c>
    </row>
  </sheetData>
  <sortState ref="B12:D59">
    <sortCondition ref="D12:D59"/>
    <sortCondition descending="1" ref="B12:B59"/>
  </sortState>
  <mergeCells count="6">
    <mergeCell ref="A52:A59"/>
    <mergeCell ref="A12:A19"/>
    <mergeCell ref="A20:A27"/>
    <mergeCell ref="A28:A35"/>
    <mergeCell ref="A36:A43"/>
    <mergeCell ref="A44:A51"/>
  </mergeCells>
  <phoneticPr fontId="16" type="noConversion"/>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
  <sheetViews>
    <sheetView zoomScale="94" zoomScaleNormal="94" zoomScalePageLayoutView="94" workbookViewId="0">
      <selection activeCell="A13" sqref="A13"/>
    </sheetView>
  </sheetViews>
  <sheetFormatPr baseColWidth="10" defaultColWidth="11" defaultRowHeight="15" x14ac:dyDescent="0"/>
  <cols>
    <col min="1" max="1" width="24.6640625" customWidth="1"/>
    <col min="2" max="2" width="33.6640625" customWidth="1"/>
    <col min="3" max="3" width="4.1640625" style="3" customWidth="1"/>
    <col min="4" max="4" width="17.33203125" customWidth="1"/>
    <col min="6" max="6" width="3.5" style="3" customWidth="1"/>
    <col min="7" max="7" width="15.5" customWidth="1"/>
    <col min="9" max="9" width="4.1640625" style="3" customWidth="1"/>
    <col min="10" max="10" width="14.83203125" customWidth="1"/>
    <col min="12" max="12" width="4.1640625" style="3" customWidth="1"/>
    <col min="15" max="15" width="4.1640625" style="3" customWidth="1"/>
    <col min="18" max="18" width="4.33203125" style="3" customWidth="1"/>
    <col min="21" max="21" width="3.83203125" style="3" customWidth="1"/>
    <col min="24" max="24" width="3.83203125" style="3" customWidth="1"/>
    <col min="25" max="25" width="3" style="3" customWidth="1"/>
    <col min="26" max="26" width="24" customWidth="1"/>
    <col min="27" max="27" width="2" customWidth="1"/>
    <col min="28" max="28" width="6.33203125" customWidth="1"/>
    <col min="29" max="29" width="13.1640625" customWidth="1"/>
    <col min="30" max="31" width="6.33203125" customWidth="1"/>
    <col min="32" max="32" width="4.1640625" customWidth="1"/>
    <col min="33" max="33" width="10.5" customWidth="1"/>
    <col min="34" max="34" width="6.33203125" customWidth="1"/>
    <col min="35" max="35" width="1.83203125" customWidth="1"/>
  </cols>
  <sheetData>
    <row r="1" spans="1:38" ht="16" thickBot="1">
      <c r="A1" t="s">
        <v>57</v>
      </c>
      <c r="D1" s="3"/>
      <c r="E1" s="3"/>
      <c r="G1" s="3"/>
      <c r="H1" s="3"/>
      <c r="J1" s="3"/>
      <c r="K1" s="3"/>
      <c r="M1" s="3"/>
      <c r="N1" s="3"/>
      <c r="P1" s="3"/>
      <c r="Q1" s="3"/>
      <c r="S1" s="3"/>
      <c r="T1" s="3"/>
      <c r="V1" s="3"/>
      <c r="W1" s="3"/>
      <c r="Z1" s="21"/>
      <c r="AA1" s="22"/>
      <c r="AB1" s="23" t="s">
        <v>58</v>
      </c>
      <c r="AC1" s="23" t="s">
        <v>59</v>
      </c>
      <c r="AD1" s="23" t="s">
        <v>60</v>
      </c>
      <c r="AE1" s="23" t="s">
        <v>61</v>
      </c>
      <c r="AF1" s="23" t="s">
        <v>62</v>
      </c>
      <c r="AG1" s="23" t="s">
        <v>63</v>
      </c>
      <c r="AH1" s="23" t="s">
        <v>64</v>
      </c>
      <c r="AI1" s="24"/>
      <c r="AJ1" s="23" t="s">
        <v>66</v>
      </c>
      <c r="AK1" s="23" t="s">
        <v>67</v>
      </c>
      <c r="AL1" s="25" t="s">
        <v>68</v>
      </c>
    </row>
    <row r="2" spans="1:38" ht="16" thickBot="1">
      <c r="D2" s="3"/>
      <c r="E2" s="3"/>
      <c r="G2" s="3"/>
      <c r="H2" s="3"/>
      <c r="J2" s="3"/>
      <c r="K2" s="3"/>
      <c r="M2" s="3"/>
      <c r="N2" s="3"/>
      <c r="P2" s="3"/>
      <c r="Q2" s="3"/>
      <c r="S2" s="3"/>
      <c r="T2" s="3"/>
      <c r="V2" s="3"/>
      <c r="W2" s="3"/>
      <c r="Z2" s="26" t="s">
        <v>65</v>
      </c>
      <c r="AA2" s="27"/>
      <c r="AB2" s="28">
        <f>D8</f>
        <v>1954</v>
      </c>
      <c r="AC2" s="28">
        <f>G8</f>
        <v>1</v>
      </c>
      <c r="AD2" s="28">
        <f>J8</f>
        <v>5</v>
      </c>
      <c r="AE2" s="28">
        <f>M8</f>
        <v>24</v>
      </c>
      <c r="AF2" s="28">
        <f>P8</f>
        <v>0</v>
      </c>
      <c r="AG2" s="29">
        <f>S8</f>
        <v>1500000</v>
      </c>
      <c r="AH2" s="28">
        <f>V8</f>
        <v>-42.43</v>
      </c>
      <c r="AI2" s="24"/>
      <c r="AJ2" s="28">
        <v>8</v>
      </c>
      <c r="AK2" s="28">
        <v>0</v>
      </c>
      <c r="AL2" s="30"/>
    </row>
    <row r="3" spans="1:38" ht="16" thickBot="1">
      <c r="A3" s="1" t="s">
        <v>26</v>
      </c>
      <c r="B3" t="s">
        <v>100</v>
      </c>
      <c r="D3" s="4" t="s">
        <v>26</v>
      </c>
      <c r="E3" s="4" t="s">
        <v>36</v>
      </c>
      <c r="F3" s="5"/>
      <c r="G3" s="6" t="s">
        <v>37</v>
      </c>
      <c r="H3" s="6" t="s">
        <v>38</v>
      </c>
      <c r="I3" s="5"/>
      <c r="J3" s="7" t="s">
        <v>39</v>
      </c>
      <c r="K3" s="7" t="s">
        <v>40</v>
      </c>
      <c r="L3" s="5"/>
      <c r="M3" s="8" t="s">
        <v>41</v>
      </c>
      <c r="N3" s="8" t="s">
        <v>42</v>
      </c>
      <c r="O3" s="5"/>
      <c r="P3" s="9" t="s">
        <v>43</v>
      </c>
      <c r="Q3" s="9" t="s">
        <v>44</v>
      </c>
      <c r="R3" s="5"/>
      <c r="S3" s="10" t="s">
        <v>45</v>
      </c>
      <c r="T3" s="10" t="s">
        <v>48</v>
      </c>
      <c r="U3" s="5"/>
      <c r="V3" s="11" t="s">
        <v>46</v>
      </c>
      <c r="W3" s="11" t="s">
        <v>47</v>
      </c>
      <c r="Z3" s="31" t="s">
        <v>26</v>
      </c>
      <c r="AA3" s="32"/>
      <c r="AB3" s="28">
        <f>D4</f>
        <v>6648</v>
      </c>
      <c r="AC3" s="28">
        <v>1</v>
      </c>
      <c r="AD3" s="28">
        <v>5</v>
      </c>
      <c r="AE3" s="28">
        <v>24</v>
      </c>
      <c r="AF3" s="28">
        <v>0</v>
      </c>
      <c r="AG3" s="28">
        <v>1500000</v>
      </c>
      <c r="AH3" s="28">
        <v>-42.43</v>
      </c>
      <c r="AI3" s="24"/>
      <c r="AJ3" s="28">
        <v>1</v>
      </c>
      <c r="AK3" s="28">
        <v>100</v>
      </c>
      <c r="AL3" s="33">
        <f>AK3/$AK$11</f>
        <v>0.25974025974025972</v>
      </c>
    </row>
    <row r="4" spans="1:38" ht="17" thickBot="1">
      <c r="A4" s="1" t="s">
        <v>27</v>
      </c>
      <c r="B4" s="2" t="s">
        <v>52</v>
      </c>
      <c r="D4" s="12">
        <f>Columbia!N60</f>
        <v>6648</v>
      </c>
      <c r="E4" s="12">
        <v>1</v>
      </c>
      <c r="F4" s="13"/>
      <c r="G4" s="14">
        <f>Columbia!K60</f>
        <v>44521000</v>
      </c>
      <c r="H4" s="15">
        <v>1</v>
      </c>
      <c r="I4" s="13"/>
      <c r="J4" s="16">
        <v>75</v>
      </c>
      <c r="K4" s="16">
        <v>1</v>
      </c>
      <c r="L4" s="13"/>
      <c r="M4" s="17">
        <v>3</v>
      </c>
      <c r="N4" s="17">
        <v>1</v>
      </c>
      <c r="O4" s="13"/>
      <c r="P4" s="18">
        <f>Columbia!J60</f>
        <v>2</v>
      </c>
      <c r="Q4" s="18">
        <v>1</v>
      </c>
      <c r="R4" s="13"/>
      <c r="S4" s="19">
        <f>Columbia!Q61</f>
        <v>499999</v>
      </c>
      <c r="T4" s="19">
        <v>1</v>
      </c>
      <c r="U4" s="13"/>
      <c r="V4" s="20">
        <v>125.92</v>
      </c>
      <c r="W4" s="20">
        <v>1</v>
      </c>
      <c r="Z4" s="31" t="s">
        <v>27</v>
      </c>
      <c r="AA4" s="32"/>
      <c r="AB4" s="28">
        <v>1954</v>
      </c>
      <c r="AC4" s="34">
        <f>G4</f>
        <v>44521000</v>
      </c>
      <c r="AD4" s="28">
        <v>5</v>
      </c>
      <c r="AE4" s="28">
        <v>24</v>
      </c>
      <c r="AF4" s="28">
        <v>0</v>
      </c>
      <c r="AG4" s="28">
        <v>1500000</v>
      </c>
      <c r="AH4" s="28">
        <v>-42.43</v>
      </c>
      <c r="AI4" s="24"/>
      <c r="AJ4" s="28">
        <v>5</v>
      </c>
      <c r="AK4" s="28">
        <v>30</v>
      </c>
      <c r="AL4" s="33">
        <f t="shared" ref="AL4:AL9" si="0">AK4/$AK$11</f>
        <v>7.792207792207792E-2</v>
      </c>
    </row>
    <row r="5" spans="1:38" ht="17" thickBot="1">
      <c r="A5" s="1" t="s">
        <v>28</v>
      </c>
      <c r="B5" s="2" t="s">
        <v>53</v>
      </c>
      <c r="D5" s="12">
        <v>5900</v>
      </c>
      <c r="E5" s="12">
        <v>0.75</v>
      </c>
      <c r="F5" s="13"/>
      <c r="G5" s="14">
        <v>20000000</v>
      </c>
      <c r="H5" s="15">
        <v>0.75</v>
      </c>
      <c r="I5" s="13"/>
      <c r="J5" s="16">
        <v>40</v>
      </c>
      <c r="K5" s="16">
        <v>0.75</v>
      </c>
      <c r="L5" s="13"/>
      <c r="M5" s="17">
        <v>5</v>
      </c>
      <c r="N5" s="17">
        <v>0.75</v>
      </c>
      <c r="O5" s="13"/>
      <c r="P5" s="18">
        <v>1.75</v>
      </c>
      <c r="Q5" s="18">
        <v>0.75</v>
      </c>
      <c r="R5" s="13"/>
      <c r="S5" s="19">
        <v>650000</v>
      </c>
      <c r="T5" s="19">
        <v>0.75</v>
      </c>
      <c r="U5" s="13"/>
      <c r="V5" s="20">
        <v>50</v>
      </c>
      <c r="W5" s="20">
        <v>0.75</v>
      </c>
      <c r="Z5" s="31" t="s">
        <v>28</v>
      </c>
      <c r="AA5" s="32"/>
      <c r="AB5" s="28">
        <v>1954</v>
      </c>
      <c r="AC5" s="28">
        <v>1</v>
      </c>
      <c r="AD5" s="28">
        <f>J4</f>
        <v>75</v>
      </c>
      <c r="AE5" s="28">
        <v>24</v>
      </c>
      <c r="AF5" s="28">
        <v>0</v>
      </c>
      <c r="AG5" s="28">
        <v>1500000</v>
      </c>
      <c r="AH5" s="28">
        <v>-42.43</v>
      </c>
      <c r="AI5" s="24"/>
      <c r="AJ5" s="28">
        <v>4</v>
      </c>
      <c r="AK5" s="28">
        <v>50</v>
      </c>
      <c r="AL5" s="33">
        <f t="shared" si="0"/>
        <v>0.12987012987012986</v>
      </c>
    </row>
    <row r="6" spans="1:38" ht="16" thickBot="1">
      <c r="A6" s="1" t="s">
        <v>29</v>
      </c>
      <c r="B6" s="2" t="s">
        <v>51</v>
      </c>
      <c r="D6" s="12">
        <v>4200</v>
      </c>
      <c r="E6" s="12">
        <v>0.5</v>
      </c>
      <c r="F6" s="13"/>
      <c r="G6" s="14">
        <v>10000000</v>
      </c>
      <c r="H6" s="15">
        <v>0.5</v>
      </c>
      <c r="I6" s="13"/>
      <c r="J6" s="16">
        <v>30</v>
      </c>
      <c r="K6" s="16">
        <v>0.5</v>
      </c>
      <c r="L6" s="13"/>
      <c r="M6" s="17">
        <v>7</v>
      </c>
      <c r="N6" s="17">
        <v>0.5</v>
      </c>
      <c r="O6" s="13"/>
      <c r="P6" s="18">
        <v>1.5</v>
      </c>
      <c r="Q6" s="18">
        <v>0.5</v>
      </c>
      <c r="R6" s="13"/>
      <c r="S6" s="19">
        <v>700000</v>
      </c>
      <c r="T6" s="19">
        <v>0.5</v>
      </c>
      <c r="U6" s="13"/>
      <c r="V6" s="20">
        <v>10</v>
      </c>
      <c r="W6" s="20">
        <v>0.5</v>
      </c>
      <c r="Z6" s="31" t="s">
        <v>29</v>
      </c>
      <c r="AA6" s="32"/>
      <c r="AB6" s="28">
        <v>1954</v>
      </c>
      <c r="AC6" s="28">
        <v>1</v>
      </c>
      <c r="AD6" s="28">
        <v>5</v>
      </c>
      <c r="AE6" s="28">
        <f>M4</f>
        <v>3</v>
      </c>
      <c r="AF6" s="28">
        <v>0</v>
      </c>
      <c r="AG6" s="28">
        <v>1500000</v>
      </c>
      <c r="AH6" s="28">
        <v>-42.43</v>
      </c>
      <c r="AI6" s="24"/>
      <c r="AJ6" s="28">
        <v>3</v>
      </c>
      <c r="AK6" s="28">
        <v>95</v>
      </c>
      <c r="AL6" s="33">
        <f t="shared" si="0"/>
        <v>0.24675324675324675</v>
      </c>
    </row>
    <row r="7" spans="1:38" ht="17" thickBot="1">
      <c r="A7" s="1" t="s">
        <v>30</v>
      </c>
      <c r="B7" s="2" t="s">
        <v>54</v>
      </c>
      <c r="D7" s="12">
        <v>2500</v>
      </c>
      <c r="E7" s="12">
        <v>0.25</v>
      </c>
      <c r="F7" s="13"/>
      <c r="G7" s="14">
        <v>5000000</v>
      </c>
      <c r="H7" s="15">
        <v>0.25</v>
      </c>
      <c r="I7" s="13"/>
      <c r="J7" s="16">
        <v>20</v>
      </c>
      <c r="K7" s="16">
        <v>0.25</v>
      </c>
      <c r="L7" s="13"/>
      <c r="M7" s="17">
        <v>12</v>
      </c>
      <c r="N7" s="17">
        <v>0.25</v>
      </c>
      <c r="O7" s="13"/>
      <c r="P7" s="18">
        <v>1</v>
      </c>
      <c r="Q7" s="18">
        <v>0.25</v>
      </c>
      <c r="R7" s="13"/>
      <c r="S7" s="19">
        <v>1000000</v>
      </c>
      <c r="T7" s="19">
        <v>0.25</v>
      </c>
      <c r="U7" s="13"/>
      <c r="V7" s="20">
        <v>-25</v>
      </c>
      <c r="W7" s="20">
        <v>0.25</v>
      </c>
      <c r="Z7" s="31" t="s">
        <v>30</v>
      </c>
      <c r="AA7" s="32"/>
      <c r="AB7" s="28">
        <v>1954</v>
      </c>
      <c r="AC7" s="28">
        <v>1</v>
      </c>
      <c r="AD7" s="28">
        <v>5</v>
      </c>
      <c r="AE7" s="28">
        <v>24</v>
      </c>
      <c r="AF7" s="28">
        <f>P4</f>
        <v>2</v>
      </c>
      <c r="AG7" s="28">
        <v>1500000</v>
      </c>
      <c r="AH7" s="28">
        <v>-42.43</v>
      </c>
      <c r="AI7" s="24"/>
      <c r="AJ7" s="28">
        <v>6</v>
      </c>
      <c r="AK7" s="28">
        <v>35</v>
      </c>
      <c r="AL7" s="33">
        <f t="shared" si="0"/>
        <v>9.0909090909090912E-2</v>
      </c>
    </row>
    <row r="8" spans="1:38" ht="17" thickBot="1">
      <c r="A8" s="1" t="s">
        <v>31</v>
      </c>
      <c r="B8" s="2" t="s">
        <v>55</v>
      </c>
      <c r="D8" s="12">
        <f>Columbia!N61</f>
        <v>1954</v>
      </c>
      <c r="E8" s="12">
        <v>0</v>
      </c>
      <c r="F8" s="13"/>
      <c r="G8" s="15">
        <v>1</v>
      </c>
      <c r="H8" s="15">
        <v>0</v>
      </c>
      <c r="I8" s="13"/>
      <c r="J8" s="16">
        <v>5</v>
      </c>
      <c r="K8" s="16">
        <v>0</v>
      </c>
      <c r="L8" s="13"/>
      <c r="M8" s="17">
        <v>24</v>
      </c>
      <c r="N8" s="17">
        <v>0</v>
      </c>
      <c r="O8" s="13"/>
      <c r="P8" s="18">
        <f>Columbia!J61</f>
        <v>0</v>
      </c>
      <c r="Q8" s="18">
        <v>0</v>
      </c>
      <c r="R8" s="13"/>
      <c r="S8" s="19">
        <f>Columbia!Q60</f>
        <v>1500000</v>
      </c>
      <c r="T8" s="19">
        <v>0</v>
      </c>
      <c r="U8" s="13"/>
      <c r="V8" s="20">
        <v>-42.43</v>
      </c>
      <c r="W8" s="20">
        <v>0</v>
      </c>
      <c r="Z8" s="31" t="s">
        <v>31</v>
      </c>
      <c r="AA8" s="32"/>
      <c r="AB8" s="28">
        <v>1954</v>
      </c>
      <c r="AC8" s="28">
        <v>1</v>
      </c>
      <c r="AD8" s="28">
        <v>5</v>
      </c>
      <c r="AE8" s="28">
        <v>24</v>
      </c>
      <c r="AF8" s="28">
        <v>0</v>
      </c>
      <c r="AG8" s="28">
        <f>S4</f>
        <v>499999</v>
      </c>
      <c r="AH8" s="28">
        <v>-42.43</v>
      </c>
      <c r="AI8" s="24"/>
      <c r="AJ8" s="28">
        <v>7</v>
      </c>
      <c r="AK8" s="28">
        <v>20</v>
      </c>
      <c r="AL8" s="33">
        <f t="shared" si="0"/>
        <v>5.1948051948051951E-2</v>
      </c>
    </row>
    <row r="9" spans="1:38" ht="16">
      <c r="A9" s="1" t="s">
        <v>32</v>
      </c>
      <c r="B9" s="2" t="s">
        <v>56</v>
      </c>
      <c r="D9" s="3"/>
      <c r="E9" s="3"/>
      <c r="G9" s="3"/>
      <c r="H9" s="3"/>
      <c r="J9" s="3"/>
      <c r="K9" s="3"/>
      <c r="M9" s="3"/>
      <c r="N9" s="3"/>
      <c r="P9" s="3"/>
      <c r="Q9" s="3"/>
      <c r="S9" s="3"/>
      <c r="T9" s="3"/>
      <c r="V9" s="3"/>
      <c r="W9" s="3"/>
      <c r="Z9" s="31" t="s">
        <v>32</v>
      </c>
      <c r="AA9" s="32"/>
      <c r="AB9" s="28">
        <v>1954</v>
      </c>
      <c r="AC9" s="28">
        <v>1</v>
      </c>
      <c r="AD9" s="28">
        <v>5</v>
      </c>
      <c r="AE9" s="28">
        <v>24</v>
      </c>
      <c r="AF9" s="28">
        <v>0</v>
      </c>
      <c r="AG9" s="28">
        <v>1500000</v>
      </c>
      <c r="AH9" s="28">
        <f>V4</f>
        <v>125.92</v>
      </c>
      <c r="AI9" s="24"/>
      <c r="AJ9" s="28">
        <v>2</v>
      </c>
      <c r="AK9" s="28">
        <v>55</v>
      </c>
      <c r="AL9" s="33">
        <f t="shared" si="0"/>
        <v>0.14285714285714285</v>
      </c>
    </row>
    <row r="10" spans="1:38">
      <c r="D10" s="3"/>
      <c r="E10" s="3"/>
      <c r="G10" s="3"/>
      <c r="H10" s="3"/>
      <c r="J10" s="3"/>
      <c r="K10" s="3"/>
      <c r="M10" s="3"/>
      <c r="N10" s="3"/>
      <c r="P10" s="3"/>
      <c r="Q10" s="3"/>
      <c r="S10" s="3"/>
      <c r="T10" s="3"/>
      <c r="V10" s="3"/>
      <c r="W10" s="3"/>
      <c r="Z10" s="37"/>
      <c r="AA10" s="38"/>
      <c r="AB10" s="38"/>
      <c r="AC10" s="38"/>
      <c r="AD10" s="38"/>
      <c r="AE10" s="38"/>
      <c r="AF10" s="38"/>
      <c r="AG10" s="38"/>
      <c r="AH10" s="38"/>
      <c r="AI10" s="38"/>
      <c r="AJ10" s="38"/>
      <c r="AK10" s="38"/>
      <c r="AL10" s="39"/>
    </row>
    <row r="11" spans="1:38" ht="16" thickBot="1">
      <c r="D11" s="3"/>
      <c r="E11" s="3"/>
      <c r="G11" s="3"/>
      <c r="H11" s="3"/>
      <c r="J11" s="3"/>
      <c r="K11" s="3"/>
      <c r="M11" s="3"/>
      <c r="N11" s="3"/>
      <c r="P11" s="3"/>
      <c r="Q11" s="3"/>
      <c r="S11" s="3"/>
      <c r="T11" s="3"/>
      <c r="V11" s="3"/>
      <c r="W11" s="3"/>
      <c r="Z11" s="40"/>
      <c r="AA11" s="41"/>
      <c r="AB11" s="41"/>
      <c r="AC11" s="41"/>
      <c r="AD11" s="41"/>
      <c r="AE11" s="41"/>
      <c r="AF11" s="41"/>
      <c r="AG11" s="41"/>
      <c r="AH11" s="41"/>
      <c r="AI11" s="41"/>
      <c r="AJ11" s="41"/>
      <c r="AK11" s="35">
        <f>SUM(AK2:AK9)</f>
        <v>385</v>
      </c>
      <c r="AL11" s="36">
        <f>SUM(AL2:AL9)</f>
        <v>1</v>
      </c>
    </row>
    <row r="12" spans="1:38">
      <c r="D12" s="3"/>
      <c r="E12" s="3"/>
      <c r="G12" s="3"/>
      <c r="H12" s="3"/>
      <c r="J12" s="3"/>
      <c r="K12" s="3"/>
      <c r="M12" s="3"/>
      <c r="N12" s="3"/>
      <c r="P12" s="3"/>
      <c r="Q12" s="3"/>
      <c r="S12" s="3"/>
      <c r="T12" s="3"/>
      <c r="V12" s="3"/>
      <c r="W12" s="3"/>
    </row>
    <row r="13" spans="1:38">
      <c r="A13" t="s">
        <v>134</v>
      </c>
      <c r="D13" s="3"/>
      <c r="E13" s="3"/>
      <c r="G13" s="3"/>
      <c r="H13" s="3"/>
      <c r="J13" s="3"/>
      <c r="K13" s="3"/>
      <c r="M13" s="3"/>
      <c r="N13" s="3"/>
      <c r="P13" s="3"/>
      <c r="Q13" s="3"/>
      <c r="S13" s="3"/>
      <c r="T13" s="3"/>
      <c r="V13" s="3"/>
      <c r="W13" s="3"/>
    </row>
    <row r="14" spans="1:38">
      <c r="D14" s="3"/>
      <c r="E14" s="3"/>
      <c r="G14" s="3"/>
      <c r="H14" s="3"/>
      <c r="J14" s="3"/>
      <c r="K14" s="3"/>
      <c r="M14" s="3"/>
      <c r="N14" s="3"/>
      <c r="P14" s="3"/>
      <c r="Q14" s="3"/>
      <c r="S14" s="3"/>
      <c r="T14" s="3"/>
      <c r="V14" s="3"/>
      <c r="W14" s="3"/>
    </row>
    <row r="15" spans="1:38">
      <c r="D15" s="3"/>
      <c r="E15" s="3"/>
      <c r="G15" s="3"/>
      <c r="H15" s="3"/>
      <c r="J15" s="3"/>
      <c r="K15" s="3"/>
      <c r="M15" s="3"/>
      <c r="N15" s="3"/>
      <c r="P15" s="3"/>
      <c r="Q15" s="3"/>
      <c r="S15" s="3"/>
      <c r="T15" s="3"/>
      <c r="V15" s="3"/>
      <c r="W15" s="3"/>
    </row>
    <row r="16" spans="1:38">
      <c r="D16" s="3"/>
      <c r="E16" s="3"/>
      <c r="G16" s="3"/>
      <c r="H16" s="3"/>
      <c r="J16" s="3"/>
      <c r="K16" s="3"/>
      <c r="M16" s="3"/>
      <c r="N16" s="3"/>
      <c r="P16" s="3"/>
      <c r="Q16" s="3"/>
      <c r="S16" s="3"/>
      <c r="T16" s="3"/>
      <c r="V16" s="3"/>
      <c r="W16" s="3"/>
    </row>
    <row r="17" spans="4:23">
      <c r="D17" s="3"/>
      <c r="E17" s="3"/>
      <c r="G17" s="3"/>
      <c r="H17" s="3"/>
      <c r="J17" s="3"/>
      <c r="K17" s="3"/>
      <c r="M17" s="3"/>
      <c r="N17" s="3"/>
      <c r="P17" s="3"/>
      <c r="Q17" s="3"/>
      <c r="S17" s="3"/>
      <c r="T17" s="3"/>
      <c r="V17" s="3"/>
      <c r="W17" s="3"/>
    </row>
    <row r="18" spans="4:23">
      <c r="D18" s="3"/>
      <c r="E18" s="3"/>
      <c r="G18" s="3"/>
      <c r="H18" s="3"/>
      <c r="J18" s="3"/>
      <c r="K18" s="3"/>
      <c r="M18" s="3"/>
      <c r="N18" s="3"/>
      <c r="P18" s="3"/>
      <c r="Q18" s="3"/>
      <c r="S18" s="3"/>
      <c r="T18" s="3"/>
      <c r="V18" s="3"/>
      <c r="W18" s="3"/>
    </row>
    <row r="19" spans="4:23">
      <c r="D19" s="3"/>
      <c r="E19" s="3"/>
      <c r="G19" s="3"/>
      <c r="H19" s="3"/>
      <c r="J19" s="3"/>
      <c r="K19" s="3"/>
      <c r="M19" s="3"/>
      <c r="N19" s="3"/>
      <c r="P19" s="3"/>
      <c r="Q19" s="3"/>
      <c r="S19" s="3"/>
      <c r="T19" s="3"/>
      <c r="V19" s="3"/>
      <c r="W19" s="3"/>
    </row>
    <row r="20" spans="4:23">
      <c r="D20" s="3"/>
      <c r="E20" s="3"/>
      <c r="G20" s="3"/>
      <c r="H20" s="3"/>
      <c r="J20" s="3"/>
      <c r="K20" s="3"/>
      <c r="M20" s="3"/>
      <c r="N20" s="3"/>
      <c r="P20" s="3"/>
      <c r="Q20" s="3"/>
      <c r="S20" s="3"/>
      <c r="T20" s="3"/>
      <c r="V20" s="3"/>
      <c r="W20" s="3"/>
    </row>
    <row r="21" spans="4:23">
      <c r="D21" s="3"/>
      <c r="E21" s="3"/>
      <c r="G21" s="3"/>
      <c r="H21" s="3"/>
      <c r="J21" s="3"/>
      <c r="K21" s="3"/>
      <c r="M21" s="3"/>
      <c r="N21" s="3"/>
      <c r="P21" s="3"/>
      <c r="Q21" s="3"/>
      <c r="S21" s="3"/>
      <c r="T21" s="3"/>
      <c r="V21" s="3"/>
      <c r="W21" s="3"/>
    </row>
    <row r="22" spans="4:23">
      <c r="D22" s="3"/>
      <c r="E22" s="3"/>
      <c r="G22" s="3"/>
      <c r="H22" s="3"/>
      <c r="J22" s="3"/>
      <c r="K22" s="3"/>
      <c r="M22" s="3"/>
      <c r="N22" s="3"/>
      <c r="P22" s="3"/>
      <c r="Q22" s="3"/>
      <c r="S22" s="3"/>
      <c r="T22" s="3"/>
      <c r="V22" s="3"/>
      <c r="W22" s="3"/>
    </row>
    <row r="23" spans="4:23">
      <c r="D23" s="3"/>
      <c r="E23" s="3"/>
      <c r="G23" s="3"/>
      <c r="H23" s="3"/>
      <c r="J23" s="3"/>
      <c r="K23" s="3"/>
      <c r="M23" s="3"/>
      <c r="N23" s="3"/>
      <c r="P23" s="3"/>
      <c r="Q23" s="3"/>
      <c r="S23" s="3"/>
      <c r="T23" s="3"/>
      <c r="V23" s="3"/>
      <c r="W23" s="3"/>
    </row>
    <row r="24" spans="4:23">
      <c r="D24" s="3"/>
      <c r="E24" s="3"/>
      <c r="G24" s="3"/>
      <c r="H24" s="3"/>
      <c r="J24" s="3"/>
      <c r="K24" s="3"/>
      <c r="M24" s="3"/>
      <c r="N24" s="3"/>
      <c r="P24" s="3"/>
      <c r="Q24" s="3"/>
      <c r="S24" s="3"/>
      <c r="T24" s="3"/>
      <c r="V24" s="3"/>
      <c r="W24" s="3"/>
    </row>
    <row r="25" spans="4:23">
      <c r="D25" s="3"/>
      <c r="E25" s="3"/>
      <c r="G25" s="3"/>
      <c r="H25" s="3"/>
      <c r="J25" s="3"/>
      <c r="K25" s="3"/>
      <c r="M25" s="3"/>
      <c r="N25" s="3"/>
      <c r="P25" s="3"/>
      <c r="Q25" s="3"/>
      <c r="S25" s="3"/>
      <c r="T25" s="3"/>
      <c r="V25" s="3"/>
      <c r="W25" s="3"/>
    </row>
    <row r="26" spans="4:23">
      <c r="D26" s="3"/>
      <c r="E26" s="3"/>
      <c r="G26" s="3"/>
      <c r="H26" s="3"/>
      <c r="J26" s="3"/>
      <c r="K26" s="3"/>
      <c r="M26" s="3"/>
      <c r="N26" s="3"/>
      <c r="P26" s="3"/>
      <c r="Q26" s="3"/>
      <c r="S26" s="3"/>
      <c r="T26" s="3"/>
      <c r="V26" s="3"/>
      <c r="W26" s="3"/>
    </row>
    <row r="27" spans="4:23">
      <c r="D27" s="3"/>
      <c r="E27" s="3"/>
      <c r="G27" s="3"/>
      <c r="H27" s="3"/>
      <c r="J27" s="3"/>
      <c r="K27" s="3"/>
      <c r="M27" s="3"/>
      <c r="N27" s="3"/>
      <c r="P27" s="3"/>
      <c r="Q27" s="3"/>
      <c r="S27" s="3"/>
      <c r="T27" s="3"/>
      <c r="V27" s="3"/>
      <c r="W27" s="3"/>
    </row>
    <row r="28" spans="4:23">
      <c r="D28" s="3"/>
      <c r="E28" s="3"/>
      <c r="G28" s="3"/>
      <c r="H28" s="3"/>
      <c r="J28" s="3"/>
      <c r="K28" s="3"/>
      <c r="M28" s="3"/>
      <c r="N28" s="3"/>
      <c r="P28" s="3"/>
      <c r="Q28" s="3"/>
      <c r="S28" s="3"/>
      <c r="T28" s="3"/>
      <c r="V28" s="3"/>
      <c r="W28" s="3"/>
    </row>
    <row r="29" spans="4:23">
      <c r="D29" s="3"/>
      <c r="E29" s="3"/>
      <c r="G29" s="3"/>
      <c r="H29" s="3"/>
      <c r="J29" s="3"/>
      <c r="K29" s="3"/>
      <c r="M29" s="3"/>
      <c r="N29" s="3"/>
      <c r="P29" s="3"/>
      <c r="Q29" s="3"/>
      <c r="S29" s="3"/>
      <c r="T29" s="3"/>
      <c r="V29" s="3"/>
      <c r="W29" s="3"/>
    </row>
    <row r="30" spans="4:23">
      <c r="D30" s="3"/>
      <c r="E30" s="3"/>
      <c r="G30" s="3"/>
      <c r="H30" s="3"/>
      <c r="J30" s="3"/>
      <c r="K30" s="3"/>
      <c r="M30" s="3"/>
      <c r="N30" s="3"/>
      <c r="P30" s="3"/>
      <c r="Q30" s="3"/>
      <c r="S30" s="3"/>
      <c r="T30" s="3"/>
      <c r="V30" s="3"/>
      <c r="W30" s="3"/>
    </row>
    <row r="31" spans="4:23">
      <c r="D31" s="3"/>
      <c r="E31" s="3"/>
      <c r="G31" s="3"/>
      <c r="H31" s="3"/>
      <c r="J31" s="3"/>
      <c r="K31" s="3"/>
      <c r="M31" s="3"/>
      <c r="N31" s="3"/>
      <c r="P31" s="3"/>
      <c r="Q31" s="3"/>
      <c r="S31" s="3"/>
      <c r="T31" s="3"/>
      <c r="V31" s="3"/>
      <c r="W31" s="3"/>
    </row>
    <row r="32" spans="4:23">
      <c r="D32" s="3"/>
      <c r="E32" s="3"/>
      <c r="G32" s="3"/>
      <c r="H32" s="3"/>
      <c r="J32" s="3"/>
      <c r="K32" s="3"/>
      <c r="M32" s="3"/>
      <c r="N32" s="3"/>
      <c r="P32" s="3"/>
      <c r="Q32" s="3"/>
      <c r="S32" s="3"/>
      <c r="T32" s="3"/>
      <c r="V32" s="3"/>
      <c r="W32" s="3"/>
    </row>
    <row r="33" spans="4:23">
      <c r="D33" s="3"/>
      <c r="E33" s="3"/>
      <c r="G33" s="3"/>
      <c r="H33" s="3"/>
      <c r="J33" s="3"/>
      <c r="K33" s="3"/>
      <c r="M33" s="3"/>
      <c r="N33" s="3"/>
      <c r="P33" s="3"/>
      <c r="Q33" s="3"/>
      <c r="S33" s="3"/>
      <c r="T33" s="3"/>
      <c r="V33" s="3"/>
      <c r="W33" s="3"/>
    </row>
    <row r="34" spans="4:23">
      <c r="D34" s="3"/>
      <c r="E34" s="3"/>
      <c r="G34" s="3"/>
      <c r="H34" s="3"/>
      <c r="J34" s="3"/>
      <c r="K34" s="3"/>
      <c r="M34" s="3"/>
      <c r="N34" s="3"/>
      <c r="P34" s="3"/>
      <c r="Q34" s="3"/>
      <c r="S34" s="3"/>
      <c r="T34" s="3"/>
      <c r="V34" s="3"/>
      <c r="W34" s="3"/>
    </row>
    <row r="35" spans="4:23">
      <c r="D35" s="3"/>
      <c r="E35" s="3"/>
      <c r="G35" s="3"/>
      <c r="H35" s="3"/>
      <c r="J35" s="3"/>
      <c r="K35" s="3"/>
      <c r="M35" s="3"/>
      <c r="N35" s="3"/>
      <c r="P35" s="3"/>
      <c r="Q35" s="3"/>
      <c r="S35" s="3"/>
      <c r="T35" s="3"/>
      <c r="V35" s="3"/>
      <c r="W35" s="3"/>
    </row>
    <row r="36" spans="4:23">
      <c r="D36" s="3"/>
      <c r="E36" s="3"/>
      <c r="G36" s="3"/>
      <c r="H36" s="3"/>
      <c r="J36" s="3"/>
      <c r="K36" s="3"/>
      <c r="M36" s="3"/>
      <c r="N36" s="3"/>
      <c r="P36" s="3"/>
      <c r="Q36" s="3"/>
      <c r="S36" s="3"/>
      <c r="T36" s="3"/>
      <c r="V36" s="3"/>
      <c r="W36" s="3"/>
    </row>
    <row r="37" spans="4:23">
      <c r="D37" s="3"/>
      <c r="E37" s="3"/>
      <c r="G37" s="3"/>
      <c r="H37" s="3"/>
      <c r="J37" s="3"/>
      <c r="K37" s="3"/>
      <c r="M37" s="3"/>
      <c r="N37" s="3"/>
      <c r="P37" s="3"/>
      <c r="Q37" s="3"/>
      <c r="S37" s="3"/>
      <c r="T37" s="3"/>
      <c r="V37" s="3"/>
      <c r="W37" s="3"/>
    </row>
    <row r="38" spans="4:23">
      <c r="D38" s="3"/>
      <c r="E38" s="3"/>
      <c r="G38" s="3"/>
      <c r="H38" s="3"/>
      <c r="J38" s="3"/>
      <c r="K38" s="3"/>
      <c r="M38" s="3"/>
      <c r="N38" s="3"/>
      <c r="P38" s="3"/>
      <c r="Q38" s="3"/>
      <c r="S38" s="3"/>
      <c r="T38" s="3"/>
      <c r="V38" s="3"/>
      <c r="W38" s="3"/>
    </row>
    <row r="39" spans="4:23">
      <c r="D39" s="3"/>
      <c r="E39" s="3"/>
      <c r="G39" s="3"/>
      <c r="H39" s="3"/>
      <c r="J39" s="3"/>
      <c r="K39" s="3"/>
      <c r="M39" s="3"/>
      <c r="N39" s="3"/>
      <c r="P39" s="3"/>
      <c r="Q39" s="3"/>
      <c r="S39" s="3"/>
      <c r="T39" s="3"/>
      <c r="V39" s="3"/>
      <c r="W39" s="3"/>
    </row>
    <row r="40" spans="4:23">
      <c r="D40" s="3"/>
      <c r="E40" s="3"/>
      <c r="G40" s="3"/>
      <c r="H40" s="3"/>
      <c r="J40" s="3"/>
      <c r="K40" s="3"/>
      <c r="M40" s="3"/>
      <c r="N40" s="3"/>
      <c r="P40" s="3"/>
      <c r="Q40" s="3"/>
      <c r="S40" s="3"/>
      <c r="T40" s="3"/>
      <c r="V40" s="3"/>
      <c r="W40" s="3"/>
    </row>
    <row r="41" spans="4:23">
      <c r="D41" s="3"/>
      <c r="E41" s="3"/>
      <c r="G41" s="3"/>
      <c r="H41" s="3"/>
      <c r="J41" s="3"/>
      <c r="K41" s="3"/>
      <c r="M41" s="3"/>
      <c r="N41" s="3"/>
      <c r="P41" s="3"/>
      <c r="Q41" s="3"/>
      <c r="S41" s="3"/>
      <c r="T41" s="3"/>
      <c r="V41" s="3"/>
      <c r="W41" s="3"/>
    </row>
    <row r="42" spans="4:23">
      <c r="D42" s="3"/>
      <c r="E42" s="3"/>
      <c r="G42" s="3"/>
      <c r="H42" s="3"/>
      <c r="J42" s="3"/>
      <c r="K42" s="3"/>
      <c r="M42" s="3"/>
      <c r="N42" s="3"/>
      <c r="P42" s="3"/>
      <c r="Q42" s="3"/>
      <c r="S42" s="3"/>
      <c r="T42" s="3"/>
      <c r="V42" s="3"/>
      <c r="W42" s="3"/>
    </row>
    <row r="43" spans="4:23">
      <c r="D43" s="3"/>
      <c r="E43" s="3"/>
      <c r="G43" s="3"/>
      <c r="H43" s="3"/>
      <c r="J43" s="3"/>
      <c r="K43" s="3"/>
      <c r="M43" s="3"/>
      <c r="N43" s="3"/>
      <c r="P43" s="3"/>
      <c r="Q43" s="3"/>
      <c r="S43" s="3"/>
      <c r="T43" s="3"/>
      <c r="V43" s="3"/>
      <c r="W43" s="3"/>
    </row>
    <row r="44" spans="4:23">
      <c r="D44" s="3"/>
      <c r="E44" s="3"/>
      <c r="G44" s="3"/>
      <c r="H44" s="3"/>
      <c r="J44" s="3"/>
      <c r="K44" s="3"/>
      <c r="M44" s="3"/>
      <c r="N44" s="3"/>
      <c r="P44" s="3"/>
      <c r="Q44" s="3"/>
      <c r="S44" s="3"/>
      <c r="T44" s="3"/>
      <c r="V44" s="3"/>
      <c r="W44" s="3"/>
    </row>
    <row r="45" spans="4:23">
      <c r="D45" s="3"/>
      <c r="E45" s="3"/>
      <c r="G45" s="3"/>
      <c r="H45" s="3"/>
      <c r="J45" s="3"/>
      <c r="K45" s="3"/>
      <c r="M45" s="3"/>
      <c r="N45" s="3"/>
      <c r="P45" s="3"/>
      <c r="Q45" s="3"/>
      <c r="S45" s="3"/>
      <c r="T45" s="3"/>
      <c r="V45" s="3"/>
      <c r="W45" s="3"/>
    </row>
    <row r="46" spans="4:23">
      <c r="D46" s="3"/>
      <c r="E46" s="3"/>
      <c r="G46" s="3"/>
      <c r="H46" s="3"/>
      <c r="J46" s="3"/>
      <c r="K46" s="3"/>
      <c r="M46" s="3"/>
      <c r="N46" s="3"/>
      <c r="P46" s="3"/>
      <c r="Q46" s="3"/>
      <c r="S46" s="3"/>
      <c r="T46" s="3"/>
      <c r="V46" s="3"/>
      <c r="W46" s="3"/>
    </row>
    <row r="47" spans="4:23">
      <c r="D47" s="3"/>
      <c r="E47" s="3"/>
      <c r="G47" s="3"/>
      <c r="H47" s="3"/>
      <c r="J47" s="3"/>
      <c r="K47" s="3"/>
      <c r="M47" s="3"/>
      <c r="N47" s="3"/>
      <c r="P47" s="3"/>
      <c r="Q47" s="3"/>
      <c r="S47" s="3"/>
      <c r="T47" s="3"/>
      <c r="V47" s="3"/>
      <c r="W47" s="3"/>
    </row>
    <row r="48" spans="4:23">
      <c r="D48" s="3"/>
      <c r="E48" s="3"/>
      <c r="G48" s="3"/>
      <c r="H48" s="3"/>
      <c r="J48" s="3"/>
      <c r="K48" s="3"/>
      <c r="M48" s="3"/>
      <c r="N48" s="3"/>
      <c r="P48" s="3"/>
      <c r="Q48" s="3"/>
      <c r="S48" s="3"/>
      <c r="T48" s="3"/>
      <c r="V48" s="3"/>
      <c r="W48" s="3"/>
    </row>
    <row r="49" spans="4:23">
      <c r="D49" s="3"/>
      <c r="E49" s="3"/>
      <c r="G49" s="3"/>
      <c r="H49" s="3"/>
      <c r="J49" s="3"/>
      <c r="K49" s="3"/>
      <c r="M49" s="3"/>
      <c r="N49" s="3"/>
      <c r="P49" s="3"/>
      <c r="Q49" s="3"/>
      <c r="S49" s="3"/>
      <c r="T49" s="3"/>
      <c r="V49" s="3"/>
      <c r="W49" s="3"/>
    </row>
    <row r="50" spans="4:23">
      <c r="D50" s="3"/>
      <c r="E50" s="3"/>
      <c r="G50" s="3"/>
      <c r="H50" s="3"/>
      <c r="J50" s="3"/>
      <c r="K50" s="3"/>
      <c r="M50" s="3"/>
      <c r="N50" s="3"/>
      <c r="P50" s="3"/>
      <c r="Q50" s="3"/>
      <c r="S50" s="3"/>
      <c r="T50" s="3"/>
      <c r="V50" s="3"/>
      <c r="W50" s="3"/>
    </row>
    <row r="51" spans="4:23">
      <c r="D51" s="3"/>
      <c r="E51" s="3"/>
      <c r="G51" s="3"/>
      <c r="H51" s="3"/>
      <c r="J51" s="3"/>
      <c r="K51" s="3"/>
      <c r="M51" s="3"/>
      <c r="N51" s="3"/>
      <c r="P51" s="3"/>
      <c r="Q51" s="3"/>
      <c r="S51" s="3"/>
      <c r="T51" s="3"/>
      <c r="V51" s="3"/>
      <c r="W51" s="3"/>
    </row>
    <row r="52" spans="4:23">
      <c r="D52" s="3"/>
      <c r="E52" s="3"/>
      <c r="G52" s="3"/>
      <c r="H52" s="3"/>
      <c r="J52" s="3"/>
      <c r="K52" s="3"/>
      <c r="M52" s="3"/>
      <c r="N52" s="3"/>
      <c r="P52" s="3"/>
      <c r="Q52" s="3"/>
      <c r="S52" s="3"/>
      <c r="T52" s="3"/>
      <c r="V52" s="3"/>
      <c r="W52" s="3"/>
    </row>
    <row r="53" spans="4:23">
      <c r="D53" s="3"/>
      <c r="E53" s="3"/>
      <c r="G53" s="3"/>
      <c r="H53" s="3"/>
      <c r="J53" s="3"/>
      <c r="K53" s="3"/>
      <c r="M53" s="3"/>
      <c r="N53" s="3"/>
      <c r="P53" s="3"/>
      <c r="Q53" s="3"/>
      <c r="S53" s="3"/>
      <c r="T53" s="3"/>
      <c r="V53" s="3"/>
      <c r="W53" s="3"/>
    </row>
    <row r="54" spans="4:23">
      <c r="D54" s="3"/>
      <c r="E54" s="3"/>
      <c r="G54" s="3"/>
      <c r="H54" s="3"/>
      <c r="J54" s="3"/>
      <c r="K54" s="3"/>
      <c r="M54" s="3"/>
      <c r="N54" s="3"/>
      <c r="P54" s="3"/>
      <c r="Q54" s="3"/>
      <c r="S54" s="3"/>
      <c r="T54" s="3"/>
      <c r="V54" s="3"/>
      <c r="W54" s="3"/>
    </row>
    <row r="55" spans="4:23">
      <c r="D55" s="3"/>
      <c r="E55" s="3"/>
      <c r="G55" s="3"/>
      <c r="H55" s="3"/>
      <c r="J55" s="3"/>
      <c r="K55" s="3"/>
      <c r="M55" s="3"/>
      <c r="N55" s="3"/>
      <c r="P55" s="3"/>
      <c r="Q55" s="3"/>
      <c r="S55" s="3"/>
      <c r="T55" s="3"/>
      <c r="V55" s="3"/>
      <c r="W55" s="3"/>
    </row>
    <row r="56" spans="4:23">
      <c r="D56" s="3"/>
      <c r="E56" s="3"/>
      <c r="G56" s="3"/>
      <c r="H56" s="3"/>
      <c r="J56" s="3"/>
      <c r="K56" s="3"/>
      <c r="M56" s="3"/>
      <c r="N56" s="3"/>
      <c r="P56" s="3"/>
      <c r="Q56" s="3"/>
      <c r="S56" s="3"/>
      <c r="T56" s="3"/>
      <c r="V56" s="3"/>
      <c r="W56" s="3"/>
    </row>
    <row r="57" spans="4:23">
      <c r="D57" s="3"/>
      <c r="E57" s="3"/>
      <c r="G57" s="3"/>
      <c r="H57" s="3"/>
      <c r="J57" s="3"/>
      <c r="K57" s="3"/>
      <c r="M57" s="3"/>
      <c r="N57" s="3"/>
      <c r="P57" s="3"/>
      <c r="Q57" s="3"/>
      <c r="S57" s="3"/>
      <c r="T57" s="3"/>
      <c r="V57" s="3"/>
      <c r="W57" s="3"/>
    </row>
  </sheetData>
  <phoneticPr fontId="16" type="noConversion"/>
  <pageMargins left="0.7" right="0.7" top="0.75" bottom="0.75" header="0.3" footer="0.3"/>
  <pageSetup orientation="portrait" horizontalDpi="0" verticalDpi="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048575"/>
  <sheetViews>
    <sheetView topLeftCell="A42" zoomScale="69" zoomScaleNormal="69" zoomScalePageLayoutView="69" workbookViewId="0">
      <selection activeCell="A64" sqref="A64"/>
    </sheetView>
  </sheetViews>
  <sheetFormatPr baseColWidth="10" defaultColWidth="11" defaultRowHeight="15" x14ac:dyDescent="0.75"/>
  <cols>
    <col min="1" max="1" width="28.5" customWidth="1"/>
    <col min="2" max="2" width="18.33203125" customWidth="1"/>
  </cols>
  <sheetData>
    <row r="1" spans="1:16" ht="16" thickBot="1">
      <c r="D1" t="s">
        <v>98</v>
      </c>
      <c r="E1" s="110" t="s">
        <v>69</v>
      </c>
      <c r="F1" s="110"/>
      <c r="G1" s="110" t="s">
        <v>70</v>
      </c>
      <c r="H1" s="110"/>
      <c r="I1" s="110" t="s">
        <v>71</v>
      </c>
      <c r="J1" s="110"/>
      <c r="K1" s="110" t="s">
        <v>72</v>
      </c>
      <c r="L1" s="110"/>
      <c r="M1" s="110" t="s">
        <v>99</v>
      </c>
      <c r="N1" s="110"/>
      <c r="O1" s="110" t="s">
        <v>74</v>
      </c>
      <c r="P1" s="110"/>
    </row>
    <row r="2" spans="1:16" ht="17" thickTop="1" thickBot="1">
      <c r="A2" s="93"/>
      <c r="D2" s="52">
        <v>1000</v>
      </c>
      <c r="E2" s="43" t="s">
        <v>58</v>
      </c>
      <c r="F2" s="44">
        <f>Scales!E12*B6</f>
        <v>5184</v>
      </c>
      <c r="G2" s="43" t="s">
        <v>58</v>
      </c>
      <c r="H2" s="44">
        <f>B6*Scales!E20</f>
        <v>10367.999999999996</v>
      </c>
      <c r="I2" s="43" t="s">
        <v>58</v>
      </c>
      <c r="J2" s="44">
        <f>B6*Scales!E28</f>
        <v>15551.999999999996</v>
      </c>
      <c r="K2" s="43" t="s">
        <v>58</v>
      </c>
      <c r="L2" s="44">
        <f>B6*Scales!E36</f>
        <v>20736.000000000004</v>
      </c>
      <c r="M2" s="43" t="s">
        <v>58</v>
      </c>
      <c r="N2" s="44">
        <f>B6*Scales!E44</f>
        <v>25920.000000000015</v>
      </c>
      <c r="O2" s="43" t="s">
        <v>58</v>
      </c>
      <c r="P2" s="44">
        <f>B6*Scales!E52</f>
        <v>31104.000000000029</v>
      </c>
    </row>
    <row r="3" spans="1:16" ht="17" thickTop="1" thickBot="1">
      <c r="D3" s="52">
        <v>1000</v>
      </c>
      <c r="E3" s="45" t="s">
        <v>59</v>
      </c>
      <c r="F3" s="46">
        <f>IF($B$4=Database!$E$4,VLOOKUP(intermedia!E3,Database!D5:K5,2,FALSE),IF($B$4=Database!$F$4,VLOOKUP(intermedia!E3,Database!D5:K5,3,FALSE),IF(intermedia!$B$4=Database!$G$4,VLOOKUP(intermedia!E3,Database!D5:K5,4,FALSE),IF($B$4=Database!$H$4,VLOOKUP(intermedia!E3,Database!D5:K5,5,FALSE),IF(intermedia!$B$4=Database!$I$4,VLOOKUP(intermedia!E3,Database!D5:K5,6,FALSE),IF(intermedia!$B$4=Database!$J$4,VLOOKUP(intermedia!E3,Database!D5:'Database'!K5,7,FALSE),IF(intermedia!$B$4=Database!$K$4,VLOOKUP(intermedia!E3,Database!D5:K5,8,FALSE),IF(intermedia!$B$4=Database!$J$4,VLOOKUP(intermedia!E3,Database!D5:K5,9,FALSE)))))))))</f>
        <v>2869000</v>
      </c>
      <c r="G3" s="45" t="s">
        <v>59</v>
      </c>
      <c r="H3" s="46">
        <f>0.8*F3</f>
        <v>2295200</v>
      </c>
      <c r="I3" s="45" t="s">
        <v>59</v>
      </c>
      <c r="J3" s="46">
        <f>0.7*F3</f>
        <v>2008299.9999999998</v>
      </c>
      <c r="K3" s="45" t="s">
        <v>59</v>
      </c>
      <c r="L3" s="46">
        <f>0.5*F3</f>
        <v>1434500</v>
      </c>
      <c r="M3" s="45" t="s">
        <v>59</v>
      </c>
      <c r="N3" s="46">
        <f>0.9*F3</f>
        <v>2582100</v>
      </c>
      <c r="O3" s="45" t="s">
        <v>59</v>
      </c>
      <c r="P3" s="46">
        <f>0.6*F3</f>
        <v>1721400</v>
      </c>
    </row>
    <row r="4" spans="1:16" ht="17" thickTop="1" thickBot="1">
      <c r="A4" s="51" t="s">
        <v>33</v>
      </c>
      <c r="B4" t="str">
        <f>DSS!D17</f>
        <v>Stuyvesant</v>
      </c>
      <c r="D4" s="52">
        <v>1000</v>
      </c>
      <c r="E4" s="45" t="s">
        <v>60</v>
      </c>
      <c r="F4" s="46">
        <f>IF($B$4=Database!$E$7,VLOOKUP(intermedia!E4,Database!D8:K8,2,FALSE),IF($B$4=Database!$F$7,VLOOKUP(intermedia!E4,Database!D8:K8,3,FALSE),IF($B$4=Database!$G$7,VLOOKUP(intermedia!E4,Database!D8:K8,4,FALSE),IF(intermedia!$B$4=Database!$H$7,VLOOKUP(intermedia!$E$4,Database!D8:K8,5,FALSE),IF(intermedia!$B$4=Database!$I$7,VLOOKUP(intermedia!$E$4,Database!D8:K8,6,FALSE),IF(intermedia!$B$4=Database!$J$7,VLOOKUP(intermedia!E4,Database!D8:K8,7,FALSE),IF(intermedia!$B$4=Database!$K$7,VLOOKUP(intermedia!E4,Database!D8:K8,8,FALSE))))))))</f>
        <v>75</v>
      </c>
      <c r="G4" s="45" t="s">
        <v>60</v>
      </c>
      <c r="H4" s="46">
        <f>0.85*F4</f>
        <v>63.75</v>
      </c>
      <c r="I4" s="45" t="s">
        <v>60</v>
      </c>
      <c r="J4" s="46">
        <f>0.7*F4</f>
        <v>52.5</v>
      </c>
      <c r="K4" s="45" t="s">
        <v>60</v>
      </c>
      <c r="L4" s="46">
        <f>0.55*F4</f>
        <v>41.25</v>
      </c>
      <c r="M4" s="45" t="s">
        <v>60</v>
      </c>
      <c r="N4" s="46">
        <f>0.4*F4</f>
        <v>30</v>
      </c>
      <c r="O4" s="45" t="s">
        <v>60</v>
      </c>
      <c r="P4" s="46">
        <f>0.25*F4</f>
        <v>18.75</v>
      </c>
    </row>
    <row r="5" spans="1:16" ht="17" thickTop="1" thickBot="1">
      <c r="A5" s="1"/>
      <c r="D5" s="52">
        <v>1000</v>
      </c>
      <c r="E5" s="45" t="s">
        <v>61</v>
      </c>
      <c r="F5" s="46">
        <f>LN($B$8)+20</f>
        <v>21.6094379124341</v>
      </c>
      <c r="G5" s="45" t="s">
        <v>61</v>
      </c>
      <c r="H5" s="46">
        <f>LN($B$8)+7</f>
        <v>8.6094379124340996</v>
      </c>
      <c r="I5" s="45" t="s">
        <v>61</v>
      </c>
      <c r="J5" s="46">
        <f>LN($B$8)+5</f>
        <v>6.6094379124341005</v>
      </c>
      <c r="K5" s="45" t="s">
        <v>61</v>
      </c>
      <c r="L5" s="46">
        <f>LN($B$8)+0.5</f>
        <v>2.1094379124341005</v>
      </c>
      <c r="M5" s="45" t="s">
        <v>61</v>
      </c>
      <c r="N5" s="46">
        <f>LN($B$8)+1</f>
        <v>2.6094379124341005</v>
      </c>
      <c r="O5" s="45" t="s">
        <v>61</v>
      </c>
      <c r="P5" s="46">
        <f>LN($B$8)+2</f>
        <v>3.6094379124341005</v>
      </c>
    </row>
    <row r="6" spans="1:16" ht="17" thickTop="1" thickBot="1">
      <c r="A6" s="90"/>
      <c r="B6" s="91">
        <f>DSS!F18</f>
        <v>54000</v>
      </c>
      <c r="D6" s="52">
        <v>1000</v>
      </c>
      <c r="E6" s="45" t="s">
        <v>62</v>
      </c>
      <c r="F6" s="46">
        <f>IF(intermedia!$B$4=Database!$E$10,VLOOKUP(intermedia!E6,Database!D11:K11,2,FALSE),IF(intermedia!$B$4=Database!$F$10,VLOOKUP(intermedia!E6,Database!D11:K11,3,FALSE),IF(intermedia!$B$4=Database!$G$10,VLOOKUP(intermedia!E6,Database!D11:K11,4,FALSE),IF(intermedia!$B$4=Database!$H$10,VLOOKUP(intermedia!E6,Database!D11:K11,5,FALSE),IF(intermedia!$B$4=Database!$I$10,VLOOKUP(intermedia!E6,Database!D11:K11,6,FALSE),IF(intermedia!$B$4=Database!$J$10,VLOOKUP(intermedia!E6,Database!D11:K11,7,FALSE),IF(intermedia!$B$4=Database!$K$10,VLOOKUP(intermedia!E6,Database!D11:K11,8,FALSE))))))))</f>
        <v>2</v>
      </c>
      <c r="G6" s="45" t="s">
        <v>62</v>
      </c>
      <c r="H6" s="46">
        <f>0.7*F6</f>
        <v>1.4</v>
      </c>
      <c r="I6" s="45" t="s">
        <v>62</v>
      </c>
      <c r="J6" s="46">
        <f>F6*0.9</f>
        <v>1.8</v>
      </c>
      <c r="K6" s="45" t="s">
        <v>62</v>
      </c>
      <c r="L6" s="46">
        <f>0.5*F6</f>
        <v>1</v>
      </c>
      <c r="M6" s="45" t="s">
        <v>62</v>
      </c>
      <c r="N6" s="46">
        <f>F6*0.65</f>
        <v>1.3</v>
      </c>
      <c r="O6" s="45" t="s">
        <v>62</v>
      </c>
      <c r="P6" s="46">
        <f>0.55*F6</f>
        <v>1.1000000000000001</v>
      </c>
    </row>
    <row r="7" spans="1:16" ht="17" thickTop="1" thickBot="1">
      <c r="A7" s="1"/>
      <c r="D7" s="52">
        <v>1000</v>
      </c>
      <c r="E7" s="45" t="s">
        <v>63</v>
      </c>
      <c r="F7" s="46">
        <f>IF(intermedia!$B$4=Database!$E$14,VLOOKUP(intermedia!E7,Database!D15:K15,2,FALSE),IF(intermedia!$B$4=Database!$F$14,VLOOKUP(intermedia!E7,Database!D15:K15,3,FALSE),IF(intermedia!$B$4=Database!$G$14,VLOOKUP(intermedia!E7,Database!D15:K15,4,FALSE),IF(intermedia!$B$4=Database!$H$14,VLOOKUP(intermedia!E7,Database!D15:K15,5,FALSE),IF(intermedia!$B$4=Database!$I$14,VLOOKUP(intermedia!E7,Database!D15:K15,6,FALSE),IF(intermedia!$B$4=Database!$J$14,VLOOKUP(intermedia!E7,Database!D15:K15,7,FALSE),IF(intermedia!$B$4=Database!$K$14,VLOOKUP(intermedia!E7,Database!D15:K15,8,FALSE))))))))</f>
        <v>1300000</v>
      </c>
      <c r="G7" s="45" t="s">
        <v>63</v>
      </c>
      <c r="H7" s="46">
        <f>0.6*F7</f>
        <v>780000</v>
      </c>
      <c r="I7" s="45" t="s">
        <v>63</v>
      </c>
      <c r="J7" s="46">
        <f>0.5*F7</f>
        <v>650000</v>
      </c>
      <c r="K7" s="45" t="s">
        <v>63</v>
      </c>
      <c r="L7" s="46">
        <f>0.4*F7</f>
        <v>520000</v>
      </c>
      <c r="M7" s="45" t="s">
        <v>63</v>
      </c>
      <c r="N7" s="46">
        <f>0.7*F7</f>
        <v>910000</v>
      </c>
      <c r="O7" s="45" t="s">
        <v>63</v>
      </c>
      <c r="P7" s="46">
        <f>0.8*F7</f>
        <v>1040000</v>
      </c>
    </row>
    <row r="8" spans="1:16" ht="17" thickTop="1" thickBot="1">
      <c r="A8" s="90"/>
      <c r="B8" s="92">
        <f>DSS!D19</f>
        <v>5</v>
      </c>
      <c r="D8" s="52">
        <v>1000</v>
      </c>
      <c r="E8" s="47" t="s">
        <v>64</v>
      </c>
      <c r="F8" s="48">
        <f>IF(intermedia!$B$4=Database!$E$17,VLOOKUP(intermedia!E8,Database!D18:K18,2,FALSE),IF(intermedia!$B$4=Database!$F$17,VLOOKUP(intermedia!E8,Database!D18:K18,3,FALSE),IF(intermedia!$B$4=Database!$G$17,VLOOKUP(intermedia!E8,Database!D18:K18,4,FALSE),IF(intermedia!$B$4=Database!$H$17,VLOOKUP(intermedia!E8,Database!D18:K18,5,FALSE),IF(intermedia!$B$4=Database!$I$17,VLOOKUP(intermedia!E8,Database!D18:K18,6,FALSE),IF(intermedia!$B$4=Database!$J$17,VLOOKUP(intermedia!E8,Database!D18:K18,7,FALSE),IF(intermedia!$B$4=Database!$K$17,VLOOKUP(intermedia!E8,Database!D18:K18,8,FALSE))))))))</f>
        <v>-28.21</v>
      </c>
      <c r="G8" s="47" t="s">
        <v>64</v>
      </c>
      <c r="H8" s="48">
        <f>0.6*F8</f>
        <v>-16.925999999999998</v>
      </c>
      <c r="I8" s="47" t="s">
        <v>64</v>
      </c>
      <c r="J8" s="48">
        <f>0.5*F8</f>
        <v>-14.105</v>
      </c>
      <c r="K8" s="47" t="s">
        <v>64</v>
      </c>
      <c r="L8" s="48">
        <f>0.9*F8</f>
        <v>-25.389000000000003</v>
      </c>
      <c r="M8" s="47" t="s">
        <v>64</v>
      </c>
      <c r="N8" s="48">
        <f>0.8*F8</f>
        <v>-22.568000000000001</v>
      </c>
      <c r="O8" s="47" t="s">
        <v>64</v>
      </c>
      <c r="P8" s="48">
        <f>0.75*F8</f>
        <v>-21.157499999999999</v>
      </c>
    </row>
    <row r="9" spans="1:16" ht="17.25" customHeight="1" thickTop="1" thickBot="1">
      <c r="A9" s="90"/>
      <c r="D9" s="52">
        <v>500</v>
      </c>
      <c r="E9" s="43" t="s">
        <v>58</v>
      </c>
      <c r="F9" s="44">
        <f>Scales!E13*B6</f>
        <v>4536</v>
      </c>
      <c r="G9" s="43" t="s">
        <v>58</v>
      </c>
      <c r="H9" s="44">
        <f>$B$6*Scales!E21</f>
        <v>9719.9999999999982</v>
      </c>
      <c r="I9" s="43" t="s">
        <v>58</v>
      </c>
      <c r="J9" s="44">
        <f>B6*Scales!E29</f>
        <v>14903.999999999995</v>
      </c>
      <c r="K9" s="43" t="s">
        <v>58</v>
      </c>
      <c r="L9" s="44">
        <f>B6*Scales!E37</f>
        <v>20088.000000000004</v>
      </c>
      <c r="M9" s="43" t="s">
        <v>58</v>
      </c>
      <c r="N9" s="44">
        <f>B6*Scales!E45</f>
        <v>25272.000000000015</v>
      </c>
      <c r="O9" s="43" t="s">
        <v>58</v>
      </c>
      <c r="P9" s="44">
        <f>B6*Scales!E53</f>
        <v>30456.000000000025</v>
      </c>
    </row>
    <row r="10" spans="1:16" ht="17" thickTop="1" thickBot="1">
      <c r="A10" s="1"/>
      <c r="D10" s="52">
        <v>500</v>
      </c>
      <c r="E10" s="45" t="s">
        <v>59</v>
      </c>
      <c r="F10" s="46">
        <f>IF(intermedia!$B$4=Database!$E$24,VLOOKUP(intermedia!E10,Database!D25:L25,2,FALSE),IF(intermedia!$B$4=Database!$F$24,VLOOKUP(intermedia!E10,Database!D25:L25,3,FALSE),IF(intermedia!$B$4=Database!$G$24,VLOOKUP(intermedia!E10,Database!D25:L25,4,FALSE),IF(intermedia!$B$4=Database!$H$24,VLOOKUP(intermedia!E10,Database!D25:L25,5,FALSE),IF(intermedia!$B$4=Database!$I$24,VLOOKUP(intermedia!E10,Database!D25:L25,6,FALSE),IF(intermedia!$B$4=Database!$J$24,VLOOKUP(intermedia!E10,Database!D25:L25,7,FALSE),IF(intermedia!$B$4=Database!$J$24,VLOOKUP(intermedia!E10,Database!D25:L25,7,FALSE),IF(intermedia!$B$4=Database!$K$24,VLOOKUP(intermedia!E10,Database!D25:L25,8,FALSE)))))))))</f>
        <v>2428000</v>
      </c>
      <c r="G10" s="45" t="s">
        <v>59</v>
      </c>
      <c r="H10" s="46">
        <f>F10*0.8</f>
        <v>1942400</v>
      </c>
      <c r="I10" s="45" t="s">
        <v>59</v>
      </c>
      <c r="J10" s="46">
        <f>F10*0.7</f>
        <v>1699600</v>
      </c>
      <c r="K10" s="45" t="s">
        <v>59</v>
      </c>
      <c r="L10" s="46">
        <f>F10*0.5</f>
        <v>1214000</v>
      </c>
      <c r="M10" s="45" t="s">
        <v>59</v>
      </c>
      <c r="N10" s="46">
        <f>F10*0.9</f>
        <v>2185200</v>
      </c>
      <c r="O10" s="45" t="s">
        <v>59</v>
      </c>
      <c r="P10" s="46">
        <f>F10*0.6</f>
        <v>1456800</v>
      </c>
    </row>
    <row r="11" spans="1:16" ht="17" thickTop="1" thickBot="1">
      <c r="A11" s="1"/>
      <c r="D11" s="52">
        <v>500</v>
      </c>
      <c r="E11" s="45" t="s">
        <v>60</v>
      </c>
      <c r="F11" s="46">
        <f>IF(intermedia!$B$4=Database!$E$27,VLOOKUP(intermedia!E11,Database!D28:L28,2,FALSE),IF(intermedia!$B$4=Database!$F$27,VLOOKUP(intermedia!E11,Database!D28:L28,3,FALSE),IF(intermedia!$B$4=Database!$G$27,VLOOKUP(intermedia!E11,Database!D28:L28,4,FALSE),IF(intermedia!$B$4=Database!$H$27,VLOOKUP(intermedia!E11,Database!D28:L28,5,FALSE),IF(intermedia!$B$4=Database!$I$27,VLOOKUP(intermedia!E11,Database!D28:L28,6,FALSE),IF(intermedia!$B$4=Database!$J$27,VLOOKUP(intermedia!E11,Database!D28:L28,7,FALSE),IF(intermedia!$B$4=Database!$K$27,VLOOKUP(intermedia!E11,Database!D28:L28,8,FALSE),IF(intermedia!$B$4=Database!$L$27,VLOOKUP(intermedia!E11,Database!D28:L28,9,FALSE)))))))))</f>
        <v>75</v>
      </c>
      <c r="G11" s="45" t="s">
        <v>60</v>
      </c>
      <c r="H11" s="46">
        <f>0.85*F11</f>
        <v>63.75</v>
      </c>
      <c r="I11" s="45" t="s">
        <v>60</v>
      </c>
      <c r="J11" s="46">
        <f>0.7*F11</f>
        <v>52.5</v>
      </c>
      <c r="K11" s="45" t="s">
        <v>60</v>
      </c>
      <c r="L11" s="46">
        <f>0.55*F11</f>
        <v>41.25</v>
      </c>
      <c r="M11" s="45" t="s">
        <v>60</v>
      </c>
      <c r="N11" s="46">
        <f>0.4*F11</f>
        <v>30</v>
      </c>
      <c r="O11" s="45" t="s">
        <v>60</v>
      </c>
      <c r="P11" s="46">
        <f>0.25*F11</f>
        <v>18.75</v>
      </c>
    </row>
    <row r="12" spans="1:16" ht="17" thickTop="1" thickBot="1">
      <c r="D12" s="52">
        <v>500</v>
      </c>
      <c r="E12" s="45" t="s">
        <v>61</v>
      </c>
      <c r="F12" s="46">
        <f>F5</f>
        <v>21.6094379124341</v>
      </c>
      <c r="G12" s="45" t="s">
        <v>61</v>
      </c>
      <c r="H12" s="46">
        <f>LN($B$8)+7</f>
        <v>8.6094379124340996</v>
      </c>
      <c r="I12" s="45" t="s">
        <v>61</v>
      </c>
      <c r="J12" s="46">
        <f>LN($B$8)+5</f>
        <v>6.6094379124341005</v>
      </c>
      <c r="K12" s="45" t="s">
        <v>61</v>
      </c>
      <c r="L12" s="46">
        <f>LN($B$8)+0.5</f>
        <v>2.1094379124341005</v>
      </c>
      <c r="M12" s="45" t="s">
        <v>61</v>
      </c>
      <c r="N12" s="46">
        <f>LN($B$8)+1</f>
        <v>2.6094379124341005</v>
      </c>
      <c r="O12" s="45" t="s">
        <v>61</v>
      </c>
      <c r="P12" s="46">
        <f>LN($B$8)+2</f>
        <v>3.6094379124341005</v>
      </c>
    </row>
    <row r="13" spans="1:16" ht="17" thickTop="1" thickBot="1">
      <c r="D13" s="52">
        <v>500</v>
      </c>
      <c r="E13" s="45" t="s">
        <v>62</v>
      </c>
      <c r="F13" s="46">
        <f>IF(intermedia!$B$4=Database!$E$30,VLOOKUP(intermedia!E13,Database!D31:L31,2,FALSE),IF(intermedia!$B$4=Database!$F$30,VLOOKUP(intermedia!E13,Database!D31:L31,3,FALSE),IF(intermedia!$B$4=Database!$G$30,VLOOKUP(intermedia!E13,Database!D31:L31,4,FALSE),IF(intermedia!$B$4=Database!$H$30,VLOOKUP(intermedia!E13,Database!D31:L31,5,FALSE),IF(intermedia!$B$4=Database!$I$30,VLOOKUP(intermedia!E13,Database!D31:L31,6,FALSE),IF(intermedia!$B$4=Database!$J$30,VLOOKUP(intermedia!E13,Database!D31:L31,7,FALSE),IF(intermedia!$B$4=Database!$K$30,VLOOKUP(intermedia!E13,Database!D31:L31,8,FALSE),IF(intermedia!$B$4=Database!$L$30,VLOOKUP(intermedia!E13,Database!D31:L31,9,FALSE)))))))))</f>
        <v>2</v>
      </c>
      <c r="G13" s="45" t="s">
        <v>62</v>
      </c>
      <c r="H13" s="46">
        <f>0.7*F13</f>
        <v>1.4</v>
      </c>
      <c r="I13" s="45" t="s">
        <v>62</v>
      </c>
      <c r="J13" s="46">
        <f>F13*0.9</f>
        <v>1.8</v>
      </c>
      <c r="K13" s="45" t="s">
        <v>62</v>
      </c>
      <c r="L13" s="46">
        <f>0.5*F13</f>
        <v>1</v>
      </c>
      <c r="M13" s="45" t="s">
        <v>62</v>
      </c>
      <c r="N13" s="46">
        <f>F13*0.65</f>
        <v>1.3</v>
      </c>
      <c r="O13" s="45" t="s">
        <v>62</v>
      </c>
      <c r="P13" s="46">
        <f>0.55*F13</f>
        <v>1.1000000000000001</v>
      </c>
    </row>
    <row r="14" spans="1:16" ht="17" thickTop="1" thickBot="1">
      <c r="D14" s="52">
        <v>500</v>
      </c>
      <c r="E14" s="45" t="s">
        <v>63</v>
      </c>
      <c r="F14" s="46">
        <f>IF(intermedia!$B$4=Database!$E$34,VLOOKUP(intermedia!E14,Database!D35:L35,2,FALSE),IF(intermedia!$B$4=Database!$F$34,VLOOKUP(intermedia!E14,Database!D35:L35,3,FALSE),IF(intermedia!$B$4=Database!$G$34,VLOOKUP(intermedia!E14,Database!D35:L35,4,FALSE),IF(intermedia!$B$4=Database!$H$34,VLOOKUP(intermedia!E14,Database!D35:L35,5,FALSE),IF(intermedia!$B$4=Database!$I$34,VLOOKUP(intermedia!E14,Database!D35:L35,6,FALSE),IF(intermedia!$B$4=Database!$J$34,VLOOKUP(intermedia!E14,Database!D35:L35,7,FALSE),IF(intermedia!$B$4=Database!$K$34,VLOOKUP(intermedia!E14,Database!D35:L35,8,FALSE),IF(intermedia!$B$4=Database!$L$34,VLOOKUP(intermedia!E14,Database!D35:L35,9,FALSE)))))))))</f>
        <v>1000000</v>
      </c>
      <c r="G14" s="45" t="s">
        <v>63</v>
      </c>
      <c r="H14" s="46">
        <f>0.6*F14</f>
        <v>600000</v>
      </c>
      <c r="I14" s="45" t="s">
        <v>63</v>
      </c>
      <c r="J14" s="46">
        <f>0.5*F14</f>
        <v>500000</v>
      </c>
      <c r="K14" s="45" t="s">
        <v>63</v>
      </c>
      <c r="L14" s="46">
        <f>0.4*F14</f>
        <v>400000</v>
      </c>
      <c r="M14" s="45" t="s">
        <v>63</v>
      </c>
      <c r="N14" s="46">
        <f>0.7*F14</f>
        <v>700000</v>
      </c>
      <c r="O14" s="45" t="s">
        <v>63</v>
      </c>
      <c r="P14" s="46">
        <f>0.8*F14</f>
        <v>800000</v>
      </c>
    </row>
    <row r="15" spans="1:16" ht="17" thickTop="1" thickBot="1">
      <c r="D15" s="52">
        <v>500</v>
      </c>
      <c r="E15" s="47" t="s">
        <v>64</v>
      </c>
      <c r="F15" s="48">
        <f>IF(intermedia!$B$4=Database!$E$37,VLOOKUP(intermedia!E15,Database!D38:L38,2,FALSE),IF(intermedia!$B$4=Database!$F$37,VLOOKUP(intermedia!E15,Database!D38:L38,3,FALSE),IF(intermedia!$B$4=Database!$G$37,VLOOKUP(intermedia!E15,Database!D38:L38,4,FALSE),IF(intermedia!$B$4=Database!$H$37,VLOOKUP(intermedia!E15,Database!D38:L38,5,FALSE),IF(intermedia!$B$4=Database!$I$37,VLOOKUP(intermedia!E15,Database!D38:L38,6,FALSE),IF(intermedia!$B$4=Database!$J$37,VLOOKUP(intermedia!E15,Database!D38:L38,7,FALSE),IF(intermedia!$B$4=Database!$K$37,VLOOKUP(intermedia!E15,Database!D38:L38,8,FALSE),IF(intermedia!$B$4=Database!$L$37,VLOOKUP(intermedia!E15,Database!D38:L38,9,FALSE)))))))))</f>
        <v>-28.21</v>
      </c>
      <c r="G15" s="47" t="s">
        <v>64</v>
      </c>
      <c r="H15" s="48">
        <f>0.6*F15</f>
        <v>-16.925999999999998</v>
      </c>
      <c r="I15" s="47" t="s">
        <v>64</v>
      </c>
      <c r="J15" s="48">
        <f>0.5*F15</f>
        <v>-14.105</v>
      </c>
      <c r="K15" s="47" t="s">
        <v>64</v>
      </c>
      <c r="L15" s="48">
        <f>0.9*F15</f>
        <v>-25.389000000000003</v>
      </c>
      <c r="M15" s="47" t="s">
        <v>64</v>
      </c>
      <c r="N15" s="48">
        <f>0.8*F15</f>
        <v>-22.568000000000001</v>
      </c>
      <c r="O15" s="47" t="s">
        <v>64</v>
      </c>
      <c r="P15" s="48">
        <f>0.75*F15</f>
        <v>-21.157499999999999</v>
      </c>
    </row>
    <row r="16" spans="1:16" ht="17.25" customHeight="1" thickTop="1" thickBot="1">
      <c r="D16" s="52">
        <v>200</v>
      </c>
      <c r="E16" s="43" t="s">
        <v>58</v>
      </c>
      <c r="F16" s="44">
        <f>Scales!E14*B6</f>
        <v>3888.0000000000005</v>
      </c>
      <c r="G16" s="43" t="s">
        <v>58</v>
      </c>
      <c r="H16" s="44">
        <f>B6*Scales!E22</f>
        <v>9071.9999999999982</v>
      </c>
      <c r="I16" s="43" t="s">
        <v>58</v>
      </c>
      <c r="J16" s="44">
        <f>B6*Scales!E30</f>
        <v>14255.999999999995</v>
      </c>
      <c r="K16" s="43" t="s">
        <v>58</v>
      </c>
      <c r="L16" s="44">
        <f>B6*Scales!E38</f>
        <v>19440</v>
      </c>
      <c r="M16" s="43" t="s">
        <v>58</v>
      </c>
      <c r="N16" s="44">
        <f>B6*Scales!E46</f>
        <v>24624.000000000015</v>
      </c>
      <c r="O16" s="43" t="s">
        <v>58</v>
      </c>
      <c r="P16" s="44">
        <f>B6*Scales!E54</f>
        <v>29808.000000000025</v>
      </c>
    </row>
    <row r="17" spans="4:16" ht="17" thickTop="1" thickBot="1">
      <c r="D17" s="52">
        <v>200</v>
      </c>
      <c r="E17" s="45" t="s">
        <v>59</v>
      </c>
      <c r="F17" s="46">
        <f>IF(intermedia!$B$4=Database!$E$43,VLOOKUP(intermedia!E17,Database!D44:L44,2,FALSE),IF(intermedia!$B$4=Database!$F$43,VLOOKUP(intermedia!E17,Database!D44:L44,3,FALSE),IF(intermedia!$B$4=Database!$G$43,VLOOKUP(intermedia!E17,Database!D44:L44,4,FALSE),IF(intermedia!$B$4=Database!$H$43,VLOOKUP(intermedia!E17,Database!D44:L44,5,FALSE),IF(intermedia!$B$4=Database!$I$43,VLOOKUP(intermedia!E17,Database!D44:L44,6,FALSE),IF(intermedia!$B$4=Database!$J$43,VLOOKUP(intermedia!E17,Database!D44:L44,7,FALSE),IF(intermedia!$B$4=Database!$K$43,VLOOKUP(intermedia!E17,Database!D44:L44,8,FALSE),IF(intermedia!$B$4=Database!$L$43,VLOOKUP(intermedia!E17,Database!D44:L44,9,FALSE)))))))))</f>
        <v>1788000</v>
      </c>
      <c r="G17" s="45" t="s">
        <v>59</v>
      </c>
      <c r="H17" s="46">
        <f>F17*0.8</f>
        <v>1430400</v>
      </c>
      <c r="I17" s="45" t="s">
        <v>59</v>
      </c>
      <c r="J17" s="46">
        <f>F17*0.7</f>
        <v>1251600</v>
      </c>
      <c r="K17" s="45" t="s">
        <v>59</v>
      </c>
      <c r="L17" s="46">
        <f>F17*0.5</f>
        <v>894000</v>
      </c>
      <c r="M17" s="45" t="s">
        <v>59</v>
      </c>
      <c r="N17" s="46">
        <f>F17*0.9</f>
        <v>1609200</v>
      </c>
      <c r="O17" s="45" t="s">
        <v>59</v>
      </c>
      <c r="P17" s="46">
        <f>F17*0.6</f>
        <v>1072800</v>
      </c>
    </row>
    <row r="18" spans="4:16" ht="17" thickTop="1" thickBot="1">
      <c r="D18" s="52">
        <v>200</v>
      </c>
      <c r="E18" s="45" t="s">
        <v>60</v>
      </c>
      <c r="F18" s="46">
        <f>IF(intermedia!B4=Database!$E$46,VLOOKUP(intermedia!E18,Database!D47:L47,2,FALSE),IF(intermedia!B4=Database!$F$46,VLOOKUP(intermedia!E18,Database!D47:L47,3,FALSE),IF(intermedia!B4=Database!$G$46,VLOOKUP(intermedia!E18,Database!D47:L47,4,FALSE),IF(intermedia!B4=Database!$H$46,VLOOKUP(intermedia!E18,Database!D47:L47,5,FALSE),IF(intermedia!B4=Database!$I$46,VLOOKUP(intermedia!E18,Database!D47:L47,6,FALSE),IF(intermedia!B4=Database!$J$46,VLOOKUP(intermedia!E18,Database!D47:L47,7,FALSE),IF(intermedia!B4=Database!$K$46,VLOOKUP(intermedia!E18,Database!D47:L47,8,FALSE),IF(intermedia!B4=Database!$L$46,VLOOKUP(intermedia!E18,Database!D47:L47,9,FALSE)))))))))</f>
        <v>75</v>
      </c>
      <c r="G18" s="45" t="s">
        <v>60</v>
      </c>
      <c r="H18" s="46">
        <f>0.85*F18</f>
        <v>63.75</v>
      </c>
      <c r="I18" s="45" t="s">
        <v>60</v>
      </c>
      <c r="J18" s="46">
        <f>0.7*F18</f>
        <v>52.5</v>
      </c>
      <c r="K18" s="45" t="s">
        <v>60</v>
      </c>
      <c r="L18" s="46">
        <f>0.55*F18</f>
        <v>41.25</v>
      </c>
      <c r="M18" s="45" t="s">
        <v>60</v>
      </c>
      <c r="N18" s="46">
        <f>0.4*F18</f>
        <v>30</v>
      </c>
      <c r="O18" s="45" t="s">
        <v>60</v>
      </c>
      <c r="P18" s="46">
        <f>0.25*F18</f>
        <v>18.75</v>
      </c>
    </row>
    <row r="19" spans="4:16" ht="17" thickTop="1" thickBot="1">
      <c r="D19" s="52">
        <v>200</v>
      </c>
      <c r="E19" s="45" t="s">
        <v>61</v>
      </c>
      <c r="F19" s="46">
        <f>F5</f>
        <v>21.6094379124341</v>
      </c>
      <c r="G19" s="45" t="s">
        <v>61</v>
      </c>
      <c r="H19" s="46">
        <f>LN($B$8)+7</f>
        <v>8.6094379124340996</v>
      </c>
      <c r="I19" s="45" t="s">
        <v>61</v>
      </c>
      <c r="J19" s="46">
        <f>LN($B$8)+5</f>
        <v>6.6094379124341005</v>
      </c>
      <c r="K19" s="45" t="s">
        <v>61</v>
      </c>
      <c r="L19" s="46">
        <f>LN($B$8)+0.5</f>
        <v>2.1094379124341005</v>
      </c>
      <c r="M19" s="45" t="s">
        <v>61</v>
      </c>
      <c r="N19" s="46">
        <f>LN($B$8)+1</f>
        <v>2.6094379124341005</v>
      </c>
      <c r="O19" s="45" t="s">
        <v>61</v>
      </c>
      <c r="P19" s="46">
        <f>LN($B$8)+2</f>
        <v>3.6094379124341005</v>
      </c>
    </row>
    <row r="20" spans="4:16" ht="17" thickTop="1" thickBot="1">
      <c r="D20" s="52">
        <v>200</v>
      </c>
      <c r="E20" s="45" t="s">
        <v>62</v>
      </c>
      <c r="F20" s="46">
        <f>IF(intermedia!$B$4=Database!$E$49,VLOOKUP(intermedia!E20,Database!D50:L50,2,FALSE),IF(intermedia!$B$4=Database!$F$49,VLOOKUP(intermedia!E20,Database!D50:L50,3,FALSE),IF(intermedia!$B$4=Database!$G$49,VLOOKUP(intermedia!E20,Database!D50:L50,4,FALSE),IF(intermedia!$B$4=Database!$H$49,VLOOKUP(intermedia!E20,Database!D50:L50,5,FALSE),IF(intermedia!$B$4=Database!$I$49,VLOOKUP(intermedia!E20,Database!D50:L50,6,FALSE),IF(intermedia!$B$4=Database!$J$49,VLOOKUP(intermedia!E20,Database!D50:L50,7,FALSE),IF(intermedia!$B$4=Database!$K$49,VLOOKUP(intermedia!E20,Database!D50:L50,8,FALSE),IF(intermedia!$B$4=Database!$L$49,VLOOKUP(intermedia!E20,Database!D50:L50,9,FALSE)))))))))</f>
        <v>2</v>
      </c>
      <c r="G20" s="45" t="s">
        <v>62</v>
      </c>
      <c r="H20" s="46">
        <f>0.7*F20</f>
        <v>1.4</v>
      </c>
      <c r="I20" s="45" t="s">
        <v>62</v>
      </c>
      <c r="J20" s="46">
        <f>F20*0.9</f>
        <v>1.8</v>
      </c>
      <c r="K20" s="45" t="s">
        <v>62</v>
      </c>
      <c r="L20" s="46">
        <f>0.5*F20</f>
        <v>1</v>
      </c>
      <c r="M20" s="45" t="s">
        <v>62</v>
      </c>
      <c r="N20" s="46">
        <f>F20*0.65</f>
        <v>1.3</v>
      </c>
      <c r="O20" s="45" t="s">
        <v>62</v>
      </c>
      <c r="P20" s="46">
        <f>0.55*F20</f>
        <v>1.1000000000000001</v>
      </c>
    </row>
    <row r="21" spans="4:16" ht="17" thickTop="1" thickBot="1">
      <c r="D21" s="52">
        <v>200</v>
      </c>
      <c r="E21" s="45" t="s">
        <v>63</v>
      </c>
      <c r="F21" s="46">
        <f>IF(intermedia!$B$4=Database!$E$53,VLOOKUP(intermedia!E21,Database!D54:L54,2,FALSE),IF(intermedia!$B$4=Database!$F$53,VLOOKUP(intermedia!E21,Database!D54:L54,3,FALSE),IF(intermedia!$B$4=Database!$G$53,VLOOKUP(intermedia!E21,Database!D54:L54,4,FALSE),IF(intermedia!$B$4=Database!$H$53,VLOOKUP(intermedia!E21,Database!D54:L54,5,FALSE),IF(intermedia!$B$4=Database!$I$53,VLOOKUP(intermedia!E21,Database!D54:L54,6,FALSE),IF(intermedia!$B$4=Database!$J$53,VLOOKUP(intermedia!E21,Database!D54:L54,7,FALSE),IF(intermedia!$K$4=Database!$E$53,VLOOKUP(intermedia!E21,Database!D54:L54,8,FALSE),IF(intermedia!$B$4=Database!$L$53,VLOOKUP(intermedia!E21,Database!D54:L54,9,FALSE)))))))))</f>
        <v>900000</v>
      </c>
      <c r="G21" s="45" t="s">
        <v>63</v>
      </c>
      <c r="H21" s="46">
        <f>0.6*F21</f>
        <v>540000</v>
      </c>
      <c r="I21" s="45" t="s">
        <v>63</v>
      </c>
      <c r="J21" s="46">
        <f>0.5*F21</f>
        <v>450000</v>
      </c>
      <c r="K21" s="45" t="s">
        <v>63</v>
      </c>
      <c r="L21" s="46">
        <f>0.4*F21</f>
        <v>360000</v>
      </c>
      <c r="M21" s="45" t="s">
        <v>63</v>
      </c>
      <c r="N21" s="46">
        <f>0.7*F21</f>
        <v>630000</v>
      </c>
      <c r="O21" s="45" t="s">
        <v>63</v>
      </c>
      <c r="P21" s="46">
        <f>0.8*F21</f>
        <v>720000</v>
      </c>
    </row>
    <row r="22" spans="4:16" ht="17" thickTop="1" thickBot="1">
      <c r="D22" s="52">
        <v>200</v>
      </c>
      <c r="E22" s="47" t="s">
        <v>64</v>
      </c>
      <c r="F22" s="48">
        <f>IF(intermedia!$B$4=Database!$E$56,VLOOKUP(intermedia!E22,Database!D57:L57,2,FALSE),IF(intermedia!$B$4=Database!$F$56,VLOOKUP(intermedia!E22,Database!D57:L57,3,FALSE),IF(intermedia!$B$4=Database!$G$56,VLOOKUP(intermedia!E22,Database!D57:L57,4,FALSE),IF(intermedia!$B$4=Database!$H$56,VLOOKUP(intermedia!E22,Database!D57:L57,5,FALSE),IF(intermedia!$B$4=Database!$I$56,VLOOKUP(intermedia!E22,Database!D57:L57,6,FALSE),IF(intermedia!$B$4=Database!$J$56,VLOOKUP(intermedia!E22,Database!D57:L57,7,FALSE),IF(intermedia!$B$4=Database!$K$56,VLOOKUP(intermedia!E22,Database!D57:L57,8,FALSE),IF(intermedia!$B$4=Database!$L$56,VLOOKUP(intermedia!E22,Database!D57:L57,9,FALSE)))))))))</f>
        <v>-28.21</v>
      </c>
      <c r="G22" s="47" t="s">
        <v>64</v>
      </c>
      <c r="H22" s="48">
        <f>0.6*F22</f>
        <v>-16.925999999999998</v>
      </c>
      <c r="I22" s="47" t="s">
        <v>64</v>
      </c>
      <c r="J22" s="48">
        <f>0.5*F22</f>
        <v>-14.105</v>
      </c>
      <c r="K22" s="47" t="s">
        <v>64</v>
      </c>
      <c r="L22" s="48">
        <f>0.9*F22</f>
        <v>-25.389000000000003</v>
      </c>
      <c r="M22" s="47" t="s">
        <v>64</v>
      </c>
      <c r="N22" s="48">
        <f>0.8*F22</f>
        <v>-22.568000000000001</v>
      </c>
      <c r="O22" s="47" t="s">
        <v>64</v>
      </c>
      <c r="P22" s="48">
        <f>0.75*F22</f>
        <v>-21.157499999999999</v>
      </c>
    </row>
    <row r="23" spans="4:16" ht="17" thickTop="1" thickBot="1">
      <c r="D23" s="52">
        <v>100</v>
      </c>
      <c r="E23" s="43" t="s">
        <v>58</v>
      </c>
      <c r="F23" s="44">
        <f>Scales!E15*B6</f>
        <v>3240</v>
      </c>
      <c r="G23" s="43" t="s">
        <v>58</v>
      </c>
      <c r="H23" s="44">
        <f>B6*Scales!E23</f>
        <v>8423.9999999999982</v>
      </c>
      <c r="I23" s="43" t="s">
        <v>58</v>
      </c>
      <c r="J23" s="44">
        <f>B6*Scales!E31</f>
        <v>13607.999999999996</v>
      </c>
      <c r="K23" s="43" t="s">
        <v>58</v>
      </c>
      <c r="L23" s="44">
        <f>B6*Scales!E39</f>
        <v>18792</v>
      </c>
      <c r="M23" s="43" t="s">
        <v>58</v>
      </c>
      <c r="N23" s="44">
        <f>B6*Scales!E47</f>
        <v>23976.000000000011</v>
      </c>
      <c r="O23" s="43" t="s">
        <v>58</v>
      </c>
      <c r="P23" s="44">
        <f>B6*Scales!E55</f>
        <v>29160.000000000025</v>
      </c>
    </row>
    <row r="24" spans="4:16" ht="17" thickTop="1" thickBot="1">
      <c r="D24" s="52">
        <v>100</v>
      </c>
      <c r="E24" s="45" t="s">
        <v>59</v>
      </c>
      <c r="F24" s="46">
        <f>IF(intermedia!$B$4=Database!$E$61,VLOOKUP(intermedia!E24,Database!D62:K62,2,FALSE),IF(intermedia!$B$4=Database!$F$61,VLOOKUP(intermedia!E24,Database!D62:K62,3,FALSE),IF(intermedia!$B$4=Database!$G$61,VLOOKUP(intermedia!E24,Database!D62:K62,4,FALSE),IF(intermedia!$B$4=Database!$H$61,VLOOKUP(intermedia!E24,Database!D62:K62,5,FALSE),IF(intermedia!$B$4=Database!$I$61,VLOOKUP(intermedia!E24,Database!D62:K62,6,FALSE),IF(intermedia!$B$4=Database!$J$61,VLOOKUP(intermedia!E24,Database!D62:K62,7,FALSE),IF(intermedia!$B$4=Database!$K$61,VLOOKUP(intermedia!E24,Database!D62:K62,8,FALSE),IF(intermedia!$B$4=Database!$L$61,VLOOKUP(intermedia!E24,Database!D62:K62,9,FALSE)))))))))</f>
        <v>1512000</v>
      </c>
      <c r="G24" s="45" t="s">
        <v>59</v>
      </c>
      <c r="H24" s="46">
        <f>F24*0.8</f>
        <v>1209600</v>
      </c>
      <c r="I24" s="45" t="s">
        <v>59</v>
      </c>
      <c r="J24" s="46">
        <f>F24*0.7</f>
        <v>1058400</v>
      </c>
      <c r="K24" s="45" t="s">
        <v>59</v>
      </c>
      <c r="L24" s="46">
        <f>F24*0.5</f>
        <v>756000</v>
      </c>
      <c r="M24" s="45" t="s">
        <v>59</v>
      </c>
      <c r="N24" s="46">
        <f>F24*0.9</f>
        <v>1360800</v>
      </c>
      <c r="O24" s="45" t="s">
        <v>59</v>
      </c>
      <c r="P24" s="46">
        <f>F24*0.6</f>
        <v>907200</v>
      </c>
    </row>
    <row r="25" spans="4:16" ht="17" thickTop="1" thickBot="1">
      <c r="D25" s="52">
        <v>100</v>
      </c>
      <c r="E25" s="45" t="s">
        <v>60</v>
      </c>
      <c r="F25" s="46">
        <f>IF(intermedia!$B$4=Database!$E$64,VLOOKUP(intermedia!E25,Database!D65:K65,2,FALSE),IF(intermedia!$B$4=Database!$F$64,VLOOKUP(intermedia!E25,Database!D65:K65,3,FALSE),IF(intermedia!$B$4=Database!$G$64,VLOOKUP(intermedia!E25,Database!D65:K65,4,FALSE),IF(intermedia!$B$4=Database!$H$64,VLOOKUP(intermedia!E25,Database!D65:K65,5,FALSE),IF(intermedia!$B$4=Database!$I$64,VLOOKUP(intermedia!E25,Database!D65:K65,6,FALSE),IF(intermedia!$B$4=Database!$J$64,VLOOKUP(intermedia!E25,Database!D65:K65,7,FALSE),IF(intermedia!$B$4=Database!$K$64,VLOOKUP(intermedia!E25,Database!D65:K65,8,FALSE),IF(intermedia!$B$4=Database!$L$64,VLOOKUP(intermedia!E25,Database!D65:K65,9,FALSE)))))))))</f>
        <v>75</v>
      </c>
      <c r="G25" s="45" t="s">
        <v>60</v>
      </c>
      <c r="H25" s="46">
        <f>0.85*F25</f>
        <v>63.75</v>
      </c>
      <c r="I25" s="45" t="s">
        <v>60</v>
      </c>
      <c r="J25" s="46">
        <f>0.7*F25</f>
        <v>52.5</v>
      </c>
      <c r="K25" s="45" t="s">
        <v>60</v>
      </c>
      <c r="L25" s="46">
        <f>0.55*F25</f>
        <v>41.25</v>
      </c>
      <c r="M25" s="45" t="s">
        <v>60</v>
      </c>
      <c r="N25" s="46">
        <f>0.4*F25</f>
        <v>30</v>
      </c>
      <c r="O25" s="45" t="s">
        <v>60</v>
      </c>
      <c r="P25" s="46">
        <f>0.25*F25</f>
        <v>18.75</v>
      </c>
    </row>
    <row r="26" spans="4:16" ht="17" thickTop="1" thickBot="1">
      <c r="D26" s="52">
        <v>100</v>
      </c>
      <c r="E26" s="45" t="s">
        <v>61</v>
      </c>
      <c r="F26" s="46">
        <f>F5</f>
        <v>21.6094379124341</v>
      </c>
      <c r="G26" s="45" t="s">
        <v>61</v>
      </c>
      <c r="H26" s="46">
        <f>LN($B$8)+7</f>
        <v>8.6094379124340996</v>
      </c>
      <c r="I26" s="45" t="s">
        <v>61</v>
      </c>
      <c r="J26" s="46">
        <f>LN($B$8)+5</f>
        <v>6.6094379124341005</v>
      </c>
      <c r="K26" s="45" t="s">
        <v>61</v>
      </c>
      <c r="L26" s="46">
        <f>LN($B$8)+0.5</f>
        <v>2.1094379124341005</v>
      </c>
      <c r="M26" s="45" t="s">
        <v>61</v>
      </c>
      <c r="N26" s="46">
        <f>LN($B$8)+1</f>
        <v>2.6094379124341005</v>
      </c>
      <c r="O26" s="45" t="s">
        <v>61</v>
      </c>
      <c r="P26" s="46">
        <f>LN($B$8)+2</f>
        <v>3.6094379124341005</v>
      </c>
    </row>
    <row r="27" spans="4:16" ht="17" thickTop="1" thickBot="1">
      <c r="D27" s="52">
        <v>100</v>
      </c>
      <c r="E27" s="45" t="s">
        <v>62</v>
      </c>
      <c r="F27" s="46">
        <f>IF(intermedia!$B$4=Database!$E$67,VLOOKUP(intermedia!E27,Database!D68:K68,2,FALSE),IF(intermedia!$B$4=Database!$F$67,VLOOKUP(intermedia!E27,Database!D68:K68,3,FALSE),IF(intermedia!$B$4=Database!$G$67,VLOOKUP(intermedia!E27,Database!D68:K68,4,FALSE),IF(intermedia!$B$4=Database!$H$67,VLOOKUP(intermedia!E27,Database!D68:K68,5,FALSE),IF(intermedia!$B$4=Database!$I$67,VLOOKUP(intermedia!E27,Database!D68:K68,6,FALSE),IF(intermedia!$B$4=Database!$J$67,VLOOKUP(intermedia!E27,Database!D68:K68,7,FALSE),IF(intermedia!$B$4=Database!$K$67,VLOOKUP(intermedia!E27,Database!D68:K68,8,FALSE),IF(intermedia!$B$4=Database!$L$67,VLOOKUP(intermedia!E27,Database!D68:K68,9,FALSE)))))))))</f>
        <v>2</v>
      </c>
      <c r="G27" s="45" t="s">
        <v>62</v>
      </c>
      <c r="H27" s="46">
        <f>0.7*F27</f>
        <v>1.4</v>
      </c>
      <c r="I27" s="45" t="s">
        <v>62</v>
      </c>
      <c r="J27" s="46">
        <f>F27*0.9</f>
        <v>1.8</v>
      </c>
      <c r="K27" s="45" t="s">
        <v>62</v>
      </c>
      <c r="L27" s="46">
        <f>0.5*F27</f>
        <v>1</v>
      </c>
      <c r="M27" s="45" t="s">
        <v>62</v>
      </c>
      <c r="N27" s="46">
        <f>F27*0.65</f>
        <v>1.3</v>
      </c>
      <c r="O27" s="45" t="s">
        <v>62</v>
      </c>
      <c r="P27" s="46">
        <f>0.55*F27</f>
        <v>1.1000000000000001</v>
      </c>
    </row>
    <row r="28" spans="4:16" ht="17" thickTop="1" thickBot="1">
      <c r="D28" s="52">
        <v>100</v>
      </c>
      <c r="E28" s="45" t="s">
        <v>63</v>
      </c>
      <c r="F28" s="46">
        <f>IF(intermedia!$B$4=Database!$E$71,VLOOKUP(intermedia!E28,Database!D72:K72,2,FALSE),IF(intermedia!$B$4=Database!$F$71,VLOOKUP(intermedia!E28,Database!D72:K72,3,FALSE),IF(intermedia!$B$4=Database!$G$71,VLOOKUP(intermedia!E28,Database!D72:K72,4,FALSE),IF(intermedia!$B$4=Database!$H$71,VLOOKUP(intermedia!E28,Database!D72:K72,5,FALSE),IF(intermedia!$B$4=Database!$I$71,VLOOKUP(intermedia!E28,Database!D72:K72,6,FALSE),IF(intermedia!$B$4=Database!$J$71,VLOOKUP(intermedia!E28,Database!D72:K72,7,FALSE),IF(intermedia!$B$4=Database!$K$71,VLOOKUP(intermedia!E28,Database!D72:K72,8,FALSE),IF(intermedia!$B$4=Database!$L$71,VLOOKUP(intermedia!E28,Database!D72:K72,9,FALSE)))))))))</f>
        <v>800000</v>
      </c>
      <c r="G28" s="45" t="s">
        <v>63</v>
      </c>
      <c r="H28" s="46">
        <f>0.6*F28</f>
        <v>480000</v>
      </c>
      <c r="I28" s="45" t="s">
        <v>63</v>
      </c>
      <c r="J28" s="46">
        <f>0.5*F28</f>
        <v>400000</v>
      </c>
      <c r="K28" s="45" t="s">
        <v>63</v>
      </c>
      <c r="L28" s="46">
        <f>0.4*F28</f>
        <v>320000</v>
      </c>
      <c r="M28" s="45" t="s">
        <v>63</v>
      </c>
      <c r="N28" s="46">
        <f>0.7*F28</f>
        <v>560000</v>
      </c>
      <c r="O28" s="45" t="s">
        <v>63</v>
      </c>
      <c r="P28" s="46">
        <f>0.8*F28</f>
        <v>640000</v>
      </c>
    </row>
    <row r="29" spans="4:16" ht="17" thickTop="1" thickBot="1">
      <c r="D29" s="52">
        <v>100</v>
      </c>
      <c r="E29" s="47" t="s">
        <v>64</v>
      </c>
      <c r="F29" s="48">
        <f>IF(intermedia!$B$4=Database!$E$74,VLOOKUP(intermedia!E29,Database!D94:K94,2,FALSE),IF(intermedia!$B$4=Database!$F$74,VLOOKUP(intermedia!E29,Database!D94:K94,3,FALSE),IF(intermedia!$B$4=Database!$G$74,VLOOKUP(intermedia!E29,Database!D94:K94,4,FALSE),IF(intermedia!$B$4=Database!$H$74,VLOOKUP(intermedia!E29,Database!D94:K94,5,FALSE),IF(intermedia!$B$4=Database!$I$74,VLOOKUP(intermedia!E29,Database!D94:K94,6,FALSE),IF(intermedia!$B$4=Database!$J$74,VLOOKUP(intermedia!E29,Database!D94:K94,7,FALSE),IF(intermedia!$B$4=Database!$K$74,VLOOKUP(intermedia!E29,Database!D94:K94,8,FALSE),IF(intermedia!$B$4=Database!$L$74,VLOOKUP(intermedia!E29,Database!D94:K94,9,FALSE)))))))))</f>
        <v>-28.21</v>
      </c>
      <c r="G29" s="47" t="s">
        <v>64</v>
      </c>
      <c r="H29" s="48">
        <f>0.6*F29</f>
        <v>-16.925999999999998</v>
      </c>
      <c r="I29" s="47" t="s">
        <v>64</v>
      </c>
      <c r="J29" s="48">
        <f>0.5*F29</f>
        <v>-14.105</v>
      </c>
      <c r="K29" s="47" t="s">
        <v>64</v>
      </c>
      <c r="L29" s="48">
        <f>0.9*F29</f>
        <v>-25.389000000000003</v>
      </c>
      <c r="M29" s="47" t="s">
        <v>64</v>
      </c>
      <c r="N29" s="48">
        <f>0.8*F29</f>
        <v>-22.568000000000001</v>
      </c>
      <c r="O29" s="47" t="s">
        <v>64</v>
      </c>
      <c r="P29" s="48">
        <f>0.75*F29</f>
        <v>-21.157499999999999</v>
      </c>
    </row>
    <row r="30" spans="4:16" ht="17" thickTop="1" thickBot="1">
      <c r="D30" s="52">
        <v>50</v>
      </c>
      <c r="E30" s="43" t="s">
        <v>58</v>
      </c>
      <c r="F30" s="44">
        <f>Scales!E16*B6</f>
        <v>2592</v>
      </c>
      <c r="G30" s="43" t="s">
        <v>58</v>
      </c>
      <c r="H30" s="44">
        <f>B6*Scales!E24</f>
        <v>7775.9999999999982</v>
      </c>
      <c r="I30" s="43" t="s">
        <v>58</v>
      </c>
      <c r="J30" s="44">
        <f>B6*Scales!E32</f>
        <v>12959.999999999996</v>
      </c>
      <c r="K30" s="43" t="s">
        <v>58</v>
      </c>
      <c r="L30" s="44">
        <f>B6*Scales!E40</f>
        <v>18143.999999999996</v>
      </c>
      <c r="M30" s="43" t="s">
        <v>58</v>
      </c>
      <c r="N30" s="44">
        <f>B6*Scales!E48</f>
        <v>23328.000000000007</v>
      </c>
      <c r="O30" s="43" t="s">
        <v>58</v>
      </c>
      <c r="P30" s="44">
        <f>B6*Scales!E56</f>
        <v>28512.000000000018</v>
      </c>
    </row>
    <row r="31" spans="4:16" ht="17" thickTop="1" thickBot="1">
      <c r="D31" s="52">
        <v>50</v>
      </c>
      <c r="E31" s="45" t="s">
        <v>59</v>
      </c>
      <c r="F31" s="46">
        <f>IF(intermedia!$B$4=Database!$E$80,VLOOKUP(intermedia!E31,Database!D81:K81,2,FALSE),IF(intermedia!$B$4=Database!$F$80,VLOOKUP(intermedia!E31,Database!D81:K81,3,FALSE),IF(intermedia!$B$4=Database!$G$80,VLOOKUP(intermedia!E31,Database!D81:K81,4,FALSE),IF(intermedia!$B$4=Database!$H$80,VLOOKUP(intermedia!E31,Database!D81:K81,5,FALSE),IF(intermedia!$B$4=Database!$I$80,VLOOKUP(intermedia!E31,Database!D81:K81,6,FALSE),IF(intermedia!$B$4=Database!$J$80,VLOOKUP(intermedia!E31,Database!D81:K81,7,FALSE),IF(intermedia!$B$4=Database!$K$80,VLOOKUP(intermedia!E31,Database!D81:K81,8,FALSE),IF(intermedia!$B$4=Database!$L$80,VLOOKUP(intermedia!E31,Database!D81:K81,9,FALSE)))))))))</f>
        <v>1133000</v>
      </c>
      <c r="G31" s="45" t="s">
        <v>59</v>
      </c>
      <c r="H31" s="46">
        <f>F31*0.8</f>
        <v>906400</v>
      </c>
      <c r="I31" s="45" t="s">
        <v>59</v>
      </c>
      <c r="J31" s="46">
        <f>F31*0.7</f>
        <v>793100</v>
      </c>
      <c r="K31" s="45" t="s">
        <v>59</v>
      </c>
      <c r="L31" s="46">
        <f>F31*0.5</f>
        <v>566500</v>
      </c>
      <c r="M31" s="45" t="s">
        <v>59</v>
      </c>
      <c r="N31" s="46">
        <f>F31*0.9</f>
        <v>1019700</v>
      </c>
      <c r="O31" s="45" t="s">
        <v>59</v>
      </c>
      <c r="P31" s="46">
        <f>0.6*F31</f>
        <v>679800</v>
      </c>
    </row>
    <row r="32" spans="4:16" ht="17" thickTop="1" thickBot="1">
      <c r="D32" s="52">
        <v>50</v>
      </c>
      <c r="E32" s="45" t="s">
        <v>60</v>
      </c>
      <c r="F32" s="46">
        <f>IF(intermedia!$B$4=Database!$E$83,VLOOKUP(intermedia!E32,Database!D84:K84,2,FALSE),IF(intermedia!$B$4=Database!$F$83,VLOOKUP(intermedia!E32,Database!D84:K84,3,FALSE),IF(intermedia!$B$4=Database!$G$83,VLOOKUP(intermedia!E32,Database!D84:K84,4,FALSE),IF(intermedia!$B$4=Database!$H$83,VLOOKUP(intermedia!E32,Database!D84:K84,5,FALSE),IF(intermedia!$B$4=Database!$I$83,VLOOKUP(intermedia!E32,Database!D84:K84,6,FALSE),IF(intermedia!$B$4=Database!$J$83,VLOOKUP(intermedia!E32,Database!D84:K84,7,FALSE),IF(intermedia!$B$4=Database!$K$83,VLOOKUP(intermedia!E32,Database!D84:K84,8,FALSE),IF(intermedia!$B$4=Database!$L$83,VLOOKUP(intermedia!E32,Database!D84:K84,9,FALSE)))))))))</f>
        <v>75</v>
      </c>
      <c r="G32" s="45" t="s">
        <v>60</v>
      </c>
      <c r="H32" s="46">
        <f>0.85*F32</f>
        <v>63.75</v>
      </c>
      <c r="I32" s="45" t="s">
        <v>60</v>
      </c>
      <c r="J32" s="46">
        <f>0.7*F32</f>
        <v>52.5</v>
      </c>
      <c r="K32" s="45" t="s">
        <v>60</v>
      </c>
      <c r="L32" s="46">
        <f>0.55*F32</f>
        <v>41.25</v>
      </c>
      <c r="M32" s="45" t="s">
        <v>60</v>
      </c>
      <c r="N32" s="46">
        <f>0.4*F32</f>
        <v>30</v>
      </c>
      <c r="O32" s="45" t="s">
        <v>60</v>
      </c>
      <c r="P32" s="46">
        <f>0.25*F32</f>
        <v>18.75</v>
      </c>
    </row>
    <row r="33" spans="4:16" ht="17" thickTop="1" thickBot="1">
      <c r="D33" s="52">
        <v>50</v>
      </c>
      <c r="E33" s="45" t="s">
        <v>61</v>
      </c>
      <c r="F33" s="46">
        <f>F5</f>
        <v>21.6094379124341</v>
      </c>
      <c r="G33" s="45" t="s">
        <v>61</v>
      </c>
      <c r="H33" s="46">
        <f>LN($B$8)+7</f>
        <v>8.6094379124340996</v>
      </c>
      <c r="I33" s="45" t="s">
        <v>61</v>
      </c>
      <c r="J33" s="46">
        <f>LN($B$8)+5</f>
        <v>6.6094379124341005</v>
      </c>
      <c r="K33" s="45" t="s">
        <v>61</v>
      </c>
      <c r="L33" s="46">
        <f>LN($B$8)+0.5</f>
        <v>2.1094379124341005</v>
      </c>
      <c r="M33" s="45" t="s">
        <v>61</v>
      </c>
      <c r="N33" s="46">
        <f>LN($B$8)+1</f>
        <v>2.6094379124341005</v>
      </c>
      <c r="O33" s="45" t="s">
        <v>61</v>
      </c>
      <c r="P33" s="46">
        <f>LN($B$8)+2</f>
        <v>3.6094379124341005</v>
      </c>
    </row>
    <row r="34" spans="4:16" ht="17" thickTop="1" thickBot="1">
      <c r="D34" s="52">
        <v>50</v>
      </c>
      <c r="E34" s="45" t="s">
        <v>62</v>
      </c>
      <c r="F34" s="46">
        <f>IF(intermedia!$B$4=Database!$E$86,VLOOKUP(intermedia!E34,Database!D87:K87,2,FALSE),IF(intermedia!$B$4=Database!$F$86,VLOOKUP(intermedia!E34,Database!D87:K87,3,FALSE),IF(intermedia!$B$4=Database!$G$86,VLOOKUP(intermedia!E34,Database!D87:K87,4,FALSE),IF(intermedia!$B$4=Database!$H$86,VLOOKUP(intermedia!E34,Database!D87:K87,5,FALSE),IF(intermedia!$B$4=Database!$I$86,VLOOKUP(intermedia!E34,Database!D87:K87,6,FALSE),IF(intermedia!$B$4=Database!$J$86,VLOOKUP(intermedia!E34,Database!D87:K87,7,FALSE),IF(intermedia!$B$4=Database!$K$86,VLOOKUP(intermedia!E34,Database!D87:K87,8,FALSE),IF(intermedia!$B$4=Database!$L$86,VLOOKUP(intermedia!E34,Database!D87:K87,9,FALSE)))))))))</f>
        <v>2</v>
      </c>
      <c r="G34" s="45" t="s">
        <v>62</v>
      </c>
      <c r="H34" s="46">
        <f>0.7*F34</f>
        <v>1.4</v>
      </c>
      <c r="I34" s="45" t="s">
        <v>62</v>
      </c>
      <c r="J34" s="46">
        <f>F34*0.9</f>
        <v>1.8</v>
      </c>
      <c r="K34" s="45" t="s">
        <v>62</v>
      </c>
      <c r="L34" s="46">
        <f>0.5*F34</f>
        <v>1</v>
      </c>
      <c r="M34" s="45" t="s">
        <v>62</v>
      </c>
      <c r="N34" s="46">
        <f>F34*0.65</f>
        <v>1.3</v>
      </c>
      <c r="O34" s="45" t="s">
        <v>62</v>
      </c>
      <c r="P34" s="46">
        <f>0.55*F34</f>
        <v>1.1000000000000001</v>
      </c>
    </row>
    <row r="35" spans="4:16" ht="17" thickTop="1" thickBot="1">
      <c r="D35" s="52">
        <v>50</v>
      </c>
      <c r="E35" s="45" t="s">
        <v>63</v>
      </c>
      <c r="F35" s="46">
        <f>IF(intermedia!$B$4=Database!$E$90,VLOOKUP(intermedia!E35,Database!D91:K91,2,FALSE),IF(intermedia!$B$4=Database!$F$90,VLOOKUP(intermedia!E35,Database!D91:K91,3,FALSE),IF(intermedia!$B$4=Database!$G$90,VLOOKUP(intermedia!E35,Database!D91:K91,4,FALSE),IF(intermedia!$B$4=Database!$H$90,VLOOKUP(intermedia!E35,Database!D91:K91,5,FALSE),IF(intermedia!$B$4=Database!$I$90,VLOOKUP(intermedia!E35,Database!D91:K91,6,FALSE),IF(intermedia!$B$4=Database!$J$90,VLOOKUP(intermedia!E35,Database!D91:K91,7,FALSE),IF(intermedia!$B$4=Database!$K$90,VLOOKUP(intermedia!E35,Database!D91:K91,8,FALSE),IF(intermedia!$B$4=Database!$L$90,VLOOKUP(intermedia!E35,Database!D91:K91,9,FALSE)))))))))</f>
        <v>700000</v>
      </c>
      <c r="G35" s="45" t="s">
        <v>63</v>
      </c>
      <c r="H35" s="46">
        <f>0.6*F35</f>
        <v>420000</v>
      </c>
      <c r="I35" s="45" t="s">
        <v>63</v>
      </c>
      <c r="J35" s="46">
        <f>0.5*F35</f>
        <v>350000</v>
      </c>
      <c r="K35" s="45" t="s">
        <v>63</v>
      </c>
      <c r="L35" s="46">
        <f>0.4*F35</f>
        <v>280000</v>
      </c>
      <c r="M35" s="45" t="s">
        <v>63</v>
      </c>
      <c r="N35" s="46">
        <f>0.7*F35</f>
        <v>489999.99999999994</v>
      </c>
      <c r="O35" s="45" t="s">
        <v>63</v>
      </c>
      <c r="P35" s="46">
        <f>0.8*F35</f>
        <v>560000</v>
      </c>
    </row>
    <row r="36" spans="4:16" ht="17" thickTop="1" thickBot="1">
      <c r="D36" s="52">
        <v>50</v>
      </c>
      <c r="E36" s="47" t="s">
        <v>64</v>
      </c>
      <c r="F36" s="48">
        <f>IF(intermedia!$B$4=Database!$E$93,VLOOKUP(intermedia!E36,Database!D94:K94,2,FALSE),IF(intermedia!$B$4=Database!$F$93,VLOOKUP(intermedia!E36,Database!D94:K94,3,FALSE),IF(intermedia!$B$4=Database!$G$93,VLOOKUP(intermedia!E36,Database!D94:K94,4,FALSE),IF(intermedia!$B$4=Database!$H$93,VLOOKUP(intermedia!E36,Database!D94:K94,5,FALSE),IF(intermedia!$B$4=Database!$I$93,VLOOKUP(intermedia!E36,Database!D94:K94,6,FALSE),IF(intermedia!$B$4=Database!$J$93,VLOOKUP(intermedia!E36,Database!D94:K94,7,FALSE),IF(intermedia!$B$4=Database!$K$93,VLOOKUP(intermedia!E36,Database!D94:K94,8,FALSE),IF(intermedia!$B$4=Database!$L$93,VLOOKUP(intermedia!E36,Database!D94:K94,9,FALSE)))))))))</f>
        <v>-28.21</v>
      </c>
      <c r="G36" s="47" t="s">
        <v>64</v>
      </c>
      <c r="H36" s="48">
        <f>0.6*F36</f>
        <v>-16.925999999999998</v>
      </c>
      <c r="I36" s="47" t="s">
        <v>64</v>
      </c>
      <c r="J36" s="48">
        <f>0.5*F36</f>
        <v>-14.105</v>
      </c>
      <c r="K36" s="47" t="s">
        <v>64</v>
      </c>
      <c r="L36" s="48">
        <f>0.9*F36</f>
        <v>-25.389000000000003</v>
      </c>
      <c r="M36" s="47" t="s">
        <v>64</v>
      </c>
      <c r="N36" s="48">
        <f>0.8*F36</f>
        <v>-22.568000000000001</v>
      </c>
      <c r="O36" s="47" t="s">
        <v>64</v>
      </c>
      <c r="P36" s="48">
        <f>0.75*F36</f>
        <v>-21.157499999999999</v>
      </c>
    </row>
    <row r="37" spans="4:16" ht="17" thickTop="1" thickBot="1">
      <c r="D37" s="53">
        <v>20</v>
      </c>
      <c r="E37" s="43" t="s">
        <v>58</v>
      </c>
      <c r="F37" s="44">
        <f>Scales!E17*B6</f>
        <v>1943.9999999999998</v>
      </c>
      <c r="G37" s="43" t="s">
        <v>58</v>
      </c>
      <c r="H37" s="44">
        <f>B6*Scales!E25</f>
        <v>7127.9999999999991</v>
      </c>
      <c r="I37" s="43" t="s">
        <v>58</v>
      </c>
      <c r="J37" s="44">
        <f>B6*Scales!E33</f>
        <v>12311.999999999996</v>
      </c>
      <c r="K37" s="43" t="s">
        <v>58</v>
      </c>
      <c r="L37" s="44">
        <f>B6*Scales!E41</f>
        <v>17495.999999999996</v>
      </c>
      <c r="M37" s="43" t="s">
        <v>58</v>
      </c>
      <c r="N37" s="44">
        <f>B6*Scales!E49</f>
        <v>22680.000000000007</v>
      </c>
      <c r="O37" s="43" t="s">
        <v>58</v>
      </c>
      <c r="P37" s="44">
        <f>B6*Scales!E57</f>
        <v>27864.000000000018</v>
      </c>
    </row>
    <row r="38" spans="4:16" ht="17" thickTop="1" thickBot="1">
      <c r="D38" s="53">
        <v>20</v>
      </c>
      <c r="E38" s="45" t="s">
        <v>59</v>
      </c>
      <c r="F38" s="46">
        <f>IF(intermedia!$B$4=Database!$E$99,VLOOKUP(intermedia!E38,Database!D100:K100,2,FALSE),IF(intermedia!$B$4=Database!$F$99,VLOOKUP(intermedia!E38,Database!D100:K100,3,FALSE),IF(intermedia!$B$4=Database!$G$99,VLOOKUP(intermedia!E38,Database!D100:K100,4,FALSE),IF(intermedia!$B$4=Database!$H$99,VLOOKUP(intermedia!E38,Database!D100:K100,5,FALSE),IF(intermedia!$B$4=Database!$I$99,VLOOKUP(intermedia!E38,Database!D100:K100,6,FALSE),IF(intermedia!$B$4=Database!$J$99,VLOOKUP(intermedia!E38,Database!D100:K100,7,FALSE),IF(intermedia!$B$4=Database!$K$99,VLOOKUP(intermedia!E38,Database!D100:K100,8,FALSE),IF(intermedia!$B$4=Database!$L$99,VLOOKUP(intermedia!E38,Database!D100:K100,9,FALSE)))))))))</f>
        <v>694000</v>
      </c>
      <c r="G38" s="45" t="s">
        <v>59</v>
      </c>
      <c r="H38" s="46">
        <f>F38*0.8</f>
        <v>555200</v>
      </c>
      <c r="I38" s="45" t="s">
        <v>59</v>
      </c>
      <c r="J38" s="46">
        <f>F38*7</f>
        <v>4858000</v>
      </c>
      <c r="K38" s="45" t="s">
        <v>59</v>
      </c>
      <c r="L38" s="46">
        <f>F38*0.5</f>
        <v>347000</v>
      </c>
      <c r="M38" s="45" t="s">
        <v>59</v>
      </c>
      <c r="N38" s="46">
        <f>F38*0.9</f>
        <v>624600</v>
      </c>
      <c r="O38" s="45" t="s">
        <v>59</v>
      </c>
      <c r="P38" s="46">
        <f>F38*0.6</f>
        <v>416400</v>
      </c>
    </row>
    <row r="39" spans="4:16" ht="17" thickTop="1" thickBot="1">
      <c r="D39" s="53">
        <v>20</v>
      </c>
      <c r="E39" s="45" t="s">
        <v>60</v>
      </c>
      <c r="F39" s="46">
        <f>IF(intermedia!$B$4=Database!$E$102,VLOOKUP(intermedia!E39,Database!D103:K103,2,FALSE),IF(intermedia!$B$4=Database!$F$102,VLOOKUP(intermedia!E39,Database!D103:K103,3,FALSE),IF(intermedia!$B$4=Database!$G$102,VLOOKUP(intermedia!E39,Database!D103:K103,4,FALSE),IF(intermedia!$B$4=Database!$H$102,VLOOKUP(intermedia!E39,Database!D103:K103,5,FALSE),IF(intermedia!$B$4=Database!$I$102,VLOOKUP(intermedia!E39,Database!D103:K103,6,FALSE),IF(intermedia!$B$4=Database!$J$102,VLOOKUP(intermedia!E39,Database!D103:K103,7,FALSE),IF(intermedia!$B$4=Database!$K$102,VLOOKUP(intermedia!E39,Database!D103:K103,8,FALSE),IF(intermedia!$B$4=Database!$L$102,VLOOKUP(intermedia!E39,Database!D103:K103,9,FALSE)))))))))</f>
        <v>60</v>
      </c>
      <c r="G39" s="45" t="s">
        <v>60</v>
      </c>
      <c r="H39" s="46">
        <f>0.85*F39</f>
        <v>51</v>
      </c>
      <c r="I39" s="45" t="s">
        <v>60</v>
      </c>
      <c r="J39" s="46">
        <f>0.7*F39</f>
        <v>42</v>
      </c>
      <c r="K39" s="45" t="s">
        <v>60</v>
      </c>
      <c r="L39" s="46">
        <f>0.55*F39</f>
        <v>33</v>
      </c>
      <c r="M39" s="45" t="s">
        <v>60</v>
      </c>
      <c r="N39" s="46">
        <f>0.4*F39</f>
        <v>24</v>
      </c>
      <c r="O39" s="45" t="s">
        <v>60</v>
      </c>
      <c r="P39" s="46">
        <f>0.25*F39</f>
        <v>15</v>
      </c>
    </row>
    <row r="40" spans="4:16" ht="17" thickTop="1" thickBot="1">
      <c r="D40" s="53">
        <v>20</v>
      </c>
      <c r="E40" s="45" t="s">
        <v>61</v>
      </c>
      <c r="F40" s="46">
        <f>F5</f>
        <v>21.6094379124341</v>
      </c>
      <c r="G40" s="45" t="s">
        <v>61</v>
      </c>
      <c r="H40" s="46">
        <f>LN($B$8)+7</f>
        <v>8.6094379124340996</v>
      </c>
      <c r="I40" s="45" t="s">
        <v>61</v>
      </c>
      <c r="J40" s="46">
        <f>LN($B$8)+5</f>
        <v>6.6094379124341005</v>
      </c>
      <c r="K40" s="45" t="s">
        <v>61</v>
      </c>
      <c r="L40" s="46">
        <f>LN($B$8)+0.5</f>
        <v>2.1094379124341005</v>
      </c>
      <c r="M40" s="45" t="s">
        <v>61</v>
      </c>
      <c r="N40" s="46">
        <f>LN($B$8)+1</f>
        <v>2.6094379124341005</v>
      </c>
      <c r="O40" s="45" t="s">
        <v>61</v>
      </c>
      <c r="P40" s="46">
        <f>LN($B$8)+2</f>
        <v>3.6094379124341005</v>
      </c>
    </row>
    <row r="41" spans="4:16" ht="17" thickTop="1" thickBot="1">
      <c r="D41" s="53">
        <v>20</v>
      </c>
      <c r="E41" s="45" t="s">
        <v>62</v>
      </c>
      <c r="F41" s="46">
        <f>IF(intermedia!$B$4=Database!$E$105,VLOOKUP(intermedia!E41,Database!D106:K106,2,FALSE),IF(intermedia!$B$4=Database!$F$105,VLOOKUP(intermedia!E41,Database!D106:K106,3,FALSE),IF(intermedia!$B$4=Database!$G$105,VLOOKUP(intermedia!E41,Database!D106:K106,4,FALSE),IF(intermedia!$B$4=Database!$H$105,VLOOKUP(intermedia!E41,Database!D106:K106,5,FALSE),IF(intermedia!$B$4=Database!$I$105,VLOOKUP(intermedia!E41,Database!D106:K106,6,FALSE),IF(intermedia!$B$4=Database!$J$105,VLOOKUP(intermedia!E41,Database!D106:K106,7,FALSE),IF(intermedia!$B$4=Database!$K$105,VLOOKUP(intermedia!E41,Database!D106:K106,8,FALSE),IF(intermedia!$B$4=Database!$L$105,VLOOKUP(intermedia!E41,Database!D106:K106,9,FALSE)))))))))</f>
        <v>1</v>
      </c>
      <c r="G41" s="45" t="s">
        <v>62</v>
      </c>
      <c r="H41" s="46">
        <f>0.7*F41</f>
        <v>0.7</v>
      </c>
      <c r="I41" s="45" t="s">
        <v>62</v>
      </c>
      <c r="J41" s="46">
        <f>F41*0.9</f>
        <v>0.9</v>
      </c>
      <c r="K41" s="45" t="s">
        <v>62</v>
      </c>
      <c r="L41" s="46">
        <f>0.5*F41</f>
        <v>0.5</v>
      </c>
      <c r="M41" s="45" t="s">
        <v>62</v>
      </c>
      <c r="N41" s="46">
        <f>F41*0.65</f>
        <v>0.65</v>
      </c>
      <c r="O41" s="45" t="s">
        <v>62</v>
      </c>
      <c r="P41" s="46">
        <f>0.55*F41</f>
        <v>0.55000000000000004</v>
      </c>
    </row>
    <row r="42" spans="4:16" ht="17" thickTop="1" thickBot="1">
      <c r="D42" s="53">
        <v>20</v>
      </c>
      <c r="E42" s="45" t="s">
        <v>63</v>
      </c>
      <c r="F42" s="46">
        <f>IF(intermedia!$B$4=Database!$E$109,VLOOKUP(intermedia!E42,Database!D110:K110,2,FALSE),IF(intermedia!$B$4=Database!$F$109,VLOOKUP(intermedia!E42,Database!D110:K110,3,FALSE),IF(intermedia!$B$4=Database!$G$109,VLOOKUP(intermedia!E42,Database!D110:K110,4,FALSE),IF(intermedia!$B$4=Database!$H$109,VLOOKUP(intermedia!E42,Database!D110:K110,5,FALSE),IF(intermedia!$B$4=Database!$I$109,VLOOKUP(intermedia!E42,Database!D110:K110,6,FALSE),IF(intermedia!$B$4=Database!$J$109,VLOOKUP(intermedia!E42,Database!D110:K110,7,FALSE),IF(intermedia!$B$4=Database!$K$109,VLOOKUP(intermedia!E42,Database!D110:K110,8,FALSE),IF(intermedia!$B$4=Database!$L$109,VLOOKUP(intermedia!E42,Database!D110:K110,9,FALSE)))))))))</f>
        <v>600000</v>
      </c>
      <c r="G42" s="45" t="s">
        <v>63</v>
      </c>
      <c r="H42" s="46">
        <f>0.6*F42</f>
        <v>360000</v>
      </c>
      <c r="I42" s="45" t="s">
        <v>63</v>
      </c>
      <c r="J42" s="46">
        <f>0.5*F42</f>
        <v>300000</v>
      </c>
      <c r="K42" s="45" t="s">
        <v>63</v>
      </c>
      <c r="L42" s="46">
        <f>0.4*F42</f>
        <v>240000</v>
      </c>
      <c r="M42" s="45" t="s">
        <v>63</v>
      </c>
      <c r="N42" s="46">
        <f>0.7*F42</f>
        <v>420000</v>
      </c>
      <c r="O42" s="45" t="s">
        <v>63</v>
      </c>
      <c r="P42" s="46">
        <f>0.8*F42</f>
        <v>480000</v>
      </c>
    </row>
    <row r="43" spans="4:16" ht="17" thickTop="1" thickBot="1">
      <c r="D43" s="53">
        <v>20</v>
      </c>
      <c r="E43" s="47" t="s">
        <v>64</v>
      </c>
      <c r="F43" s="48">
        <f>IF(intermedia!$B$4=Database!$E$112,VLOOKUP(intermedia!E43,Database!D113:K113,2,FALSE),IF(intermedia!$B$4=Database!$F$112,VLOOKUP(intermedia!E43,Database!D113:K113,3,FALSE),IF(intermedia!$B$4=Database!$G$112,VLOOKUP(intermedia!E43,Database!D113:K113,4,FALSE),IF(intermedia!$B$4=Database!$H$112,VLOOKUP(intermedia!E43,Database!D113:K113,5,FALSE),IF(intermedia!$B$4=Database!$I$112,VLOOKUP(intermedia!E43,Database!D113:K113,6,FALSE),IF(intermedia!$B$4=Database!$J$112,VLOOKUP(intermedia!E43,Database!D113:K113,7,FALSE),IF(intermedia!$B$4=Database!$K$112,VLOOKUP(intermedia!E43,Database!D113:K113,8,FALSE),IF(intermedia!$B$4=Database!$L$112,VLOOKUP(intermedia!E43,Database!D113:K113,9,FALSE)))))))))</f>
        <v>-28.21</v>
      </c>
      <c r="G43" s="47" t="s">
        <v>64</v>
      </c>
      <c r="H43" s="48">
        <f>0.6*F43</f>
        <v>-16.925999999999998</v>
      </c>
      <c r="I43" s="47" t="s">
        <v>64</v>
      </c>
      <c r="J43" s="48">
        <f>0.5*F43</f>
        <v>-14.105</v>
      </c>
      <c r="K43" s="47" t="s">
        <v>64</v>
      </c>
      <c r="L43" s="48">
        <f>0.9*F43</f>
        <v>-25.389000000000003</v>
      </c>
      <c r="M43" s="47" t="s">
        <v>64</v>
      </c>
      <c r="N43" s="48">
        <f>0.8*F43</f>
        <v>-22.568000000000001</v>
      </c>
      <c r="O43" s="47" t="s">
        <v>64</v>
      </c>
      <c r="P43" s="48">
        <f>0.75*F43</f>
        <v>-21.157499999999999</v>
      </c>
    </row>
    <row r="44" spans="4:16" ht="17" thickTop="1" thickBot="1">
      <c r="D44" s="53">
        <v>10</v>
      </c>
      <c r="E44" s="43" t="s">
        <v>58</v>
      </c>
      <c r="F44" s="44">
        <f>Scales!E18*B6</f>
        <v>1296</v>
      </c>
      <c r="G44" s="43" t="s">
        <v>58</v>
      </c>
      <c r="H44" s="44">
        <f>B6*Scales!E26</f>
        <v>6479.9999999999991</v>
      </c>
      <c r="I44" s="43" t="s">
        <v>58</v>
      </c>
      <c r="J44" s="44">
        <f>B6*Scales!E34</f>
        <v>11663.999999999996</v>
      </c>
      <c r="K44" s="43" t="s">
        <v>58</v>
      </c>
      <c r="L44" s="44">
        <f>B6*Scales!E42</f>
        <v>16847.999999999993</v>
      </c>
      <c r="M44" s="43" t="s">
        <v>58</v>
      </c>
      <c r="N44" s="44">
        <f>B6*Scales!E50</f>
        <v>22032.000000000007</v>
      </c>
      <c r="O44" s="43" t="s">
        <v>58</v>
      </c>
      <c r="P44" s="44">
        <f>B6*Scales!E58</f>
        <v>27216.000000000018</v>
      </c>
    </row>
    <row r="45" spans="4:16" ht="17" thickTop="1" thickBot="1">
      <c r="D45" s="53">
        <v>10</v>
      </c>
      <c r="E45" s="45" t="s">
        <v>59</v>
      </c>
      <c r="F45" s="46">
        <f>IF(intermedia!$B$4=Database!$E$118,VLOOKUP(intermedia!E45,Database!D119:K119,2,FALSE),IF(intermedia!$B$4=Database!$F$118,VLOOKUP(intermedia!E45,Database!D119:K119,3,FALSE),IF(intermedia!$B$4=Database!$G$118,VLOOKUP(intermedia!E45,Database!D119:K119,4,FALSE),IF(intermedia!$B$4=Database!$H$118,VLOOKUP(intermedia!E45,Database!D119:K119,5,FALSE),IF(intermedia!$B$4=Database!$I$118,VLOOKUP(intermedia!E45,Database!D119:K119,6,FALSE),IF(intermedia!$B$4=Database!$J$118,VLOOKUP(intermedia!E45,Database!D119:K119,7,FALSE),IF(intermedia!$B$4=Database!$K$118,VLOOKUP(intermedia!E45,Database!D119:K119,8,FALSE),IF(intermedia!$B$4=Database!$L$118,VLOOKUP(intermedia!E45,Database!D119:K119,9,FALSE)))))))))</f>
        <v>484000</v>
      </c>
      <c r="G45" s="45" t="s">
        <v>59</v>
      </c>
      <c r="H45" s="46">
        <f>F45*0.8</f>
        <v>387200</v>
      </c>
      <c r="I45" s="45" t="s">
        <v>59</v>
      </c>
      <c r="J45" s="46">
        <f>F45*0.7</f>
        <v>338800</v>
      </c>
      <c r="K45" s="45" t="s">
        <v>59</v>
      </c>
      <c r="L45" s="46">
        <f>F45*0.5</f>
        <v>242000</v>
      </c>
      <c r="M45" s="45" t="s">
        <v>59</v>
      </c>
      <c r="N45" s="46">
        <f>F45*0.9</f>
        <v>435600</v>
      </c>
      <c r="O45" s="45" t="s">
        <v>59</v>
      </c>
      <c r="P45" s="46">
        <f>F45*0.6</f>
        <v>290400</v>
      </c>
    </row>
    <row r="46" spans="4:16" ht="17" thickTop="1" thickBot="1">
      <c r="D46" s="53">
        <v>10</v>
      </c>
      <c r="E46" s="45" t="s">
        <v>60</v>
      </c>
      <c r="F46" s="46">
        <f>IF(intermedia!$B$4=Database!$E$121,VLOOKUP(intermedia!E46,Database!D122:K122,2,FALSE),IF(intermedia!$B$4=Database!$F$121,VLOOKUP(intermedia!E46,Database!D122:K122,3,FALSE),IF(intermedia!$B$4=Database!$G$121,VLOOKUP(intermedia!E46,Database!D122:K122,4,FALSE),IF(intermedia!$B$4=Database!$H$121,VLOOKUP(intermedia!E46,Database!D122:K122,5,FALSE),IF(intermedia!$B$4=Database!$I$121,VLOOKUP(intermedia!E46,Database!D122:K122,6,FALSE),IF(intermedia!$B$4=Database!$J$121,VLOOKUP(intermedia!E46,Database!D122:K122,7,FALSE),IF(intermedia!$B$4=Database!$K$121,VLOOKUP(intermedia!E46,Database!D122:K122,8,FALSE),IF(intermedia!$B$4=Database!$L$121,VLOOKUP(intermedia!E46,Database!D122:K122,9,FALSE)))))))))</f>
        <v>60</v>
      </c>
      <c r="G46" s="45" t="s">
        <v>60</v>
      </c>
      <c r="H46" s="46">
        <f>0.85*F46</f>
        <v>51</v>
      </c>
      <c r="I46" s="45" t="s">
        <v>60</v>
      </c>
      <c r="J46" s="46">
        <f>0.7*F46</f>
        <v>42</v>
      </c>
      <c r="K46" s="45" t="s">
        <v>60</v>
      </c>
      <c r="L46" s="46">
        <f>0.55*F46</f>
        <v>33</v>
      </c>
      <c r="M46" s="45" t="s">
        <v>60</v>
      </c>
      <c r="N46" s="46">
        <f>0.4*F46</f>
        <v>24</v>
      </c>
      <c r="O46" s="45" t="s">
        <v>60</v>
      </c>
      <c r="P46" s="46">
        <f>0.25*F46</f>
        <v>15</v>
      </c>
    </row>
    <row r="47" spans="4:16" ht="17" thickTop="1" thickBot="1">
      <c r="D47" s="53">
        <v>10</v>
      </c>
      <c r="E47" s="45" t="s">
        <v>61</v>
      </c>
      <c r="F47" s="46">
        <f>F5</f>
        <v>21.6094379124341</v>
      </c>
      <c r="G47" s="45" t="s">
        <v>61</v>
      </c>
      <c r="H47" s="46">
        <f>LN($B$8)+7</f>
        <v>8.6094379124340996</v>
      </c>
      <c r="I47" s="45" t="s">
        <v>61</v>
      </c>
      <c r="J47" s="46">
        <f>LN($B$8)+5</f>
        <v>6.6094379124341005</v>
      </c>
      <c r="K47" s="45" t="s">
        <v>61</v>
      </c>
      <c r="L47" s="46">
        <f>LN($B$8)+0.5</f>
        <v>2.1094379124341005</v>
      </c>
      <c r="M47" s="45" t="s">
        <v>61</v>
      </c>
      <c r="N47" s="46">
        <f>LN($B$8)+1</f>
        <v>2.6094379124341005</v>
      </c>
      <c r="O47" s="45" t="s">
        <v>61</v>
      </c>
      <c r="P47" s="46">
        <f>LN($B$8)+2</f>
        <v>3.6094379124341005</v>
      </c>
    </row>
    <row r="48" spans="4:16" ht="17" thickTop="1" thickBot="1">
      <c r="D48" s="53">
        <v>10</v>
      </c>
      <c r="E48" s="45" t="s">
        <v>62</v>
      </c>
      <c r="F48" s="46">
        <f>IF(intermedia!$B$4=Database!$E$124,VLOOKUP(intermedia!E48,Database!D125:K125,2,FALSE),IF(intermedia!$B$4=Database!$F$124,VLOOKUP(intermedia!E48,Database!D125:K125,3,FALSE),IF(intermedia!$B$4=Database!$G$124,VLOOKUP(intermedia!E48,Database!D125:K125,4,FALSE),IF(intermedia!$B$4=Database!$H$124,VLOOKUP(intermedia!E48,Database!D125:K125,5,FALSE),IF(intermedia!$B$4=Database!$I$124,VLOOKUP(intermedia!E48,Database!D125:K125,6,FALSE),IF(intermedia!$B$4=Database!$J$124,VLOOKUP(intermedia!E48,Database!D125:K125,7,FALSE),IF(intermedia!$B$4=Database!$K$124,VLOOKUP(intermedia!E48,Database!D125:K125,8,FALSE),IF(intermedia!$B$4=Database!$L$124,VLOOKUP(intermedia!E48,Database!D125:K125,9,FALSE)))))))))</f>
        <v>1</v>
      </c>
      <c r="G48" s="45" t="s">
        <v>62</v>
      </c>
      <c r="H48" s="46">
        <f>0.7*F48</f>
        <v>0.7</v>
      </c>
      <c r="I48" s="45" t="s">
        <v>62</v>
      </c>
      <c r="J48" s="46">
        <f>F48*0.9</f>
        <v>0.9</v>
      </c>
      <c r="K48" s="45" t="s">
        <v>62</v>
      </c>
      <c r="L48" s="46">
        <f>0.5*F48</f>
        <v>0.5</v>
      </c>
      <c r="M48" s="45" t="s">
        <v>62</v>
      </c>
      <c r="N48" s="46">
        <f>F48*0.65</f>
        <v>0.65</v>
      </c>
      <c r="O48" s="45" t="s">
        <v>62</v>
      </c>
      <c r="P48" s="46">
        <f>0.55*F48</f>
        <v>0.55000000000000004</v>
      </c>
    </row>
    <row r="49" spans="2:16" ht="17" thickTop="1" thickBot="1">
      <c r="D49" s="53">
        <v>10</v>
      </c>
      <c r="E49" s="45" t="s">
        <v>63</v>
      </c>
      <c r="F49" s="46">
        <f>IF(intermedia!$B$4=Database!$E$128,VLOOKUP(intermedia!E49,Database!D129:K129,2,FALSE),IF(intermedia!$B$4=Database!$F$128,VLOOKUP(intermedia!E49,Database!D129:K129,3,FALSE),IF(intermedia!$B$4=Database!$G$128,VLOOKUP(intermedia!E49,Database!D129:K129,4,FALSE),IF(intermedia!$B$4=Database!$H$128,VLOOKUP(intermedia!E49,Database!D129:K129,5,FALSE),IF(intermedia!$B$4=Database!$I$128,VLOOKUP(intermedia!E49,Database!D129:K129,6,FALSE),IF(intermedia!$B$4=Database!$J$128,VLOOKUP(intermedia!E49,Database!D129:K129,7,FALSE),IF(intermedia!$B$4=Database!$K$128,VLOOKUP(intermedia!E49,Database!D129:K129,8,FALSE),IF(intermedia!$B$4=Database!$L$128,VLOOKUP(intermedia!E49,Database!D129:K129,9,FALSE)))))))))</f>
        <v>499999</v>
      </c>
      <c r="G49" s="45" t="s">
        <v>63</v>
      </c>
      <c r="H49" s="46">
        <f>0.6*F49</f>
        <v>299999.39999999997</v>
      </c>
      <c r="I49" s="45" t="s">
        <v>63</v>
      </c>
      <c r="J49" s="46">
        <f>0.5*F49</f>
        <v>249999.5</v>
      </c>
      <c r="K49" s="45" t="s">
        <v>63</v>
      </c>
      <c r="L49" s="46">
        <f>0.4*F49</f>
        <v>199999.6</v>
      </c>
      <c r="M49" s="45" t="s">
        <v>63</v>
      </c>
      <c r="N49" s="46">
        <f>0.7*F49</f>
        <v>349999.3</v>
      </c>
      <c r="O49" s="45" t="s">
        <v>63</v>
      </c>
      <c r="P49" s="46">
        <f>0.8*F49</f>
        <v>399999.2</v>
      </c>
    </row>
    <row r="50" spans="2:16" ht="17" thickTop="1" thickBot="1">
      <c r="D50" s="53">
        <v>10</v>
      </c>
      <c r="E50" s="47" t="s">
        <v>64</v>
      </c>
      <c r="F50" s="48">
        <f>IF(intermedia!$B$4=Database!$E$131,VLOOKUP(intermedia!E50,Database!D132:K132,2,FALSE),IF(intermedia!$B$4=Database!$F$131,VLOOKUP(intermedia!E50,Database!D132:K132,3,FALSE),IF(intermedia!B4=Database!$G$131,VLOOKUP(intermedia!E50,Database!D132:K132,4,FALSE),IF(intermedia!$B$4=Database!$H$131,VLOOKUP(intermedia!E50,Database!D132:K132,5,FALSE),IF(intermedia!$B$4=Database!$I$131,VLOOKUP(intermedia!E50,Database!D132:K132,6,FALSE),IF(intermedia!B4=Database!$J$131,VLOOKUP(intermedia!E50,Database!D132:K132,7,FALSE),IF(intermedia!B4=Database!$K$131,VLOOKUP(intermedia!E50,Database!D132:K132,8,FALSE),IF(intermedia!B4=Database!$L$131,VLOOKUP(intermedia!E50,Database!D132:K132,9,FALSE)))))))))</f>
        <v>-28.21</v>
      </c>
      <c r="G50" s="47" t="s">
        <v>64</v>
      </c>
      <c r="H50" s="48">
        <f>0.6*F50</f>
        <v>-16.925999999999998</v>
      </c>
      <c r="I50" s="47" t="s">
        <v>64</v>
      </c>
      <c r="J50" s="48">
        <f>0.5*F50</f>
        <v>-14.105</v>
      </c>
      <c r="K50" s="47" t="s">
        <v>64</v>
      </c>
      <c r="L50" s="48">
        <f>0.9*F50</f>
        <v>-25.389000000000003</v>
      </c>
      <c r="M50" s="47" t="s">
        <v>64</v>
      </c>
      <c r="N50" s="48">
        <f>0.8*F50</f>
        <v>-22.568000000000001</v>
      </c>
      <c r="O50" s="47" t="s">
        <v>64</v>
      </c>
      <c r="P50" s="48">
        <f>0.75*F50</f>
        <v>-21.157499999999999</v>
      </c>
    </row>
    <row r="51" spans="2:16" ht="17" thickTop="1" thickBot="1">
      <c r="D51" s="53">
        <v>5</v>
      </c>
      <c r="E51" s="43" t="s">
        <v>58</v>
      </c>
      <c r="F51" s="44">
        <f>Scales!E19*B6</f>
        <v>648</v>
      </c>
      <c r="G51" s="43" t="s">
        <v>58</v>
      </c>
      <c r="H51" s="44">
        <f>B6*Scales!E27</f>
        <v>5831.9999999999991</v>
      </c>
      <c r="I51" s="43" t="s">
        <v>58</v>
      </c>
      <c r="J51" s="44">
        <f>B6*Scales!E35</f>
        <v>11015.999999999998</v>
      </c>
      <c r="K51" s="43" t="s">
        <v>58</v>
      </c>
      <c r="L51" s="44">
        <f>B6*Scales!E43</f>
        <v>16199.999999999993</v>
      </c>
      <c r="M51" s="43" t="s">
        <v>58</v>
      </c>
      <c r="N51" s="44">
        <f>B6*Scales!E51</f>
        <v>21384.000000000004</v>
      </c>
      <c r="O51" s="43" t="s">
        <v>58</v>
      </c>
      <c r="P51" s="44">
        <f>B6*Scales!E59</f>
        <v>26568.000000000018</v>
      </c>
    </row>
    <row r="52" spans="2:16" ht="17" thickTop="1" thickBot="1">
      <c r="D52" s="53">
        <v>5</v>
      </c>
      <c r="E52" s="45" t="s">
        <v>59</v>
      </c>
      <c r="F52" s="46">
        <f>IF(intermedia!$B$4=Database!$E$136,VLOOKUP(intermedia!E52,Database!D137:K137,2,FALSE),IF(intermedia!$B$4=Database!$F$136,VLOOKUP(intermedia!E52,Database!D137:K137,3,FALSE),IF(intermedia!$B$4=Database!$G$136,VLOOKUP(intermedia!E52,Database!D137:K137,4,FALSE),IF(intermedia!$B$4=Database!$H$136,VLOOKUP(intermedia!E52,Database!D137:K137,5,FALSE),IF(intermedia!$B$4=Database!$I$136,VLOOKUP(intermedia!E52,Database!D137:K137,6,FALSE),IF(intermedia!$B$4=Database!$J$136,VLOOKUP(intermedia!E52,Database!D137:K137,7,FALSE),IF(intermedia!$B$4=Database!$K$136,VLOOKUP(intermedia!E52,Database!D137:K137,8,FALSE),IF(intermedia!$B$4=Database!$L$136,VLOOKUP(intermedia!E52,Database!D137:K137,9,FALSE)))))))))</f>
        <v>270000</v>
      </c>
      <c r="G52" s="45" t="s">
        <v>59</v>
      </c>
      <c r="H52" s="46">
        <f>F52*0.8</f>
        <v>216000</v>
      </c>
      <c r="I52" s="45" t="s">
        <v>59</v>
      </c>
      <c r="J52" s="46">
        <f>F52*0.7</f>
        <v>189000</v>
      </c>
      <c r="K52" s="45" t="s">
        <v>59</v>
      </c>
      <c r="L52" s="46">
        <f>F52*0.5</f>
        <v>135000</v>
      </c>
      <c r="M52" s="45" t="s">
        <v>59</v>
      </c>
      <c r="N52" s="46">
        <f>F52*0.9</f>
        <v>243000</v>
      </c>
      <c r="O52" s="45" t="s">
        <v>59</v>
      </c>
      <c r="P52" s="46">
        <f>F52*0.6</f>
        <v>162000</v>
      </c>
    </row>
    <row r="53" spans="2:16" ht="17" thickTop="1" thickBot="1">
      <c r="D53" s="53">
        <v>5</v>
      </c>
      <c r="E53" s="45" t="s">
        <v>60</v>
      </c>
      <c r="F53" s="46">
        <f>IF(intermedia!$B$4=Database!$E$139,VLOOKUP(intermedia!E53,Database!D140:K140,2,FALSE),IF(intermedia!$B$4=Database!$F$139,VLOOKUP(intermedia!E53,Database!D140:K140,3,FALSE),IF(intermedia!$B$4=Database!$G$139,VLOOKUP(intermedia!E53,Database!D140:K140,4,FALSE),IF(intermedia!$B$4=Database!$H$139,VLOOKUP(intermedia!E53,Database!D140:K140,5,FALSE),IF(intermedia!$B$4=Database!$I$139,VLOOKUP(intermedia!E53,Database!D140:K140,6,FALSE),IF(intermedia!$B$4=Database!$J$139,VLOOKUP(intermedia!E53,Database!D140:K140,7,FALSE),IF(intermedia!$B$4=Database!$K$139,VLOOKUP(intermedia!E53,Database!D140:K140,8,FALSE),IF(intermedia!$B$4=Database!$L$139,VLOOKUP(intermedia!E53,Database!D140:K140,9,FALSE)))))))))</f>
        <v>45</v>
      </c>
      <c r="G53" s="45" t="s">
        <v>60</v>
      </c>
      <c r="H53" s="46">
        <f>0.85*F53</f>
        <v>38.25</v>
      </c>
      <c r="I53" s="45" t="s">
        <v>60</v>
      </c>
      <c r="J53" s="46">
        <f>0.7*F53</f>
        <v>31.499999999999996</v>
      </c>
      <c r="K53" s="45" t="s">
        <v>60</v>
      </c>
      <c r="L53" s="46">
        <f>0.55*F53</f>
        <v>24.750000000000004</v>
      </c>
      <c r="M53" s="45" t="s">
        <v>60</v>
      </c>
      <c r="N53" s="46">
        <f>0.4*F53</f>
        <v>18</v>
      </c>
      <c r="O53" s="45" t="s">
        <v>60</v>
      </c>
      <c r="P53" s="46">
        <f>0.25*F53</f>
        <v>11.25</v>
      </c>
    </row>
    <row r="54" spans="2:16" ht="17" thickTop="1" thickBot="1">
      <c r="D54" s="53">
        <v>5</v>
      </c>
      <c r="E54" s="45" t="s">
        <v>61</v>
      </c>
      <c r="F54" s="46">
        <f>F5</f>
        <v>21.6094379124341</v>
      </c>
      <c r="G54" s="45" t="s">
        <v>61</v>
      </c>
      <c r="H54" s="46">
        <f>LN($B$8)+7</f>
        <v>8.6094379124340996</v>
      </c>
      <c r="I54" s="45" t="s">
        <v>61</v>
      </c>
      <c r="J54" s="46">
        <f>LN($B$8)+5</f>
        <v>6.6094379124341005</v>
      </c>
      <c r="K54" s="45" t="s">
        <v>61</v>
      </c>
      <c r="L54" s="46">
        <f>LN($B$8)+0.5</f>
        <v>2.1094379124341005</v>
      </c>
      <c r="M54" s="45" t="s">
        <v>61</v>
      </c>
      <c r="N54" s="46">
        <f>LN($B$8)+1</f>
        <v>2.6094379124341005</v>
      </c>
      <c r="O54" s="45" t="s">
        <v>61</v>
      </c>
      <c r="P54" s="46">
        <f>LN($B$8)+2</f>
        <v>3.6094379124341005</v>
      </c>
    </row>
    <row r="55" spans="2:16" ht="17" thickTop="1" thickBot="1">
      <c r="D55" s="53">
        <v>5</v>
      </c>
      <c r="E55" s="45" t="s">
        <v>62</v>
      </c>
      <c r="F55" s="46">
        <f>IF(intermedia!$B$4=Database!$E$142,VLOOKUP(intermedia!E55,Database!D143:K143,2,FALSE),IF(intermedia!$B$4=Database!$F$142,VLOOKUP(intermedia!E55,Database!D143:K143,3,FALSE),IF(intermedia!$B$4=Database!$G$142,VLOOKUP(intermedia!E55,Database!D143:K143,4,FALSE),IF(intermedia!$B$4=Database!$H$142,VLOOKUP(intermedia!E55,Database!D143:K143,5,FALSE),IF(intermedia!$B$4=Database!$I$142,VLOOKUP(intermedia!E55,Database!D143:K143,6,FALSE),IF(intermedia!$B$4=Database!$J$142,VLOOKUP(intermedia!E55,Database!D143:K143,7,FALSE),IF(intermedia!$B$4=Database!$K$142,VLOOKUP(intermedia!E55,Database!D143:K143,8,FALSE),IF(intermedia!$B$4=Database!$L$142,VLOOKUP(intermedia!E55,Database!D143:K143,9,FALSE)))))))))</f>
        <v>1</v>
      </c>
      <c r="G55" s="45" t="s">
        <v>62</v>
      </c>
      <c r="H55" s="46">
        <f>0.7*F55</f>
        <v>0.7</v>
      </c>
      <c r="I55" s="45" t="s">
        <v>62</v>
      </c>
      <c r="J55" s="46">
        <f>F55*0.9</f>
        <v>0.9</v>
      </c>
      <c r="K55" s="45" t="s">
        <v>62</v>
      </c>
      <c r="L55" s="46">
        <f>0.5*F55</f>
        <v>0.5</v>
      </c>
      <c r="M55" s="45" t="s">
        <v>62</v>
      </c>
      <c r="N55" s="46">
        <f>F55*0.65</f>
        <v>0.65</v>
      </c>
      <c r="O55" s="45" t="s">
        <v>62</v>
      </c>
      <c r="P55" s="46">
        <f>0.55*F55</f>
        <v>0.55000000000000004</v>
      </c>
    </row>
    <row r="56" spans="2:16" ht="17" thickTop="1" thickBot="1">
      <c r="D56" s="53">
        <v>5</v>
      </c>
      <c r="E56" s="45" t="s">
        <v>63</v>
      </c>
      <c r="F56" s="46">
        <f>IF(intermedia!$B$4=Database!$E$146,VLOOKUP(intermedia!E56,Database!D147:K147,2,FALSE),IF(intermedia!$B$4=Database!$F$146,VLOOKUP(intermedia!E56,Database!D147:K147,3,FALSE),IF(intermedia!$B$4=Database!$G$146,VLOOKUP(intermedia!E56,Database!D147:K147,4,FALSE),IF(intermedia!$B$4=Database!$H$146,VLOOKUP(intermedia!E56,Database!D147:K147,5,FALSE),IF(intermedia!$B$4=Database!$I$146,VLOOKUP(intermedia!E56,Database!D147:K147,6,FALSE),IF(intermedia!$B$4=Database!$J$146,VLOOKUP(intermedia!E56,Database!D147:K147,7,FALSE),IF(intermedia!$B$4=Database!$K$146,VLOOKUP(intermedia!E56,Database!D147:K147,8,FALSE),IF(intermedia!$B$4=Database!$L$146,VLOOKUP(intermedia!E56,Database!D147:K147,9,FALSE)))))))))</f>
        <v>499999</v>
      </c>
      <c r="G56" s="45" t="s">
        <v>63</v>
      </c>
      <c r="H56" s="46">
        <f>0.6*F56</f>
        <v>299999.39999999997</v>
      </c>
      <c r="I56" s="45" t="s">
        <v>63</v>
      </c>
      <c r="J56" s="46">
        <f>0.5*F56</f>
        <v>249999.5</v>
      </c>
      <c r="K56" s="45" t="s">
        <v>63</v>
      </c>
      <c r="L56" s="46">
        <f>0.4*F56</f>
        <v>199999.6</v>
      </c>
      <c r="M56" s="45" t="s">
        <v>63</v>
      </c>
      <c r="N56" s="46">
        <f>0.7*F56</f>
        <v>349999.3</v>
      </c>
      <c r="O56" s="45" t="s">
        <v>63</v>
      </c>
      <c r="P56" s="46">
        <f>0.8*F56</f>
        <v>399999.2</v>
      </c>
    </row>
    <row r="57" spans="2:16" ht="17" thickTop="1" thickBot="1">
      <c r="D57" s="53">
        <v>5</v>
      </c>
      <c r="E57" s="47" t="s">
        <v>64</v>
      </c>
      <c r="F57" s="48">
        <f>IF(intermedia!$B$4=Database!$E$149,VLOOKUP(intermedia!E57,Database!D150:K150,2,FALSE),IF(intermedia!$B$4=Database!$F$149,VLOOKUP(intermedia!E57,Database!D150:K150,3,FALSE),IF(intermedia!$B$4=Database!$G$149,VLOOKUP(intermedia!E57,Database!D150:K150,4,FALSE),IF(intermedia!$B$4=Database!$H$149,VLOOKUP(intermedia!E57,Database!D150:K150,5,FALSE),IF(intermedia!$B$4=Database!$I$149,VLOOKUP(intermedia!E57,Database!D150:K150,6,FALSE),IF(intermedia!$B$4=Database!$J$149,VLOOKUP(intermedia!E57,Database!D150:K150,7,FALSE),IF(intermedia!$B$4=Database!$K$149,VLOOKUP(intermedia!E57,Database!D150:K150,8,FALSE),IF(intermedia!$B$4=Database!$L$149,VLOOKUP(intermedia!E57,Database!D150:K150,9,FALSE)))))))))</f>
        <v>-28.21</v>
      </c>
      <c r="G57" s="47" t="s">
        <v>64</v>
      </c>
      <c r="H57" s="48">
        <f>0.6*F57</f>
        <v>-16.925999999999998</v>
      </c>
      <c r="I57" s="47" t="s">
        <v>64</v>
      </c>
      <c r="J57" s="48">
        <f>0.5*F57</f>
        <v>-14.105</v>
      </c>
      <c r="K57" s="47" t="s">
        <v>64</v>
      </c>
      <c r="L57" s="48">
        <f>0.9*F57</f>
        <v>-25.389000000000003</v>
      </c>
      <c r="M57" s="47" t="s">
        <v>64</v>
      </c>
      <c r="N57" s="48">
        <f>0.8*F57</f>
        <v>-22.568000000000001</v>
      </c>
      <c r="O57" s="47" t="s">
        <v>64</v>
      </c>
      <c r="P57" s="48">
        <f>0.75*F57</f>
        <v>-21.157499999999999</v>
      </c>
    </row>
    <row r="58" spans="2:16" ht="16" thickTop="1"/>
    <row r="59" spans="2:16">
      <c r="H59">
        <f>intermedia!F60</f>
        <v>0</v>
      </c>
    </row>
    <row r="62" spans="2:16" ht="25">
      <c r="B62" s="89"/>
      <c r="H62" s="95"/>
      <c r="I62" s="96" t="s">
        <v>138</v>
      </c>
    </row>
    <row r="1048550" spans="16384:16384">
      <c r="XFD1048550" t="e">
        <f>solver_userid</f>
        <v>#NAME?</v>
      </c>
    </row>
    <row r="1048551" spans="16384:16384">
      <c r="XFD1048551" t="e">
        <f>solver_scl</f>
        <v>#NAME?</v>
      </c>
    </row>
    <row r="1048552" spans="16384:16384">
      <c r="XFD1048552" t="e">
        <f>solver_rlx</f>
        <v>#NAME?</v>
      </c>
    </row>
    <row r="1048553" spans="16384:16384">
      <c r="XFD1048553" t="e">
        <f>solver_tol</f>
        <v>#NAME?</v>
      </c>
    </row>
    <row r="1048554" spans="16384:16384">
      <c r="XFD1048554" t="e">
        <f>solver_cvg</f>
        <v>#NAME?</v>
      </c>
    </row>
    <row r="1048555" spans="16384:16384">
      <c r="XFD1048555" t="e">
        <f>AREAS(solver_adj1)</f>
        <v>#NAME?</v>
      </c>
    </row>
    <row r="1048556" spans="16384:16384">
      <c r="XFD1048556" t="e">
        <f>solver_ssz</f>
        <v>#NAME?</v>
      </c>
    </row>
    <row r="1048557" spans="16384:16384">
      <c r="XFD1048557" t="e">
        <f>solver_rsd</f>
        <v>#NAME?</v>
      </c>
    </row>
    <row r="1048558" spans="16384:16384">
      <c r="XFD1048558" t="e">
        <f>solver_mrt</f>
        <v>#NAME?</v>
      </c>
    </row>
    <row r="1048559" spans="16384:16384">
      <c r="XFD1048559" t="e">
        <f>solver_mni</f>
        <v>#NAME?</v>
      </c>
    </row>
    <row r="1048560" spans="16384:16384">
      <c r="XFD1048560" t="e">
        <f>solver_rbv</f>
        <v>#NAME?</v>
      </c>
    </row>
    <row r="1048561" spans="16384:16384">
      <c r="XFD1048561" t="e">
        <f>solver_neg</f>
        <v>#NAME?</v>
      </c>
    </row>
    <row r="1048562" spans="16384:16384">
      <c r="XFD1048562" t="e">
        <f>solver_ntr</f>
        <v>#NAME?</v>
      </c>
    </row>
    <row r="1048563" spans="16384:16384">
      <c r="XFD1048563" t="e">
        <f>solver_acc</f>
        <v>#NAME?</v>
      </c>
    </row>
    <row r="1048564" spans="16384:16384">
      <c r="XFD1048564" t="e">
        <f>solver_res</f>
        <v>#NAME?</v>
      </c>
    </row>
    <row r="1048565" spans="16384:16384">
      <c r="XFD1048565" t="e">
        <f>solver_ars</f>
        <v>#NAME?</v>
      </c>
    </row>
    <row r="1048566" spans="16384:16384">
      <c r="XFD1048566" t="e">
        <f>solver_sta</f>
        <v>#NAME?</v>
      </c>
    </row>
    <row r="1048567" spans="16384:16384">
      <c r="XFD1048567" t="e">
        <f>solver_met</f>
        <v>#NAME?</v>
      </c>
    </row>
    <row r="1048568" spans="16384:16384">
      <c r="XFD1048568" t="e">
        <f>solver_soc</f>
        <v>#NAME?</v>
      </c>
    </row>
    <row r="1048569" spans="16384:16384">
      <c r="XFD1048569" t="e">
        <f>solver_lpt</f>
        <v>#NAME?</v>
      </c>
    </row>
    <row r="1048570" spans="16384:16384">
      <c r="XFD1048570" t="e">
        <f>solver_lpp</f>
        <v>#NAME?</v>
      </c>
    </row>
    <row r="1048571" spans="16384:16384">
      <c r="XFD1048571" t="e">
        <f>solver_gap</f>
        <v>#NAME?</v>
      </c>
    </row>
    <row r="1048572" spans="16384:16384">
      <c r="XFD1048572" t="e">
        <f>solver_ips</f>
        <v>#NAME?</v>
      </c>
    </row>
    <row r="1048573" spans="16384:16384">
      <c r="XFD1048573" t="e">
        <f>solver_fea</f>
        <v>#NAME?</v>
      </c>
    </row>
    <row r="1048574" spans="16384:16384">
      <c r="XFD1048574" t="e">
        <f>solver_ipi</f>
        <v>#NAME?</v>
      </c>
    </row>
    <row r="1048575" spans="16384:16384">
      <c r="XFD1048575" t="e">
        <f>solver_ipd</f>
        <v>#NAME?</v>
      </c>
    </row>
  </sheetData>
  <mergeCells count="6">
    <mergeCell ref="O1:P1"/>
    <mergeCell ref="E1:F1"/>
    <mergeCell ref="G1:H1"/>
    <mergeCell ref="I1:J1"/>
    <mergeCell ref="K1:L1"/>
    <mergeCell ref="M1:N1"/>
  </mergeCells>
  <phoneticPr fontId="16" type="noConversion"/>
  <pageMargins left="0.7" right="0.7" top="0.75" bottom="0.75" header="0.3" footer="0.3"/>
  <pageSetup orientation="portrait"/>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menu!$A$2:$A$8</xm:f>
          </x14:formula1>
          <xm:sqref>B4</xm:sqref>
        </x14:dataValidation>
      </x14:dataValidations>
    </ext>
    <ext xmlns:mx="http://schemas.microsoft.com/office/mac/excel/2008/main" uri="{64002731-A6B0-56B0-2670-7721B7C09600}">
      <mx:PLV Mode="0" OnePage="0" WScale="0"/>
    </ext>
    <ext xmlns:x15="http://schemas.microsoft.com/office/spreadsheetml/2010/11/main" uri="{F7C9EE02-42E1-4005-9D12-6889AFFD525C}">
      <x15:webExtensions xmlns:xm="http://schemas.microsoft.com/office/excel/2006/main">
        <x15:webExtension appRef="{29096FE2-DB67-1942-B4FF-161C8D294048}">
          <xm:f>intermedia!XFD1048550:XFD1048575</xm:f>
        </x15:webExtension>
        <x15:webExtension appRef="{B118F860-3E9D-E340-BD58-A3F6811B1A76}">
          <xm:f>intermedia!1:1048576</xm:f>
        </x15:webExtension>
        <x15:webExtension appRef="{AE8E8742-9E3E-6B4D-AAFC-D1ED953370C0}">
          <xm:f>intermedia!1:1048576</xm:f>
        </x15:webExtension>
        <x15:webExtension appRef="{DC671F36-E9AB-E64F-9294-3501729D9FFE}">
          <xm:f>intermedia!1:1048576</xm:f>
        </x15:webExtension>
        <x15:webExtension appRef="{9CC1BF67-3CE5-134A-B900-A4FD37E1FF48}">
          <xm:f>intermedia!1:1048576</xm:f>
        </x15:webExtension>
        <x15:webExtension appRef="{F6755396-1B1D-2744-BE97-516255D8A159}">
          <xm:f>intermedia!1:1048576</xm:f>
        </x15:webExtension>
      </x15:webExtens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2"/>
  <sheetViews>
    <sheetView topLeftCell="A28" zoomScale="55" zoomScaleNormal="55" zoomScalePageLayoutView="55" workbookViewId="0">
      <selection activeCell="D65" sqref="D65"/>
    </sheetView>
  </sheetViews>
  <sheetFormatPr baseColWidth="10" defaultColWidth="11" defaultRowHeight="15" x14ac:dyDescent="0"/>
  <cols>
    <col min="3" max="3" width="12.33203125" bestFit="1" customWidth="1"/>
    <col min="5" max="5" width="12.5" bestFit="1" customWidth="1"/>
    <col min="7" max="7" width="12.33203125" bestFit="1" customWidth="1"/>
    <col min="9" max="9" width="13" bestFit="1" customWidth="1"/>
    <col min="11" max="11" width="13" bestFit="1" customWidth="1"/>
    <col min="13" max="13" width="13" bestFit="1" customWidth="1"/>
    <col min="14" max="14" width="5.83203125" customWidth="1"/>
    <col min="15" max="15" width="27.5" customWidth="1"/>
    <col min="16" max="16" width="30.1640625" customWidth="1"/>
  </cols>
  <sheetData>
    <row r="1" spans="1:16" ht="16" thickBot="1">
      <c r="A1" t="s">
        <v>98</v>
      </c>
      <c r="B1" s="110" t="s">
        <v>69</v>
      </c>
      <c r="C1" s="110"/>
      <c r="D1" s="110" t="s">
        <v>70</v>
      </c>
      <c r="E1" s="110"/>
      <c r="F1" s="110" t="s">
        <v>71</v>
      </c>
      <c r="G1" s="110"/>
      <c r="H1" s="110" t="s">
        <v>72</v>
      </c>
      <c r="I1" s="110"/>
      <c r="J1" s="110" t="s">
        <v>99</v>
      </c>
      <c r="K1" s="110"/>
      <c r="L1" s="110" t="s">
        <v>74</v>
      </c>
      <c r="M1" s="110"/>
    </row>
    <row r="2" spans="1:16" ht="17" thickTop="1" thickBot="1">
      <c r="A2" s="52">
        <v>1000</v>
      </c>
      <c r="B2" s="43" t="s">
        <v>58</v>
      </c>
      <c r="C2" s="44">
        <f>0.799*LN(intermedia!F2)-5.512</f>
        <v>1.3221124581876573</v>
      </c>
      <c r="D2" s="43" t="s">
        <v>58</v>
      </c>
      <c r="E2" s="44">
        <f>0.799*LN(intermedia!H2)-5.512</f>
        <v>1.8759370554550534</v>
      </c>
      <c r="F2" s="43" t="s">
        <v>58</v>
      </c>
      <c r="G2" s="44">
        <f>0.799*LN(intermedia!J2)-5.512</f>
        <v>2.1999036768334763</v>
      </c>
      <c r="H2" s="43" t="s">
        <v>58</v>
      </c>
      <c r="I2" s="44">
        <f>0.799*LN(intermedia!L2)-5.512</f>
        <v>2.4297616527224504</v>
      </c>
      <c r="J2" s="43" t="s">
        <v>58</v>
      </c>
      <c r="K2" s="44">
        <f>0.799*LN(intermedia!N2)-5.512</f>
        <v>2.6080533502225043</v>
      </c>
      <c r="L2" s="43" t="s">
        <v>58</v>
      </c>
      <c r="M2" s="44">
        <f>0.799*LN(intermedia!P2)-5.512</f>
        <v>2.7537282741008751</v>
      </c>
    </row>
    <row r="3" spans="1:16" ht="17" thickTop="1" thickBot="1">
      <c r="A3" s="52">
        <v>1000</v>
      </c>
      <c r="B3" s="45" t="s">
        <v>59</v>
      </c>
      <c r="C3" s="46">
        <f>-0.0000000000000007*(intermedia!F3*intermedia!F3+0.00000005*intermedia!F3+0.0132)</f>
        <v>-5.7618127000001107E-3</v>
      </c>
      <c r="D3" s="45" t="s">
        <v>59</v>
      </c>
      <c r="E3" s="46">
        <f>-0.0000000000000007*(intermedia!H3*intermedia!H3+0.00000005*intermedia!H3+0.0132)</f>
        <v>-3.6875601280000904E-3</v>
      </c>
      <c r="F3" s="45" t="s">
        <v>59</v>
      </c>
      <c r="G3" s="46">
        <f>--0.0000000000000007*(intermedia!J3*intermedia!J3+0.00000005*intermedia!J3+0.0132)</f>
        <v>2.8232882230000791E-3</v>
      </c>
      <c r="H3" s="45" t="s">
        <v>59</v>
      </c>
      <c r="I3" s="46">
        <f>-0.0000000000000007*(intermedia!L3*intermedia!L3+0.00000005*intermedia!L3+0.0132)</f>
        <v>-1.4404531750000595E-3</v>
      </c>
      <c r="J3" s="45" t="s">
        <v>59</v>
      </c>
      <c r="K3" s="46">
        <f>-0.0000000000000007*(intermedia!N3*intermedia!N3+0.00000005*intermedia!N3+0.0132)</f>
        <v>-4.6670682870000998E-3</v>
      </c>
      <c r="L3" s="45" t="s">
        <v>59</v>
      </c>
      <c r="M3" s="46">
        <f>-0.0000000000000007*(intermedia!P3*intermedia!P3+0.00000005*intermedia!P3+0.0132)</f>
        <v>-2.0742525720000697E-3</v>
      </c>
      <c r="O3" s="1" t="s">
        <v>26</v>
      </c>
      <c r="P3" t="s">
        <v>100</v>
      </c>
    </row>
    <row r="4" spans="1:16" ht="18" thickTop="1" thickBot="1">
      <c r="A4" s="52">
        <v>1000</v>
      </c>
      <c r="B4" s="45" t="s">
        <v>60</v>
      </c>
      <c r="C4" s="46">
        <f>-0.0002*(intermedia!F4*intermedia!F4) + 0.0278*intermedia!F4 - 0.1705</f>
        <v>0.78949999999999998</v>
      </c>
      <c r="D4" s="45" t="s">
        <v>60</v>
      </c>
      <c r="E4" s="46">
        <f>-0.0002*(intermedia!H4*intermedia!H4) + 0.0278*intermedia!H4 - 0.1705</f>
        <v>0.78893749999999985</v>
      </c>
      <c r="F4" s="45" t="s">
        <v>60</v>
      </c>
      <c r="G4" s="46">
        <f>-0.0002*(intermedia!J4*intermedia!J4) + 0.0278*intermedia!J4 - 0.1705</f>
        <v>0.73775000000000002</v>
      </c>
      <c r="H4" s="45" t="s">
        <v>60</v>
      </c>
      <c r="I4" s="46">
        <f>-0.0002*(intermedia!L4*intermedia!L4) + 0.0278*intermedia!L4 - 0.1705</f>
        <v>0.63593749999999993</v>
      </c>
      <c r="J4" s="45" t="s">
        <v>60</v>
      </c>
      <c r="K4" s="46">
        <f>-0.0002*(intermedia!N4*intermedia!N4) + 0.0278*intermedia!N4 - 0.1705</f>
        <v>0.48349999999999993</v>
      </c>
      <c r="L4" s="45" t="s">
        <v>60</v>
      </c>
      <c r="M4" s="46">
        <f>-0.0002*(intermedia!P4*intermedia!P4) + 0.0278*intermedia!P4 - 0.1705</f>
        <v>0.28043750000000001</v>
      </c>
      <c r="O4" s="1" t="s">
        <v>27</v>
      </c>
      <c r="P4" s="2" t="s">
        <v>52</v>
      </c>
    </row>
    <row r="5" spans="1:16" ht="18" thickTop="1" thickBot="1">
      <c r="A5" s="52">
        <v>1000</v>
      </c>
      <c r="B5" s="45" t="s">
        <v>61</v>
      </c>
      <c r="C5" s="46">
        <f xml:space="preserve"> -0.49*LN(intermedia!F5) + 1.5102</f>
        <v>4.3662217715334517E-3</v>
      </c>
      <c r="D5" s="45" t="s">
        <v>61</v>
      </c>
      <c r="E5" s="46">
        <f xml:space="preserve"> -0.49*LN(intermedia!H5) + 1.5102</f>
        <v>0.45529907373204637</v>
      </c>
      <c r="F5" s="45" t="s">
        <v>61</v>
      </c>
      <c r="G5" s="46">
        <f xml:space="preserve"> -0.49*LN(intermedia!J5) + 1.5102</f>
        <v>0.58483567898934641</v>
      </c>
      <c r="H5" s="45" t="s">
        <v>61</v>
      </c>
      <c r="I5" s="46">
        <f xml:space="preserve"> -0.49*LN(intermedia!L5) + 1.5102</f>
        <v>1.1444534553039092</v>
      </c>
      <c r="J5" s="45" t="s">
        <v>61</v>
      </c>
      <c r="K5" s="46">
        <f xml:space="preserve"> -0.49*LN(intermedia!N5) + 1.5102</f>
        <v>1.0402239289287962</v>
      </c>
      <c r="L5" s="45" t="s">
        <v>61</v>
      </c>
      <c r="M5" s="46">
        <f xml:space="preserve"> -0.49*LN(intermedia!P5) + 1.5102</f>
        <v>0.88125949192545561</v>
      </c>
      <c r="O5" s="1" t="s">
        <v>28</v>
      </c>
      <c r="P5" s="2" t="s">
        <v>53</v>
      </c>
    </row>
    <row r="6" spans="1:16" ht="17" thickTop="1" thickBot="1">
      <c r="A6" s="52">
        <v>1000</v>
      </c>
      <c r="B6" s="45" t="s">
        <v>62</v>
      </c>
      <c r="C6" s="46">
        <f>0.273*(intermedia!F6*intermedia!F6) - 0.0538*intermedia!F6 + 0.0043</f>
        <v>0.98870000000000002</v>
      </c>
      <c r="D6" s="45" t="s">
        <v>62</v>
      </c>
      <c r="E6" s="46">
        <f>0.273*(intermedia!H6*intermedia!H6) - 0.0538*intermedia!H6 + 0.0043</f>
        <v>0.46406000000000003</v>
      </c>
      <c r="F6" s="45" t="s">
        <v>62</v>
      </c>
      <c r="G6" s="46">
        <f>0.273*(intermedia!J6*intermedia!J6) - 0.0538*intermedia!J6 + 0.0043</f>
        <v>0.79198000000000002</v>
      </c>
      <c r="H6" s="45" t="s">
        <v>62</v>
      </c>
      <c r="I6" s="46">
        <f>0.273*(intermedia!L6*intermedia!L6) - 0.0538*intermedia!L6 + 0.0043</f>
        <v>0.2235</v>
      </c>
      <c r="J6" s="45" t="s">
        <v>62</v>
      </c>
      <c r="K6" s="46">
        <f>0.273*(intermedia!N6*intermedia!N6) - 0.0538*intermedia!N6 + 0.0043</f>
        <v>0.39573000000000008</v>
      </c>
      <c r="L6" s="45" t="s">
        <v>62</v>
      </c>
      <c r="M6" s="46">
        <f>0.273*(intermedia!P6*intermedia!P6) - 0.0538*intermedia!P6 + 0.0043</f>
        <v>0.27545000000000008</v>
      </c>
      <c r="O6" s="1" t="s">
        <v>29</v>
      </c>
      <c r="P6" s="2" t="s">
        <v>51</v>
      </c>
    </row>
    <row r="7" spans="1:16" ht="18" thickTop="1" thickBot="1">
      <c r="A7" s="52">
        <v>1000</v>
      </c>
      <c r="B7" s="45" t="s">
        <v>63</v>
      </c>
      <c r="C7" s="46">
        <f>0.000000000001*(intermedia!F7*intermedia!F7)- 0.000003*(intermedia!F7) + 2.3225</f>
        <v>0.11249999999999982</v>
      </c>
      <c r="D7" s="45" t="s">
        <v>63</v>
      </c>
      <c r="E7" s="46">
        <f>0.000000000001*(intermedia!H7*intermedia!H7)- 0.000003*(intermedia!H7) + 2.3225</f>
        <v>0.59089999999999998</v>
      </c>
      <c r="F7" s="45" t="s">
        <v>63</v>
      </c>
      <c r="G7" s="46">
        <f>0.000000000001*(intermedia!J7*intermedia!J7)- 0.000003*(intermedia!J7) + 2.3225</f>
        <v>0.79499999999999993</v>
      </c>
      <c r="H7" s="45" t="s">
        <v>63</v>
      </c>
      <c r="I7" s="46">
        <f>0.000000000001*(intermedia!L7*intermedia!L7)- 0.000003*(intermedia!L7) + 2.3225</f>
        <v>1.0328999999999997</v>
      </c>
      <c r="J7" s="45" t="s">
        <v>63</v>
      </c>
      <c r="K7" s="46">
        <f>0.000000000001*(intermedia!N7*intermedia!N7)- 0.000003*(intermedia!N7) + 2.3225</f>
        <v>0.42059999999999986</v>
      </c>
      <c r="L7" s="45" t="s">
        <v>63</v>
      </c>
      <c r="M7" s="46">
        <f>0.000000000001*(intermedia!P7*intermedia!P7)- 0.000003*(intermedia!P7) + 2.3225</f>
        <v>0.28409999999999958</v>
      </c>
      <c r="O7" s="1" t="s">
        <v>30</v>
      </c>
      <c r="P7" s="2" t="s">
        <v>54</v>
      </c>
    </row>
    <row r="8" spans="1:16" ht="18" thickTop="1" thickBot="1">
      <c r="A8" s="52">
        <v>1000</v>
      </c>
      <c r="B8" s="47" t="s">
        <v>64</v>
      </c>
      <c r="C8" s="48">
        <f>-0.00003*(intermedia!F8*intermedia!F8) + 0.0081*intermedia!F8 + 0.427</f>
        <v>0.17462487700000001</v>
      </c>
      <c r="D8" s="47" t="s">
        <v>64</v>
      </c>
      <c r="E8" s="48">
        <f>-0.00003*(intermedia!H8*intermedia!H8) + 0.0081*intermedia!H8 + 0.427</f>
        <v>0.28130471572000004</v>
      </c>
      <c r="F8" s="47" t="s">
        <v>64</v>
      </c>
      <c r="G8" s="48">
        <f>-0.00003*(intermedia!J8*intermedia!J8) + 0.0081*intermedia!J8 + 0.427</f>
        <v>0.30678096924999998</v>
      </c>
      <c r="H8" s="47" t="s">
        <v>64</v>
      </c>
      <c r="I8" s="48">
        <f>-0.00003*(intermedia!L8*intermedia!L8) + 0.0081*intermedia!L8 + 0.427</f>
        <v>0.20201106036999997</v>
      </c>
      <c r="J8" s="47" t="s">
        <v>64</v>
      </c>
      <c r="K8" s="48">
        <f>-0.00003*(intermedia!N8*intermedia!N8) + 0.0081*intermedia!N8 + 0.427</f>
        <v>0.22891976127999997</v>
      </c>
      <c r="L8" s="47" t="s">
        <v>64</v>
      </c>
      <c r="M8" s="48">
        <f>-0.00003*(intermedia!P8*intermedia!P8) + 0.0081*intermedia!P8 + 0.427</f>
        <v>0.2421950558125</v>
      </c>
      <c r="O8" s="1" t="s">
        <v>31</v>
      </c>
      <c r="P8" s="2" t="s">
        <v>55</v>
      </c>
    </row>
    <row r="9" spans="1:16" ht="18" thickTop="1" thickBot="1">
      <c r="A9" s="52">
        <v>500</v>
      </c>
      <c r="B9" s="43" t="s">
        <v>58</v>
      </c>
      <c r="C9" s="44">
        <f>0.799*LN(intermedia!F9)-5.512</f>
        <v>1.2154208754806639</v>
      </c>
      <c r="D9" s="43" t="s">
        <v>58</v>
      </c>
      <c r="E9" s="44">
        <f>0.799*LN(intermedia!H9)-5.512</f>
        <v>1.8243707770661342</v>
      </c>
      <c r="F9" s="43" t="s">
        <v>58</v>
      </c>
      <c r="G9" s="44">
        <f>0.799*LN(intermedia!J9)-5.512</f>
        <v>2.1658985449128583</v>
      </c>
      <c r="H9" s="43" t="s">
        <v>58</v>
      </c>
      <c r="I9" s="44">
        <f>0.799*LN(intermedia!L9)-5.512</f>
        <v>2.4043944427691004</v>
      </c>
      <c r="J9" s="43" t="s">
        <v>58</v>
      </c>
      <c r="K9" s="44">
        <f>0.799*LN(intermedia!N9)-5.512</f>
        <v>2.5878244216430568</v>
      </c>
      <c r="L9" s="43" t="s">
        <v>58</v>
      </c>
      <c r="M9" s="44">
        <f>0.799*LN(intermedia!P9)-5.512</f>
        <v>2.7369066001518059</v>
      </c>
      <c r="O9" s="1" t="s">
        <v>32</v>
      </c>
      <c r="P9" s="2" t="s">
        <v>56</v>
      </c>
    </row>
    <row r="10" spans="1:16" ht="17" thickTop="1" thickBot="1">
      <c r="A10" s="52">
        <v>500</v>
      </c>
      <c r="B10" s="45" t="s">
        <v>59</v>
      </c>
      <c r="C10" s="46">
        <f>-0.0000000000000007*(intermedia!F10*intermedia!F10+0.00000005*intermedia!F10+0.0132)</f>
        <v>-4.1266288000000942E-3</v>
      </c>
      <c r="D10" s="45" t="s">
        <v>59</v>
      </c>
      <c r="E10" s="46">
        <f>-0.0000000000000007*(intermedia!H10*intermedia!H10+0.00000005*intermedia!H10+0.0132)</f>
        <v>-2.6410424320000773E-3</v>
      </c>
      <c r="F10" s="45" t="s">
        <v>59</v>
      </c>
      <c r="G10" s="46">
        <f>--0.0000000000000007*(intermedia!J10*intermedia!J10+0.00000005*intermedia!J10+0.0132)</f>
        <v>2.0220481120000688E-3</v>
      </c>
      <c r="H10" s="45" t="s">
        <v>59</v>
      </c>
      <c r="I10" s="46">
        <f>-0.0000000000000007*(intermedia!L10*intermedia!L10+0.00000005*intermedia!L10+0.0132)</f>
        <v>-1.0316572000000517E-3</v>
      </c>
      <c r="J10" s="45" t="s">
        <v>59</v>
      </c>
      <c r="K10" s="46">
        <f>-0.0000000000000007*(intermedia!N10*intermedia!N10+0.00000005*intermedia!N10+0.0132)</f>
        <v>-3.3425693280000864E-3</v>
      </c>
      <c r="L10" s="45" t="s">
        <v>59</v>
      </c>
      <c r="M10" s="46">
        <f>-0.0000000000000007*(intermedia!P10*intermedia!P10+0.00000005*intermedia!P10+0.0132)</f>
        <v>-1.4855863680000602E-3</v>
      </c>
    </row>
    <row r="11" spans="1:16" ht="17" thickTop="1" thickBot="1">
      <c r="A11" s="52">
        <v>500</v>
      </c>
      <c r="B11" s="45" t="s">
        <v>60</v>
      </c>
      <c r="C11" s="46">
        <f>-0.0002*(intermedia!F11*intermedia!F11) + 0.0278*intermedia!F11 - 0.1705</f>
        <v>0.78949999999999998</v>
      </c>
      <c r="D11" s="45" t="s">
        <v>60</v>
      </c>
      <c r="E11" s="46">
        <f>-0.0002*(intermedia!H11*intermedia!H11) + 0.0278*intermedia!H11 - 0.1705</f>
        <v>0.78893749999999985</v>
      </c>
      <c r="F11" s="45" t="s">
        <v>60</v>
      </c>
      <c r="G11" s="46">
        <f>-0.0002*(intermedia!J11*intermedia!J11) + 0.0278*intermedia!J11 - 0.1705</f>
        <v>0.73775000000000002</v>
      </c>
      <c r="H11" s="45" t="s">
        <v>60</v>
      </c>
      <c r="I11" s="46">
        <f>-0.0002*(intermedia!L11*intermedia!L11) + 0.0278*intermedia!L11 - 0.1705</f>
        <v>0.63593749999999993</v>
      </c>
      <c r="J11" s="45" t="s">
        <v>60</v>
      </c>
      <c r="K11" s="46">
        <f>-0.0002*(intermedia!N11*intermedia!N11) + 0.0278*intermedia!N11 - 0.1705</f>
        <v>0.48349999999999993</v>
      </c>
      <c r="L11" s="45" t="s">
        <v>60</v>
      </c>
      <c r="M11" s="46">
        <f>-0.0002*(intermedia!P11*intermedia!P11) + 0.0278*intermedia!P11 - 0.1705</f>
        <v>0.28043750000000001</v>
      </c>
    </row>
    <row r="12" spans="1:16" ht="17" thickTop="1" thickBot="1">
      <c r="A12" s="52">
        <v>500</v>
      </c>
      <c r="B12" s="45" t="s">
        <v>61</v>
      </c>
      <c r="C12" s="46">
        <f xml:space="preserve"> -0.49*LN(intermedia!F12) + 1.5102</f>
        <v>4.3662217715334517E-3</v>
      </c>
      <c r="D12" s="45" t="s">
        <v>61</v>
      </c>
      <c r="E12" s="46">
        <f xml:space="preserve"> -0.49*LN(intermedia!H12) + 1.5102</f>
        <v>0.45529907373204637</v>
      </c>
      <c r="F12" s="45" t="s">
        <v>61</v>
      </c>
      <c r="G12" s="46">
        <f xml:space="preserve"> -0.49*LN(intermedia!J12) + 1.5102</f>
        <v>0.58483567898934641</v>
      </c>
      <c r="H12" s="45" t="s">
        <v>61</v>
      </c>
      <c r="I12" s="46">
        <f xml:space="preserve"> -0.49*LN(intermedia!L12) + 1.5102</f>
        <v>1.1444534553039092</v>
      </c>
      <c r="J12" s="45" t="s">
        <v>61</v>
      </c>
      <c r="K12" s="46">
        <f xml:space="preserve"> -0.49*LN(intermedia!N12) + 1.5102</f>
        <v>1.0402239289287962</v>
      </c>
      <c r="L12" s="45" t="s">
        <v>61</v>
      </c>
      <c r="M12" s="46">
        <f xml:space="preserve"> -0.49*LN(intermedia!P12) + 1.5102</f>
        <v>0.88125949192545561</v>
      </c>
      <c r="P12">
        <f>-0.0000000000000007</f>
        <v>-7.0000000000000003E-16</v>
      </c>
    </row>
    <row r="13" spans="1:16" ht="17" thickTop="1" thickBot="1">
      <c r="A13" s="52">
        <v>500</v>
      </c>
      <c r="B13" s="45" t="s">
        <v>62</v>
      </c>
      <c r="C13" s="46">
        <f>0.273*(intermedia!F13*intermedia!F13) - 0.0538*intermedia!F13 + 0.0043</f>
        <v>0.98870000000000002</v>
      </c>
      <c r="D13" s="45" t="s">
        <v>62</v>
      </c>
      <c r="E13" s="46">
        <f>0.273*(intermedia!H13*intermedia!H13) - 0.0538*intermedia!H13 + 0.0043</f>
        <v>0.46406000000000003</v>
      </c>
      <c r="F13" s="45" t="s">
        <v>62</v>
      </c>
      <c r="G13" s="46">
        <f>0.273*(intermedia!J13*intermedia!J13) - 0.0538*intermedia!J13 + 0.0043</f>
        <v>0.79198000000000002</v>
      </c>
      <c r="H13" s="45" t="s">
        <v>62</v>
      </c>
      <c r="I13" s="46">
        <f>0.273*(intermedia!L13*intermedia!L13) - 0.0538*intermedia!L13 + 0.0043</f>
        <v>0.2235</v>
      </c>
      <c r="J13" s="45" t="s">
        <v>62</v>
      </c>
      <c r="K13" s="46">
        <f>0.273*(intermedia!N13*intermedia!N13) - 0.0538*intermedia!N13 + 0.0043</f>
        <v>0.39573000000000008</v>
      </c>
      <c r="L13" s="45" t="s">
        <v>62</v>
      </c>
      <c r="M13" s="46">
        <f>0.273*(intermedia!P13*intermedia!P13) - 0.0538*intermedia!P13 + 0.0043</f>
        <v>0.27545000000000008</v>
      </c>
    </row>
    <row r="14" spans="1:16" ht="17" thickTop="1" thickBot="1">
      <c r="A14" s="52">
        <v>500</v>
      </c>
      <c r="B14" s="45" t="s">
        <v>63</v>
      </c>
      <c r="C14" s="46">
        <f>0.000000000001*(intermedia!F14*intermedia!F14)- 0.000003*(intermedia!F14) + 2.3225</f>
        <v>0.32249999999999979</v>
      </c>
      <c r="D14" s="45" t="s">
        <v>63</v>
      </c>
      <c r="E14" s="46">
        <f>0.000000000001*(intermedia!H14*intermedia!H14)- 0.000003*(intermedia!H14) + 2.3225</f>
        <v>0.88249999999999984</v>
      </c>
      <c r="F14" s="45" t="s">
        <v>63</v>
      </c>
      <c r="G14" s="46">
        <f>0.000000000001*(intermedia!J14*intermedia!J14)- 0.000003*(intermedia!J14) + 2.3225</f>
        <v>1.0724999999999998</v>
      </c>
      <c r="H14" s="45" t="s">
        <v>63</v>
      </c>
      <c r="I14" s="46">
        <f>0.000000000001*(intermedia!L14*intermedia!L14)- 0.000003*(intermedia!L14) + 2.3225</f>
        <v>1.2824999999999998</v>
      </c>
      <c r="J14" s="45" t="s">
        <v>63</v>
      </c>
      <c r="K14" s="46">
        <f>0.000000000001*(intermedia!N14*intermedia!N14)- 0.000003*(intermedia!N14) + 2.3225</f>
        <v>0.71249999999999969</v>
      </c>
      <c r="L14" s="45" t="s">
        <v>63</v>
      </c>
      <c r="M14" s="46">
        <f>0.000000000001*(intermedia!P14*intermedia!P14)- 0.000003*(intermedia!P14) + 2.3225</f>
        <v>0.5625</v>
      </c>
    </row>
    <row r="15" spans="1:16" ht="17" thickTop="1" thickBot="1">
      <c r="A15" s="52">
        <v>500</v>
      </c>
      <c r="B15" s="47" t="s">
        <v>64</v>
      </c>
      <c r="C15" s="48">
        <f>-0.00003*(intermedia!F15*intermedia!F15) + 0.0081*intermedia!F15 + 0.427</f>
        <v>0.17462487700000001</v>
      </c>
      <c r="D15" s="47" t="s">
        <v>64</v>
      </c>
      <c r="E15" s="48">
        <f>-0.00003*(intermedia!H15*intermedia!H15) + 0.0081*intermedia!H15 + 0.427</f>
        <v>0.28130471572000004</v>
      </c>
      <c r="F15" s="47" t="s">
        <v>64</v>
      </c>
      <c r="G15" s="48">
        <f>-0.00003*(intermedia!J15*intermedia!J15) + 0.0081*intermedia!J15 + 0.427</f>
        <v>0.30678096924999998</v>
      </c>
      <c r="H15" s="47" t="s">
        <v>64</v>
      </c>
      <c r="I15" s="48">
        <f>-0.00003*(intermedia!L15*intermedia!L15) + 0.0081*intermedia!L15 + 0.427</f>
        <v>0.20201106036999997</v>
      </c>
      <c r="J15" s="47" t="s">
        <v>64</v>
      </c>
      <c r="K15" s="48">
        <f>-0.00003*(intermedia!N15*intermedia!N15) + 0.0081*intermedia!N15 + 0.427</f>
        <v>0.22891976127999997</v>
      </c>
      <c r="L15" s="47" t="s">
        <v>64</v>
      </c>
      <c r="M15" s="48">
        <f>-0.00003*(intermedia!P15*intermedia!P15) + 0.0081*intermedia!P15 + 0.427</f>
        <v>0.2421950558125</v>
      </c>
    </row>
    <row r="16" spans="1:16" ht="17" thickTop="1" thickBot="1">
      <c r="A16" s="52">
        <v>200</v>
      </c>
      <c r="B16" s="43" t="s">
        <v>58</v>
      </c>
      <c r="C16" s="44">
        <f>0.799*LN(intermedia!F16)-5.512</f>
        <v>1.0922544822986833</v>
      </c>
      <c r="D16" s="43" t="s">
        <v>58</v>
      </c>
      <c r="E16" s="44">
        <f>0.799*LN(intermedia!H16)-5.512</f>
        <v>1.76924547274806</v>
      </c>
      <c r="F16" s="43" t="s">
        <v>58</v>
      </c>
      <c r="G16" s="44">
        <f>0.799*LN(intermedia!J16)-5.512</f>
        <v>2.1303815866187623</v>
      </c>
      <c r="H16" s="43" t="s">
        <v>58</v>
      </c>
      <c r="I16" s="44">
        <f>0.799*LN(intermedia!L16)-5.512</f>
        <v>2.3781953743335311</v>
      </c>
      <c r="J16" s="43" t="s">
        <v>58</v>
      </c>
      <c r="K16" s="44">
        <f>0.799*LN(intermedia!N16)-5.512</f>
        <v>2.5670700080068523</v>
      </c>
      <c r="L16" s="43" t="s">
        <v>58</v>
      </c>
      <c r="M16" s="44">
        <f>0.799*LN(intermedia!P16)-5.512</f>
        <v>2.7197231421802561</v>
      </c>
    </row>
    <row r="17" spans="1:13" ht="17" thickTop="1" thickBot="1">
      <c r="A17" s="52">
        <v>200</v>
      </c>
      <c r="B17" s="45" t="s">
        <v>59</v>
      </c>
      <c r="C17" s="46">
        <f>-0.0000000000000007*(intermedia!F17*intermedia!F17+0.00000005*intermedia!F17+0.0132)</f>
        <v>-2.2378608000000718E-3</v>
      </c>
      <c r="D17" s="45" t="s">
        <v>59</v>
      </c>
      <c r="E17" s="46">
        <f>-0.0000000000000007*(intermedia!H17*intermedia!H17+0.00000005*intermedia!H17+0.0132)</f>
        <v>-1.4322309120000593E-3</v>
      </c>
      <c r="F17" s="45" t="s">
        <v>59</v>
      </c>
      <c r="G17" s="46">
        <f>--0.0000000000000007*(intermedia!J17*intermedia!J17+0.00000005*intermedia!J17+0.0132)</f>
        <v>1.0965517920000531E-3</v>
      </c>
      <c r="H17" s="45" t="s">
        <v>59</v>
      </c>
      <c r="I17" s="46">
        <f>-0.0000000000000007*(intermedia!L17*intermedia!L17+0.00000005*intermedia!L17+0.0132)</f>
        <v>-5.5946520000004049E-4</v>
      </c>
      <c r="J17" s="45" t="s">
        <v>59</v>
      </c>
      <c r="K17" s="46">
        <f>-0.0000000000000007*(intermedia!N17*intermedia!N17+0.00000005*intermedia!N17+0.0132)</f>
        <v>-1.8126672480000658E-3</v>
      </c>
      <c r="L17" s="45" t="s">
        <v>59</v>
      </c>
      <c r="M17" s="46">
        <f>-0.0000000000000007*(intermedia!P17*intermedia!P17+0.00000005*intermedia!P17+0.0132)</f>
        <v>-8.0562988800004685E-4</v>
      </c>
    </row>
    <row r="18" spans="1:13" ht="17" thickTop="1" thickBot="1">
      <c r="A18" s="52">
        <v>200</v>
      </c>
      <c r="B18" s="45" t="s">
        <v>60</v>
      </c>
      <c r="C18" s="46">
        <f>-0.0002*(intermedia!F18*intermedia!F18) + 0.0278*intermedia!F18 - 0.1705</f>
        <v>0.78949999999999998</v>
      </c>
      <c r="D18" s="45" t="s">
        <v>60</v>
      </c>
      <c r="E18" s="46">
        <f>-0.0002*(intermedia!H18*intermedia!H18) + 0.0278*intermedia!H18 - 0.1705</f>
        <v>0.78893749999999985</v>
      </c>
      <c r="F18" s="45" t="s">
        <v>60</v>
      </c>
      <c r="G18" s="46">
        <f>-0.0002*(intermedia!J18*intermedia!J18) + 0.0278*intermedia!J18 - 0.1705</f>
        <v>0.73775000000000002</v>
      </c>
      <c r="H18" s="45" t="s">
        <v>60</v>
      </c>
      <c r="I18" s="46">
        <f>-0.0002*(intermedia!L18*intermedia!L18) + 0.0278*intermedia!L18 - 0.1705</f>
        <v>0.63593749999999993</v>
      </c>
      <c r="J18" s="45" t="s">
        <v>60</v>
      </c>
      <c r="K18" s="46">
        <f>-0.0002*(intermedia!N18*intermedia!N18) + 0.0278*intermedia!N18 - 0.1705</f>
        <v>0.48349999999999993</v>
      </c>
      <c r="L18" s="45" t="s">
        <v>60</v>
      </c>
      <c r="M18" s="46">
        <f>-0.0002*(intermedia!P18*intermedia!P18) + 0.0278*intermedia!P18 - 0.1705</f>
        <v>0.28043750000000001</v>
      </c>
    </row>
    <row r="19" spans="1:13" ht="17" thickTop="1" thickBot="1">
      <c r="A19" s="52">
        <v>200</v>
      </c>
      <c r="B19" s="45" t="s">
        <v>61</v>
      </c>
      <c r="C19" s="46">
        <f xml:space="preserve"> -0.49*LN(intermedia!F19) + 1.5102</f>
        <v>4.3662217715334517E-3</v>
      </c>
      <c r="D19" s="45" t="s">
        <v>61</v>
      </c>
      <c r="E19" s="46">
        <f xml:space="preserve"> -0.49*LN(intermedia!H19) + 1.5102</f>
        <v>0.45529907373204637</v>
      </c>
      <c r="F19" s="45" t="s">
        <v>61</v>
      </c>
      <c r="G19" s="46">
        <f xml:space="preserve"> -0.49*LN(intermedia!J19) + 1.5102</f>
        <v>0.58483567898934641</v>
      </c>
      <c r="H19" s="45" t="s">
        <v>61</v>
      </c>
      <c r="I19" s="46">
        <f xml:space="preserve"> -0.49*LN(intermedia!L19) + 1.5102</f>
        <v>1.1444534553039092</v>
      </c>
      <c r="J19" s="45" t="s">
        <v>61</v>
      </c>
      <c r="K19" s="46">
        <f xml:space="preserve"> -0.49*LN(intermedia!N19) + 1.5102</f>
        <v>1.0402239289287962</v>
      </c>
      <c r="L19" s="45" t="s">
        <v>61</v>
      </c>
      <c r="M19" s="46">
        <f xml:space="preserve"> -0.49*LN(intermedia!P19) + 1.5102</f>
        <v>0.88125949192545561</v>
      </c>
    </row>
    <row r="20" spans="1:13" ht="17" thickTop="1" thickBot="1">
      <c r="A20" s="52">
        <v>200</v>
      </c>
      <c r="B20" s="45" t="s">
        <v>62</v>
      </c>
      <c r="C20" s="46">
        <f>0.273*(intermedia!F20*intermedia!F20) - 0.0538*intermedia!F20 + 0.0043</f>
        <v>0.98870000000000002</v>
      </c>
      <c r="D20" s="45" t="s">
        <v>62</v>
      </c>
      <c r="E20" s="46">
        <f>0.273*(intermedia!H20*intermedia!H20) - 0.0538*intermedia!H20 + 0.0043</f>
        <v>0.46406000000000003</v>
      </c>
      <c r="F20" s="45" t="s">
        <v>62</v>
      </c>
      <c r="G20" s="46">
        <f>0.273*(intermedia!J20*intermedia!J20) - 0.0538*intermedia!J20 + 0.0043</f>
        <v>0.79198000000000002</v>
      </c>
      <c r="H20" s="45" t="s">
        <v>62</v>
      </c>
      <c r="I20" s="46">
        <f>0.273*(intermedia!L20*intermedia!L20) - 0.0538*intermedia!L20 + 0.0043</f>
        <v>0.2235</v>
      </c>
      <c r="J20" s="45" t="s">
        <v>62</v>
      </c>
      <c r="K20" s="46">
        <f>0.273*(intermedia!N20*intermedia!N20) - 0.0538*intermedia!N20 + 0.0043</f>
        <v>0.39573000000000008</v>
      </c>
      <c r="L20" s="45" t="s">
        <v>62</v>
      </c>
      <c r="M20" s="46">
        <f>0.273*(intermedia!P20*intermedia!P20) - 0.0538*intermedia!P20 + 0.0043</f>
        <v>0.27545000000000008</v>
      </c>
    </row>
    <row r="21" spans="1:13" ht="17" thickTop="1" thickBot="1">
      <c r="A21" s="52">
        <v>200</v>
      </c>
      <c r="B21" s="45" t="s">
        <v>63</v>
      </c>
      <c r="C21" s="46">
        <f>0.000000000001*(intermedia!F21*intermedia!F21)- 0.000003*(intermedia!F21) + 2.3225</f>
        <v>0.43249999999999966</v>
      </c>
      <c r="D21" s="45" t="s">
        <v>63</v>
      </c>
      <c r="E21" s="46">
        <f>0.000000000001*(intermedia!H21*intermedia!H21)- 0.000003*(intermedia!H21) + 2.3225</f>
        <v>0.99409999999999954</v>
      </c>
      <c r="F21" s="45" t="s">
        <v>63</v>
      </c>
      <c r="G21" s="46">
        <f>0.000000000001*(intermedia!J21*intermedia!J21)- 0.000003*(intermedia!J21) + 2.3225</f>
        <v>1.1749999999999996</v>
      </c>
      <c r="H21" s="45" t="s">
        <v>63</v>
      </c>
      <c r="I21" s="46">
        <f>0.000000000001*(intermedia!L21*intermedia!L21)- 0.000003*(intermedia!L21) + 2.3225</f>
        <v>1.3720999999999997</v>
      </c>
      <c r="J21" s="45" t="s">
        <v>63</v>
      </c>
      <c r="K21" s="46">
        <f>0.000000000001*(intermedia!N21*intermedia!N21)- 0.000003*(intermedia!N21) + 2.3225</f>
        <v>0.82939999999999969</v>
      </c>
      <c r="L21" s="45" t="s">
        <v>63</v>
      </c>
      <c r="M21" s="46">
        <f>0.000000000001*(intermedia!P21*intermedia!P21)- 0.000003*(intermedia!P21) + 2.3225</f>
        <v>0.68089999999999962</v>
      </c>
    </row>
    <row r="22" spans="1:13" ht="17" thickTop="1" thickBot="1">
      <c r="A22" s="52">
        <v>200</v>
      </c>
      <c r="B22" s="47" t="s">
        <v>64</v>
      </c>
      <c r="C22" s="48">
        <f>-0.00003*(intermedia!F22*intermedia!F22) + 0.0081*intermedia!F22 + 0.427</f>
        <v>0.17462487700000001</v>
      </c>
      <c r="D22" s="47" t="s">
        <v>64</v>
      </c>
      <c r="E22" s="48">
        <f>-0.00003*(intermedia!H22*intermedia!H22) + 0.0081*intermedia!H22 + 0.427</f>
        <v>0.28130471572000004</v>
      </c>
      <c r="F22" s="47" t="s">
        <v>64</v>
      </c>
      <c r="G22" s="48">
        <f>-0.00003*(intermedia!J22*intermedia!J22) + 0.0081*intermedia!J22 + 0.427</f>
        <v>0.30678096924999998</v>
      </c>
      <c r="H22" s="47" t="s">
        <v>64</v>
      </c>
      <c r="I22" s="48">
        <f>-0.00003*(intermedia!L22*intermedia!L22) + 0.0081*intermedia!L22 + 0.427</f>
        <v>0.20201106036999997</v>
      </c>
      <c r="J22" s="47" t="s">
        <v>64</v>
      </c>
      <c r="K22" s="48">
        <f>-0.00003*(intermedia!N22*intermedia!N22) + 0.0081*intermedia!N22 + 0.427</f>
        <v>0.22891976127999997</v>
      </c>
      <c r="L22" s="47" t="s">
        <v>64</v>
      </c>
      <c r="M22" s="48">
        <f>-0.00003*(intermedia!P22*intermedia!P22) + 0.0081*intermedia!P22 + 0.427</f>
        <v>0.2421950558125</v>
      </c>
    </row>
    <row r="23" spans="1:13" ht="17" thickTop="1" thickBot="1">
      <c r="A23" s="52">
        <v>100</v>
      </c>
      <c r="B23" s="43" t="s">
        <v>58</v>
      </c>
      <c r="C23" s="44">
        <f>0.799*LN(intermedia!F23)-5.512</f>
        <v>0.94657955842031516</v>
      </c>
      <c r="D23" s="43" t="s">
        <v>58</v>
      </c>
      <c r="E23" s="44">
        <f>0.799*LN(intermedia!H23)-5.512</f>
        <v>1.7100332029972352</v>
      </c>
      <c r="F23" s="43" t="s">
        <v>58</v>
      </c>
      <c r="G23" s="44">
        <f>0.799*LN(intermedia!J23)-5.512</f>
        <v>2.0932120941264829</v>
      </c>
      <c r="H23" s="43" t="s">
        <v>58</v>
      </c>
      <c r="I23" s="44">
        <f>0.799*LN(intermedia!L23)-5.512</f>
        <v>2.3511080345446613</v>
      </c>
      <c r="J23" s="43" t="s">
        <v>58</v>
      </c>
      <c r="K23" s="44">
        <f>0.799*LN(intermedia!N23)-5.512</f>
        <v>2.5457620785882051</v>
      </c>
      <c r="L23" s="43" t="s">
        <v>58</v>
      </c>
      <c r="M23" s="44">
        <f>0.799*LN(intermedia!P23)-5.512</f>
        <v>2.7021619957119549</v>
      </c>
    </row>
    <row r="24" spans="1:13" ht="17" thickTop="1" thickBot="1">
      <c r="A24" s="52">
        <v>100</v>
      </c>
      <c r="B24" s="45" t="s">
        <v>59</v>
      </c>
      <c r="C24" s="46">
        <f>-0.0000000000000007*(intermedia!F24*intermedia!F24+0.00000005*intermedia!F24+0.0132)</f>
        <v>-1.6003008000000623E-3</v>
      </c>
      <c r="D24" s="45" t="s">
        <v>59</v>
      </c>
      <c r="E24" s="46">
        <f>-0.0000000000000007*(intermedia!H24*intermedia!H24+0.00000005*intermedia!H24+0.0132)</f>
        <v>-1.0241925120000517E-3</v>
      </c>
      <c r="F24" s="45" t="s">
        <v>59</v>
      </c>
      <c r="G24" s="46">
        <f>--0.0000000000000007*(intermedia!J24*intermedia!J24+0.00000005*intermedia!J24+0.0132)</f>
        <v>7.8414739200004637E-4</v>
      </c>
      <c r="H24" s="45" t="s">
        <v>59</v>
      </c>
      <c r="I24" s="46">
        <f>-0.0000000000000007*(intermedia!L24*intermedia!L24+0.00000005*intermedia!L24+0.0132)</f>
        <v>-4.0007520000003575E-4</v>
      </c>
      <c r="J24" s="45" t="s">
        <v>59</v>
      </c>
      <c r="K24" s="46">
        <f>-0.0000000000000007*(intermedia!N24*intermedia!N24+0.00000005*intermedia!N24+0.0132)</f>
        <v>-1.2962436480000569E-3</v>
      </c>
      <c r="L24" s="45" t="s">
        <v>59</v>
      </c>
      <c r="M24" s="46">
        <f>-0.0000000000000007*(intermedia!P24*intermedia!P24+0.00000005*intermedia!P24+0.0132)</f>
        <v>-5.7610828800004101E-4</v>
      </c>
    </row>
    <row r="25" spans="1:13" ht="17" thickTop="1" thickBot="1">
      <c r="A25" s="52">
        <v>100</v>
      </c>
      <c r="B25" s="45" t="s">
        <v>60</v>
      </c>
      <c r="C25" s="46">
        <f>-0.0002*(intermedia!F25*intermedia!F25) + 0.0278*intermedia!F25 - 0.1705</f>
        <v>0.78949999999999998</v>
      </c>
      <c r="D25" s="45" t="s">
        <v>60</v>
      </c>
      <c r="E25" s="46">
        <f>-0.0002*(intermedia!H25*intermedia!H25) + 0.0278*intermedia!H25 - 0.1705</f>
        <v>0.78893749999999985</v>
      </c>
      <c r="F25" s="45" t="s">
        <v>60</v>
      </c>
      <c r="G25" s="46">
        <f>-0.0002*(intermedia!J25*intermedia!J25) + 0.0278*intermedia!J25 - 0.1705</f>
        <v>0.73775000000000002</v>
      </c>
      <c r="H25" s="45" t="s">
        <v>60</v>
      </c>
      <c r="I25" s="46">
        <f>-0.0002*(intermedia!L25*intermedia!L25) + 0.0278*intermedia!L25 - 0.1705</f>
        <v>0.63593749999999993</v>
      </c>
      <c r="J25" s="45" t="s">
        <v>60</v>
      </c>
      <c r="K25" s="46">
        <f>-0.0002*(intermedia!N25*intermedia!N25) + 0.0278*intermedia!N25 - 0.1705</f>
        <v>0.48349999999999993</v>
      </c>
      <c r="L25" s="45" t="s">
        <v>60</v>
      </c>
      <c r="M25" s="46">
        <f>-0.0002*(intermedia!P25*intermedia!P25) + 0.0278*intermedia!P25 - 0.1705</f>
        <v>0.28043750000000001</v>
      </c>
    </row>
    <row r="26" spans="1:13" ht="17" thickTop="1" thickBot="1">
      <c r="A26" s="52">
        <v>100</v>
      </c>
      <c r="B26" s="45" t="s">
        <v>61</v>
      </c>
      <c r="C26" s="46">
        <f xml:space="preserve"> -0.49*LN(intermedia!F26) + 1.5102</f>
        <v>4.3662217715334517E-3</v>
      </c>
      <c r="D26" s="45" t="s">
        <v>61</v>
      </c>
      <c r="E26" s="46">
        <f xml:space="preserve"> -0.49*LN(intermedia!H26) + 1.5102</f>
        <v>0.45529907373204637</v>
      </c>
      <c r="F26" s="45" t="s">
        <v>61</v>
      </c>
      <c r="G26" s="46">
        <f xml:space="preserve"> -0.49*LN(intermedia!J26) + 1.5102</f>
        <v>0.58483567898934641</v>
      </c>
      <c r="H26" s="45" t="s">
        <v>61</v>
      </c>
      <c r="I26" s="46">
        <f xml:space="preserve"> -0.49*LN(intermedia!L26) + 1.5102</f>
        <v>1.1444534553039092</v>
      </c>
      <c r="J26" s="45" t="s">
        <v>61</v>
      </c>
      <c r="K26" s="46">
        <f xml:space="preserve"> -0.49*LN(intermedia!N26) + 1.5102</f>
        <v>1.0402239289287962</v>
      </c>
      <c r="L26" s="45" t="s">
        <v>61</v>
      </c>
      <c r="M26" s="46">
        <f xml:space="preserve"> -0.49*LN(intermedia!P26) + 1.5102</f>
        <v>0.88125949192545561</v>
      </c>
    </row>
    <row r="27" spans="1:13" ht="17" thickTop="1" thickBot="1">
      <c r="A27" s="52">
        <v>100</v>
      </c>
      <c r="B27" s="45" t="s">
        <v>62</v>
      </c>
      <c r="C27" s="46">
        <f>0.273*(intermedia!F27*intermedia!F27) - 0.0538*intermedia!F27 + 0.0043</f>
        <v>0.98870000000000002</v>
      </c>
      <c r="D27" s="45" t="s">
        <v>62</v>
      </c>
      <c r="E27" s="46">
        <f>0.273*(intermedia!H27*intermedia!H27) - 0.0538*intermedia!H27 + 0.0043</f>
        <v>0.46406000000000003</v>
      </c>
      <c r="F27" s="45" t="s">
        <v>62</v>
      </c>
      <c r="G27" s="46">
        <f>0.273*(intermedia!J27*intermedia!J27) - 0.0538*intermedia!J27 + 0.0043</f>
        <v>0.79198000000000002</v>
      </c>
      <c r="H27" s="45" t="s">
        <v>62</v>
      </c>
      <c r="I27" s="46">
        <f>0.273*(intermedia!L27*intermedia!L27) - 0.0538*intermedia!L27 + 0.0043</f>
        <v>0.2235</v>
      </c>
      <c r="J27" s="45" t="s">
        <v>62</v>
      </c>
      <c r="K27" s="46">
        <f>0.273*(intermedia!N27*intermedia!N27) - 0.0538*intermedia!N27 + 0.0043</f>
        <v>0.39573000000000008</v>
      </c>
      <c r="L27" s="45" t="s">
        <v>62</v>
      </c>
      <c r="M27" s="46">
        <f>0.273*(intermedia!P27*intermedia!P27) - 0.0538*intermedia!P27 + 0.0043</f>
        <v>0.27545000000000008</v>
      </c>
    </row>
    <row r="28" spans="1:13" ht="17" thickTop="1" thickBot="1">
      <c r="A28" s="52">
        <v>100</v>
      </c>
      <c r="B28" s="45" t="s">
        <v>63</v>
      </c>
      <c r="C28" s="46">
        <f>0.000000000001*(intermedia!F28*intermedia!F28)- 0.000003*(intermedia!F28) + 2.3225</f>
        <v>0.5625</v>
      </c>
      <c r="D28" s="45" t="s">
        <v>63</v>
      </c>
      <c r="E28" s="46">
        <f>0.000000000001*(intermedia!H28*intermedia!H28)- 0.000003*(intermedia!H28) + 2.3225</f>
        <v>1.1128999999999998</v>
      </c>
      <c r="F28" s="45" t="s">
        <v>63</v>
      </c>
      <c r="G28" s="46">
        <f>0.000000000001*(intermedia!J28*intermedia!J28)- 0.000003*(intermedia!J28) + 2.3225</f>
        <v>1.2824999999999998</v>
      </c>
      <c r="H28" s="45" t="s">
        <v>63</v>
      </c>
      <c r="I28" s="46">
        <f>0.000000000001*(intermedia!L28*intermedia!L28)- 0.000003*(intermedia!L28) + 2.3225</f>
        <v>1.4648999999999996</v>
      </c>
      <c r="J28" s="45" t="s">
        <v>63</v>
      </c>
      <c r="K28" s="46">
        <f>0.000000000001*(intermedia!N28*intermedia!N28)- 0.000003*(intermedia!N28) + 2.3225</f>
        <v>0.95609999999999973</v>
      </c>
      <c r="L28" s="45" t="s">
        <v>63</v>
      </c>
      <c r="M28" s="46">
        <f>0.000000000001*(intermedia!P28*intermedia!P28)- 0.000003*(intermedia!P28) + 2.3225</f>
        <v>0.8120999999999996</v>
      </c>
    </row>
    <row r="29" spans="1:13" ht="17" thickTop="1" thickBot="1">
      <c r="A29" s="52">
        <v>100</v>
      </c>
      <c r="B29" s="47" t="s">
        <v>64</v>
      </c>
      <c r="C29" s="48">
        <f>-0.00003*(intermedia!F29*intermedia!F29) + 0.0081*intermedia!F29 + 0.427</f>
        <v>0.17462487700000001</v>
      </c>
      <c r="D29" s="47" t="s">
        <v>64</v>
      </c>
      <c r="E29" s="48">
        <f>-0.00003*(intermedia!H29*intermedia!H29) + 0.0081*intermedia!H29 + 0.427</f>
        <v>0.28130471572000004</v>
      </c>
      <c r="F29" s="47" t="s">
        <v>64</v>
      </c>
      <c r="G29" s="48">
        <f>-0.00003*(intermedia!J29*intermedia!J29) + 0.0081*intermedia!J29 + 0.427</f>
        <v>0.30678096924999998</v>
      </c>
      <c r="H29" s="47" t="s">
        <v>64</v>
      </c>
      <c r="I29" s="48">
        <f>-0.00003*(intermedia!L29*intermedia!L29) + 0.0081*intermedia!L29 + 0.427</f>
        <v>0.20201106036999997</v>
      </c>
      <c r="J29" s="47" t="s">
        <v>64</v>
      </c>
      <c r="K29" s="48">
        <f>-0.00003*(intermedia!N29*intermedia!N29) + 0.0081*intermedia!N29 + 0.427</f>
        <v>0.22891976127999997</v>
      </c>
      <c r="L29" s="47" t="s">
        <v>64</v>
      </c>
      <c r="M29" s="48">
        <f>-0.00003*(intermedia!P29*intermedia!P29) + 0.0081*intermedia!P29 + 0.427</f>
        <v>0.2421950558125</v>
      </c>
    </row>
    <row r="30" spans="1:13" ht="17" thickTop="1" thickBot="1">
      <c r="A30" s="52">
        <v>50</v>
      </c>
      <c r="B30" s="43" t="s">
        <v>58</v>
      </c>
      <c r="C30" s="44">
        <f>0.799*LN(intermedia!F30)-5.512</f>
        <v>0.76828786092026036</v>
      </c>
      <c r="D30" s="43" t="s">
        <v>58</v>
      </c>
      <c r="E30" s="44">
        <f>0.799*LN(intermedia!H30)-5.512</f>
        <v>1.6460790795660802</v>
      </c>
      <c r="F30" s="43" t="s">
        <v>58</v>
      </c>
      <c r="G30" s="44">
        <f>0.799*LN(intermedia!J30)-5.512</f>
        <v>2.0542287529551064</v>
      </c>
      <c r="H30" s="43" t="s">
        <v>58</v>
      </c>
      <c r="I30" s="44">
        <f>0.799*LN(intermedia!L30)-5.512</f>
        <v>2.3230700700154561</v>
      </c>
      <c r="J30" s="43" t="s">
        <v>58</v>
      </c>
      <c r="K30" s="44">
        <f>0.799*LN(intermedia!N30)-5.512</f>
        <v>2.523870298211901</v>
      </c>
      <c r="L30" s="43" t="s">
        <v>58</v>
      </c>
      <c r="M30" s="44">
        <f>0.799*LN(intermedia!P30)-5.512</f>
        <v>2.6842061838861584</v>
      </c>
    </row>
    <row r="31" spans="1:13" ht="17" thickTop="1" thickBot="1">
      <c r="A31" s="52">
        <v>50</v>
      </c>
      <c r="B31" s="45" t="s">
        <v>59</v>
      </c>
      <c r="C31" s="46">
        <f>-0.0000000000000007*(intermedia!F31*intermedia!F31+0.00000005*intermedia!F31+0.0132)</f>
        <v>-8.9858230000004887E-4</v>
      </c>
      <c r="D31" s="45" t="s">
        <v>59</v>
      </c>
      <c r="E31" s="46">
        <f>-0.0000000000000007*(intermedia!H31*intermedia!H31+0.00000005*intermedia!H31+0.0132)</f>
        <v>-5.7509267200004093E-4</v>
      </c>
      <c r="F31" s="45" t="s">
        <v>59</v>
      </c>
      <c r="G31" s="46">
        <f>--0.0000000000000007*(intermedia!J31*intermedia!J31+0.00000005*intermedia!J31+0.0132)</f>
        <v>4.4030532700003701E-4</v>
      </c>
      <c r="H31" s="45" t="s">
        <v>59</v>
      </c>
      <c r="I31" s="46">
        <f>-0.0000000000000007*(intermedia!L31*intermedia!L31+0.00000005*intermedia!L31+0.0132)</f>
        <v>-2.2464557500002905E-4</v>
      </c>
      <c r="J31" s="45" t="s">
        <v>59</v>
      </c>
      <c r="K31" s="46">
        <f>-0.0000000000000007*(intermedia!N31*intermedia!N31+0.00000005*intermedia!N31+0.0132)</f>
        <v>-7.2785166300004501E-4</v>
      </c>
      <c r="L31" s="45" t="s">
        <v>59</v>
      </c>
      <c r="M31" s="46">
        <f>-0.0000000000000007*(intermedia!P31*intermedia!P31+0.00000005*intermedia!P31+0.0132)</f>
        <v>-3.2348962800003304E-4</v>
      </c>
    </row>
    <row r="32" spans="1:13" ht="17" thickTop="1" thickBot="1">
      <c r="A32" s="52">
        <v>50</v>
      </c>
      <c r="B32" s="45" t="s">
        <v>60</v>
      </c>
      <c r="C32" s="46">
        <f>-0.0002*(intermedia!F32*intermedia!F32) + 0.0278*intermedia!F32 - 0.1705</f>
        <v>0.78949999999999998</v>
      </c>
      <c r="D32" s="45" t="s">
        <v>60</v>
      </c>
      <c r="E32" s="46">
        <f>-0.0002*(intermedia!H32*intermedia!H32) + 0.0278*intermedia!H32 - 0.1705</f>
        <v>0.78893749999999985</v>
      </c>
      <c r="F32" s="45" t="s">
        <v>60</v>
      </c>
      <c r="G32" s="46">
        <f>-0.0002*(intermedia!J32*intermedia!J32) + 0.0278*intermedia!J32 - 0.1705</f>
        <v>0.73775000000000002</v>
      </c>
      <c r="H32" s="45" t="s">
        <v>60</v>
      </c>
      <c r="I32" s="46">
        <f>-0.0002*(intermedia!L32*intermedia!L32) + 0.0278*intermedia!L32 - 0.1705</f>
        <v>0.63593749999999993</v>
      </c>
      <c r="J32" s="45" t="s">
        <v>60</v>
      </c>
      <c r="K32" s="46">
        <f>-0.0002*(intermedia!N32*intermedia!N32) + 0.0278*intermedia!N32 - 0.1705</f>
        <v>0.48349999999999993</v>
      </c>
      <c r="L32" s="45" t="s">
        <v>60</v>
      </c>
      <c r="M32" s="46">
        <f>-0.0002*(intermedia!P32*intermedia!P32) + 0.0278*intermedia!P32 - 0.1705</f>
        <v>0.28043750000000001</v>
      </c>
    </row>
    <row r="33" spans="1:13" ht="17" thickTop="1" thickBot="1">
      <c r="A33" s="52">
        <v>50</v>
      </c>
      <c r="B33" s="45" t="s">
        <v>61</v>
      </c>
      <c r="C33" s="46">
        <f xml:space="preserve"> -0.49*LN(intermedia!F33) + 1.5102</f>
        <v>4.3662217715334517E-3</v>
      </c>
      <c r="D33" s="45" t="s">
        <v>61</v>
      </c>
      <c r="E33" s="46">
        <f xml:space="preserve"> -0.49*LN(intermedia!H33) + 1.5102</f>
        <v>0.45529907373204637</v>
      </c>
      <c r="F33" s="45" t="s">
        <v>61</v>
      </c>
      <c r="G33" s="46">
        <f xml:space="preserve"> -0.49*LN(intermedia!J33) + 1.5102</f>
        <v>0.58483567898934641</v>
      </c>
      <c r="H33" s="45" t="s">
        <v>61</v>
      </c>
      <c r="I33" s="46">
        <f xml:space="preserve"> -0.49*LN(intermedia!L33) + 1.5102</f>
        <v>1.1444534553039092</v>
      </c>
      <c r="J33" s="45" t="s">
        <v>61</v>
      </c>
      <c r="K33" s="46">
        <f xml:space="preserve"> -0.49*LN(intermedia!N33) + 1.5102</f>
        <v>1.0402239289287962</v>
      </c>
      <c r="L33" s="45" t="s">
        <v>61</v>
      </c>
      <c r="M33" s="46">
        <f xml:space="preserve"> -0.49*LN(intermedia!P33) + 1.5102</f>
        <v>0.88125949192545561</v>
      </c>
    </row>
    <row r="34" spans="1:13" ht="17" thickTop="1" thickBot="1">
      <c r="A34" s="52">
        <v>50</v>
      </c>
      <c r="B34" s="45" t="s">
        <v>62</v>
      </c>
      <c r="C34" s="46">
        <f>0.273*(intermedia!F34*intermedia!F34) - 0.0538*intermedia!F34 + 0.0043</f>
        <v>0.98870000000000002</v>
      </c>
      <c r="D34" s="45" t="s">
        <v>62</v>
      </c>
      <c r="E34" s="46">
        <f>0.273*(intermedia!H34*intermedia!H34) - 0.0538*intermedia!H34 + 0.0043</f>
        <v>0.46406000000000003</v>
      </c>
      <c r="F34" s="45" t="s">
        <v>62</v>
      </c>
      <c r="G34" s="46">
        <f>0.273*(intermedia!J34*intermedia!J34) - 0.0538*intermedia!J34 + 0.0043</f>
        <v>0.79198000000000002</v>
      </c>
      <c r="H34" s="45" t="s">
        <v>62</v>
      </c>
      <c r="I34" s="46">
        <f>0.273*(intermedia!L34*intermedia!L34) - 0.0538*intermedia!L34 + 0.0043</f>
        <v>0.2235</v>
      </c>
      <c r="J34" s="45" t="s">
        <v>62</v>
      </c>
      <c r="K34" s="46">
        <f>0.273*(intermedia!N34*intermedia!N34) - 0.0538*intermedia!N34 + 0.0043</f>
        <v>0.39573000000000008</v>
      </c>
      <c r="L34" s="45" t="s">
        <v>62</v>
      </c>
      <c r="M34" s="46">
        <f>0.273*(intermedia!P34*intermedia!P34) - 0.0538*intermedia!P34 + 0.0043</f>
        <v>0.27545000000000008</v>
      </c>
    </row>
    <row r="35" spans="1:13" ht="17" thickTop="1" thickBot="1">
      <c r="A35" s="52">
        <v>50</v>
      </c>
      <c r="B35" s="45" t="s">
        <v>63</v>
      </c>
      <c r="C35" s="46">
        <f>0.000000000001*(intermedia!F35*intermedia!F35)- 0.000003*(intermedia!F35) + 2.3225</f>
        <v>0.71249999999999969</v>
      </c>
      <c r="D35" s="45" t="s">
        <v>63</v>
      </c>
      <c r="E35" s="46">
        <f>0.000000000001*(intermedia!H35*intermedia!H35)- 0.000003*(intermedia!H35) + 2.3225</f>
        <v>1.2388999999999997</v>
      </c>
      <c r="F35" s="45" t="s">
        <v>63</v>
      </c>
      <c r="G35" s="46">
        <f>0.000000000001*(intermedia!J35*intermedia!J35)- 0.000003*(intermedia!J35) + 2.3225</f>
        <v>1.3949999999999998</v>
      </c>
      <c r="H35" s="45" t="s">
        <v>63</v>
      </c>
      <c r="I35" s="46">
        <f>0.000000000001*(intermedia!L35*intermedia!L35)- 0.000003*(intermedia!L35) + 2.3225</f>
        <v>1.5608999999999997</v>
      </c>
      <c r="J35" s="45" t="s">
        <v>63</v>
      </c>
      <c r="K35" s="46">
        <f>0.000000000001*(intermedia!N35*intermedia!N35)- 0.000003*(intermedia!N35) + 2.3225</f>
        <v>1.0925999999999998</v>
      </c>
      <c r="L35" s="45" t="s">
        <v>63</v>
      </c>
      <c r="M35" s="46">
        <f>0.000000000001*(intermedia!P35*intermedia!P35)- 0.000003*(intermedia!P35) + 2.3225</f>
        <v>0.95609999999999973</v>
      </c>
    </row>
    <row r="36" spans="1:13" ht="17" thickTop="1" thickBot="1">
      <c r="A36" s="52">
        <v>50</v>
      </c>
      <c r="B36" s="47" t="s">
        <v>64</v>
      </c>
      <c r="C36" s="48">
        <f>-0.00003*(intermedia!F36*intermedia!F36) + 0.0081*intermedia!F36 + 0.427</f>
        <v>0.17462487700000001</v>
      </c>
      <c r="D36" s="47" t="s">
        <v>64</v>
      </c>
      <c r="E36" s="48">
        <f>-0.00003*(intermedia!H36*intermedia!H36) + 0.0081*intermedia!H36 + 0.427</f>
        <v>0.28130471572000004</v>
      </c>
      <c r="F36" s="47" t="s">
        <v>64</v>
      </c>
      <c r="G36" s="48">
        <f>-0.00003*(intermedia!J36*intermedia!J36) + 0.0081*intermedia!J36 + 0.427</f>
        <v>0.30678096924999998</v>
      </c>
      <c r="H36" s="47" t="s">
        <v>64</v>
      </c>
      <c r="I36" s="48">
        <f>-0.00003*(intermedia!L36*intermedia!L36) + 0.0081*intermedia!L36 + 0.427</f>
        <v>0.20201106036999997</v>
      </c>
      <c r="J36" s="47" t="s">
        <v>64</v>
      </c>
      <c r="K36" s="48">
        <f>-0.00003*(intermedia!N36*intermedia!N36) + 0.0081*intermedia!N36 + 0.427</f>
        <v>0.22891976127999997</v>
      </c>
      <c r="L36" s="47" t="s">
        <v>64</v>
      </c>
      <c r="M36" s="48">
        <f>-0.00003*(intermedia!P36*intermedia!P36) + 0.0081*intermedia!P36 + 0.427</f>
        <v>0.2421950558125</v>
      </c>
    </row>
    <row r="37" spans="1:13" ht="17" thickTop="1" thickBot="1">
      <c r="A37" s="53">
        <v>20</v>
      </c>
      <c r="B37" s="43" t="s">
        <v>58</v>
      </c>
      <c r="C37" s="44">
        <f>0.799*LN(intermedia!F37)-5.512</f>
        <v>0.53842988503128808</v>
      </c>
      <c r="D37" s="43" t="s">
        <v>58</v>
      </c>
      <c r="E37" s="44">
        <f>0.799*LN(intermedia!H37)-5.512</f>
        <v>1.5765569893513662</v>
      </c>
      <c r="F37" s="43" t="s">
        <v>58</v>
      </c>
      <c r="G37" s="44">
        <f>0.799*LN(intermedia!J37)-5.512</f>
        <v>2.0132454107394535</v>
      </c>
      <c r="H37" s="43" t="s">
        <v>58</v>
      </c>
      <c r="I37" s="44">
        <f>0.799*LN(intermedia!L37)-5.512</f>
        <v>2.294012322322927</v>
      </c>
      <c r="J37" s="43" t="s">
        <v>58</v>
      </c>
      <c r="K37" s="44">
        <f>0.799*LN(intermedia!N37)-5.512</f>
        <v>2.5013617675155109</v>
      </c>
      <c r="L37" s="43" t="s">
        <v>58</v>
      </c>
      <c r="M37" s="44">
        <f>0.799*LN(intermedia!P37)-5.512</f>
        <v>2.6658375588246264</v>
      </c>
    </row>
    <row r="38" spans="1:13" ht="17" thickTop="1" thickBot="1">
      <c r="A38" s="53">
        <v>20</v>
      </c>
      <c r="B38" s="45" t="s">
        <v>59</v>
      </c>
      <c r="C38" s="46">
        <f>-0.0000000000000007*(intermedia!F38*intermedia!F38+0.00000005*intermedia!F38+0.0132)</f>
        <v>-3.3714520000003358E-4</v>
      </c>
      <c r="D38" s="45" t="s">
        <v>59</v>
      </c>
      <c r="E38" s="46">
        <f>-0.0000000000000007*(intermedia!H38*intermedia!H38+0.00000005*intermedia!H38+0.0132)</f>
        <v>-2.1577292800002869E-4</v>
      </c>
      <c r="F38" s="45" t="s">
        <v>59</v>
      </c>
      <c r="G38" s="46">
        <f>--0.0000000000000007*(intermedia!J38*intermedia!J38+0.00000005*intermedia!J38+0.0132)</f>
        <v>1.652011480000018E-2</v>
      </c>
      <c r="H38" s="45" t="s">
        <v>59</v>
      </c>
      <c r="I38" s="46">
        <f>-0.0000000000000007*(intermedia!L38*intermedia!L38+0.00000005*intermedia!L38+0.0132)</f>
        <v>-8.4286300000021392E-5</v>
      </c>
      <c r="J38" s="45" t="s">
        <v>59</v>
      </c>
      <c r="K38" s="46">
        <f>-0.0000000000000007*(intermedia!N38*intermedia!N38+0.00000005*intermedia!N38+0.0132)</f>
        <v>-2.7308761200003109E-4</v>
      </c>
      <c r="L38" s="45" t="s">
        <v>59</v>
      </c>
      <c r="M38" s="46">
        <f>-0.0000000000000007*(intermedia!P38*intermedia!P38+0.00000005*intermedia!P38+0.0132)</f>
        <v>-1.2137227200002383E-4</v>
      </c>
    </row>
    <row r="39" spans="1:13" ht="17" thickTop="1" thickBot="1">
      <c r="A39" s="53">
        <v>20</v>
      </c>
      <c r="B39" s="45" t="s">
        <v>60</v>
      </c>
      <c r="C39" s="46">
        <f>-0.0002*(intermedia!F39*intermedia!F39) + 0.0278*intermedia!F39 - 0.1705</f>
        <v>0.77749999999999986</v>
      </c>
      <c r="D39" s="45" t="s">
        <v>60</v>
      </c>
      <c r="E39" s="46">
        <f>-0.0002*(intermedia!H39*intermedia!H39) + 0.0278*intermedia!H39 - 0.1705</f>
        <v>0.72709999999999997</v>
      </c>
      <c r="F39" s="45" t="s">
        <v>60</v>
      </c>
      <c r="G39" s="46">
        <f>-0.0002*(intermedia!J39*intermedia!J39) + 0.0278*intermedia!J39 - 0.1705</f>
        <v>0.64429999999999998</v>
      </c>
      <c r="H39" s="45" t="s">
        <v>60</v>
      </c>
      <c r="I39" s="46">
        <f>-0.0002*(intermedia!L39*intermedia!L39) + 0.0278*intermedia!L39 - 0.1705</f>
        <v>0.52910000000000001</v>
      </c>
      <c r="J39" s="45" t="s">
        <v>60</v>
      </c>
      <c r="K39" s="46">
        <f>-0.0002*(intermedia!N39*intermedia!N39) + 0.0278*intermedia!N39 - 0.1705</f>
        <v>0.38150000000000006</v>
      </c>
      <c r="L39" s="45" t="s">
        <v>60</v>
      </c>
      <c r="M39" s="46">
        <f>-0.0002*(intermedia!P39*intermedia!P39) + 0.0278*intermedia!P39 - 0.1705</f>
        <v>0.20149999999999998</v>
      </c>
    </row>
    <row r="40" spans="1:13" ht="17" thickTop="1" thickBot="1">
      <c r="A40" s="53">
        <v>20</v>
      </c>
      <c r="B40" s="45" t="s">
        <v>61</v>
      </c>
      <c r="C40" s="46">
        <f xml:space="preserve"> -0.49*LN(intermedia!F40) + 1.5102</f>
        <v>4.3662217715334517E-3</v>
      </c>
      <c r="D40" s="45" t="s">
        <v>61</v>
      </c>
      <c r="E40" s="46">
        <f xml:space="preserve"> -0.49*LN(intermedia!H40) + 1.5102</f>
        <v>0.45529907373204637</v>
      </c>
      <c r="F40" s="45" t="s">
        <v>61</v>
      </c>
      <c r="G40" s="46">
        <f xml:space="preserve"> -0.49*LN(intermedia!J40) + 1.5102</f>
        <v>0.58483567898934641</v>
      </c>
      <c r="H40" s="45" t="s">
        <v>61</v>
      </c>
      <c r="I40" s="46">
        <f xml:space="preserve"> -0.49*LN(intermedia!L40) + 1.5102</f>
        <v>1.1444534553039092</v>
      </c>
      <c r="J40" s="45" t="s">
        <v>61</v>
      </c>
      <c r="K40" s="46">
        <f xml:space="preserve"> -0.49*LN(intermedia!N40) + 1.5102</f>
        <v>1.0402239289287962</v>
      </c>
      <c r="L40" s="45" t="s">
        <v>61</v>
      </c>
      <c r="M40" s="46">
        <f xml:space="preserve"> -0.49*LN(intermedia!P40) + 1.5102</f>
        <v>0.88125949192545561</v>
      </c>
    </row>
    <row r="41" spans="1:13" ht="17" thickTop="1" thickBot="1">
      <c r="A41" s="53">
        <v>20</v>
      </c>
      <c r="B41" s="45" t="s">
        <v>62</v>
      </c>
      <c r="C41" s="46">
        <f>0.273*(intermedia!F41*intermedia!F41) - 0.0538*intermedia!F41 + 0.0043</f>
        <v>0.2235</v>
      </c>
      <c r="D41" s="45" t="s">
        <v>62</v>
      </c>
      <c r="E41" s="46">
        <f>0.273*(intermedia!H41*intermedia!H41) - 0.0538*intermedia!H41 + 0.0043</f>
        <v>0.10041</v>
      </c>
      <c r="F41" s="45" t="s">
        <v>62</v>
      </c>
      <c r="G41" s="46">
        <f>0.273*(intermedia!J41*intermedia!J41) - 0.0538*intermedia!J41 + 0.0043</f>
        <v>0.17701000000000003</v>
      </c>
      <c r="H41" s="45" t="s">
        <v>62</v>
      </c>
      <c r="I41" s="46">
        <f>0.273*(intermedia!L41*intermedia!L41) - 0.0538*intermedia!L41 + 0.0043</f>
        <v>4.5650000000000003E-2</v>
      </c>
      <c r="J41" s="45" t="s">
        <v>62</v>
      </c>
      <c r="K41" s="46">
        <f>0.273*(intermedia!N41*intermedia!N41) - 0.0538*intermedia!N41 + 0.0043</f>
        <v>8.4672500000000012E-2</v>
      </c>
      <c r="L41" s="45" t="s">
        <v>62</v>
      </c>
      <c r="M41" s="46">
        <f>0.273*(intermedia!P41*intermedia!P41) - 0.0538*intermedia!P41 + 0.0043</f>
        <v>5.729250000000001E-2</v>
      </c>
    </row>
    <row r="42" spans="1:13" ht="17" thickTop="1" thickBot="1">
      <c r="A42" s="53">
        <v>20</v>
      </c>
      <c r="B42" s="45" t="s">
        <v>63</v>
      </c>
      <c r="C42" s="46">
        <f>0.000000000001*(intermedia!F42*intermedia!F42)- 0.000003*(intermedia!F42) + 2.3225</f>
        <v>0.88249999999999984</v>
      </c>
      <c r="D42" s="45" t="s">
        <v>63</v>
      </c>
      <c r="E42" s="46">
        <f>0.000000000001*(intermedia!H42*intermedia!H42)- 0.000003*(intermedia!H42) + 2.3225</f>
        <v>1.3720999999999997</v>
      </c>
      <c r="F42" s="45" t="s">
        <v>63</v>
      </c>
      <c r="G42" s="46">
        <f>0.000000000001*(intermedia!J42*intermedia!J42)- 0.000003*(intermedia!J42) + 2.3225</f>
        <v>1.5124999999999997</v>
      </c>
      <c r="H42" s="45" t="s">
        <v>63</v>
      </c>
      <c r="I42" s="46">
        <f>0.000000000001*(intermedia!L42*intermedia!L42)- 0.000003*(intermedia!L42) + 2.3225</f>
        <v>1.6600999999999999</v>
      </c>
      <c r="J42" s="45" t="s">
        <v>63</v>
      </c>
      <c r="K42" s="46">
        <f>0.000000000001*(intermedia!N42*intermedia!N42)- 0.000003*(intermedia!N42) + 2.3225</f>
        <v>1.2388999999999997</v>
      </c>
      <c r="L42" s="45" t="s">
        <v>63</v>
      </c>
      <c r="M42" s="46">
        <f>0.000000000001*(intermedia!P42*intermedia!P42)- 0.000003*(intermedia!P42) + 2.3225</f>
        <v>1.1128999999999998</v>
      </c>
    </row>
    <row r="43" spans="1:13" ht="17" thickTop="1" thickBot="1">
      <c r="A43" s="53">
        <v>20</v>
      </c>
      <c r="B43" s="47" t="s">
        <v>64</v>
      </c>
      <c r="C43" s="48">
        <f>-0.00003*(intermedia!F43*intermedia!F43) + 0.0081*intermedia!F43 + 0.427</f>
        <v>0.17462487700000001</v>
      </c>
      <c r="D43" s="47" t="s">
        <v>64</v>
      </c>
      <c r="E43" s="48">
        <f>-0.00003*(intermedia!H43*intermedia!H43) + 0.0081*intermedia!H43 + 0.427</f>
        <v>0.28130471572000004</v>
      </c>
      <c r="F43" s="47" t="s">
        <v>64</v>
      </c>
      <c r="G43" s="48">
        <f>-0.00003*(intermedia!J43*intermedia!J43) + 0.0081*intermedia!J43 + 0.427</f>
        <v>0.30678096924999998</v>
      </c>
      <c r="H43" s="47" t="s">
        <v>64</v>
      </c>
      <c r="I43" s="48">
        <f>-0.00003*(intermedia!L43*intermedia!L43) + 0.0081*intermedia!L43 + 0.427</f>
        <v>0.20201106036999997</v>
      </c>
      <c r="J43" s="47" t="s">
        <v>64</v>
      </c>
      <c r="K43" s="48">
        <f>-0.00003*(intermedia!N43*intermedia!N43) + 0.0081*intermedia!N43 + 0.427</f>
        <v>0.22891976127999997</v>
      </c>
      <c r="L43" s="47" t="s">
        <v>64</v>
      </c>
      <c r="M43" s="48">
        <f>-0.00003*(intermedia!P43*intermedia!P43) + 0.0081*intermedia!P43 + 0.427</f>
        <v>0.2421950558125</v>
      </c>
    </row>
    <row r="44" spans="1:13" ht="17" thickTop="1" thickBot="1">
      <c r="A44" s="53">
        <v>10</v>
      </c>
      <c r="B44" s="43" t="s">
        <v>58</v>
      </c>
      <c r="C44" s="44">
        <f>0.799*LN(intermedia!F44)-5.512</f>
        <v>0.21446326365286428</v>
      </c>
      <c r="D44" s="43" t="s">
        <v>58</v>
      </c>
      <c r="E44" s="44">
        <f>0.799*LN(intermedia!H44)-5.512</f>
        <v>1.5004041556877104</v>
      </c>
      <c r="F44" s="43" t="s">
        <v>58</v>
      </c>
      <c r="G44" s="44">
        <f>0.799*LN(intermedia!J44)-5.512</f>
        <v>1.970045700944504</v>
      </c>
      <c r="H44" s="43" t="s">
        <v>58</v>
      </c>
      <c r="I44" s="44">
        <f>0.799*LN(intermedia!L44)-5.512</f>
        <v>2.2638578002646321</v>
      </c>
      <c r="J44" s="43" t="s">
        <v>58</v>
      </c>
      <c r="K44" s="44">
        <f>0.799*LN(intermedia!N44)-5.512</f>
        <v>2.4782007255537817</v>
      </c>
      <c r="L44" s="43" t="s">
        <v>58</v>
      </c>
      <c r="M44" s="44">
        <f>0.799*LN(intermedia!P44)-5.512</f>
        <v>2.6470366913938799</v>
      </c>
    </row>
    <row r="45" spans="1:13" ht="17" thickTop="1" thickBot="1">
      <c r="A45" s="53">
        <v>10</v>
      </c>
      <c r="B45" s="45" t="s">
        <v>59</v>
      </c>
      <c r="C45" s="46">
        <f>-0.0000000000000007*(intermedia!F45*intermedia!F45+0.00000005*intermedia!F45+0.0132)</f>
        <v>-1.6397920000002619E-4</v>
      </c>
      <c r="D45" s="45" t="s">
        <v>59</v>
      </c>
      <c r="E45" s="46">
        <f>-0.0000000000000007*(intermedia!H45*intermedia!H45+0.00000005*intermedia!H45+0.0132)</f>
        <v>-1.0494668800002281E-4</v>
      </c>
      <c r="F45" s="45" t="s">
        <v>59</v>
      </c>
      <c r="G45" s="46">
        <f>--0.0000000000000007*(intermedia!J45*intermedia!J45+0.00000005*intermedia!J45+0.0132)</f>
        <v>8.0349808000021097E-5</v>
      </c>
      <c r="H45" s="45" t="s">
        <v>59</v>
      </c>
      <c r="I45" s="60">
        <f>-0.0000000000000007*(intermedia!L45*intermedia!L45+0.00000005*intermedia!L45+0.0132)</f>
        <v>-4.0994800000017709E-5</v>
      </c>
      <c r="J45" s="45" t="s">
        <v>59</v>
      </c>
      <c r="K45" s="46">
        <f>-0.0000000000000007*(intermedia!N45*intermedia!N45+0.00000005*intermedia!N45+0.0132)</f>
        <v>-1.328231520000245E-4</v>
      </c>
      <c r="L45" s="45" t="s">
        <v>59</v>
      </c>
      <c r="M45" s="46">
        <f>-0.0000000000000007*(intermedia!P45*intermedia!P45+0.00000005*intermedia!P45+0.0132)</f>
        <v>-5.9032512000019408E-5</v>
      </c>
    </row>
    <row r="46" spans="1:13" ht="17" thickTop="1" thickBot="1">
      <c r="A46" s="53">
        <v>10</v>
      </c>
      <c r="B46" s="45" t="s">
        <v>60</v>
      </c>
      <c r="C46" s="46">
        <f>-0.0002*(intermedia!F46*intermedia!F46) + 0.0278*intermedia!F46 - 0.1705</f>
        <v>0.77749999999999986</v>
      </c>
      <c r="D46" s="45" t="s">
        <v>60</v>
      </c>
      <c r="E46" s="46">
        <f>-0.0002*(intermedia!H46*intermedia!H46) + 0.0278*intermedia!H46 - 0.1705</f>
        <v>0.72709999999999997</v>
      </c>
      <c r="F46" s="45" t="s">
        <v>60</v>
      </c>
      <c r="G46" s="46">
        <f>-0.0002*(intermedia!J46*intermedia!J46) + 0.0278*intermedia!J46 - 0.1705</f>
        <v>0.64429999999999998</v>
      </c>
      <c r="H46" s="45" t="s">
        <v>60</v>
      </c>
      <c r="I46" s="46">
        <f>-0.0002*(intermedia!L46*intermedia!L46) + 0.0278*intermedia!L46 - 0.1705</f>
        <v>0.52910000000000001</v>
      </c>
      <c r="J46" s="45" t="s">
        <v>60</v>
      </c>
      <c r="K46" s="46">
        <f>-0.0002*(intermedia!N46*intermedia!N46) + 0.0278*intermedia!N46 - 0.1705</f>
        <v>0.38150000000000006</v>
      </c>
      <c r="L46" s="45" t="s">
        <v>60</v>
      </c>
      <c r="M46" s="46">
        <f>-0.0002*(intermedia!P46*intermedia!P46) + 0.0278*intermedia!P46 - 0.1705</f>
        <v>0.20149999999999998</v>
      </c>
    </row>
    <row r="47" spans="1:13" ht="17" thickTop="1" thickBot="1">
      <c r="A47" s="53">
        <v>10</v>
      </c>
      <c r="B47" s="45" t="s">
        <v>61</v>
      </c>
      <c r="C47" s="46">
        <f xml:space="preserve"> -0.49*LN(intermedia!F47) + 1.5102</f>
        <v>4.3662217715334517E-3</v>
      </c>
      <c r="D47" s="45" t="s">
        <v>61</v>
      </c>
      <c r="E47" s="46">
        <f xml:space="preserve"> -0.49*LN(intermedia!H47) + 1.5102</f>
        <v>0.45529907373204637</v>
      </c>
      <c r="F47" s="45" t="s">
        <v>61</v>
      </c>
      <c r="G47" s="46">
        <f xml:space="preserve"> -0.49*LN(intermedia!J47) + 1.5102</f>
        <v>0.58483567898934641</v>
      </c>
      <c r="H47" s="45" t="s">
        <v>61</v>
      </c>
      <c r="I47" s="46">
        <f xml:space="preserve"> -0.49*LN(intermedia!L47) + 1.5102</f>
        <v>1.1444534553039092</v>
      </c>
      <c r="J47" s="45" t="s">
        <v>61</v>
      </c>
      <c r="K47" s="46">
        <f xml:space="preserve"> -0.49*LN(intermedia!N47) + 1.5102</f>
        <v>1.0402239289287962</v>
      </c>
      <c r="L47" s="45" t="s">
        <v>61</v>
      </c>
      <c r="M47" s="46">
        <f xml:space="preserve"> -0.49*LN(intermedia!P47) + 1.5102</f>
        <v>0.88125949192545561</v>
      </c>
    </row>
    <row r="48" spans="1:13" ht="17" thickTop="1" thickBot="1">
      <c r="A48" s="53">
        <v>10</v>
      </c>
      <c r="B48" s="45" t="s">
        <v>62</v>
      </c>
      <c r="C48" s="46">
        <f>0.273*(intermedia!F48*intermedia!F48) - 0.0538*intermedia!F48 + 0.0043</f>
        <v>0.2235</v>
      </c>
      <c r="D48" s="45" t="s">
        <v>62</v>
      </c>
      <c r="E48" s="46">
        <f>0.273*(intermedia!H48*intermedia!H48) - 0.0538*intermedia!H48 + 0.0043</f>
        <v>0.10041</v>
      </c>
      <c r="F48" s="45" t="s">
        <v>62</v>
      </c>
      <c r="G48" s="46">
        <f>0.273*(intermedia!J48*intermedia!J48) - 0.0538*intermedia!J48 + 0.0043</f>
        <v>0.17701000000000003</v>
      </c>
      <c r="H48" s="45" t="s">
        <v>62</v>
      </c>
      <c r="I48" s="46">
        <f>0.273*(intermedia!L48*intermedia!L48) - 0.0538*intermedia!L48 + 0.0043</f>
        <v>4.5650000000000003E-2</v>
      </c>
      <c r="J48" s="45" t="s">
        <v>62</v>
      </c>
      <c r="K48" s="46">
        <f>0.273*(intermedia!N48*intermedia!N48) - 0.0538*intermedia!N48 + 0.0043</f>
        <v>8.4672500000000012E-2</v>
      </c>
      <c r="L48" s="45" t="s">
        <v>62</v>
      </c>
      <c r="M48" s="46">
        <f>0.273*(intermedia!P48*intermedia!P48) - 0.0538*intermedia!P48 + 0.0043</f>
        <v>5.729250000000001E-2</v>
      </c>
    </row>
    <row r="49" spans="1:13" ht="17" thickTop="1" thickBot="1">
      <c r="A49" s="53">
        <v>10</v>
      </c>
      <c r="B49" s="45" t="s">
        <v>63</v>
      </c>
      <c r="C49" s="46">
        <f>0.000000000001*(intermedia!F49*intermedia!F49)- 0.000003*(intermedia!F49) + 2.3225</f>
        <v>1.0725020000009997</v>
      </c>
      <c r="D49" s="45" t="s">
        <v>63</v>
      </c>
      <c r="E49" s="46">
        <f>0.000000000001*(intermedia!H49*intermedia!H49)- 0.000003*(intermedia!H49) + 2.3225</f>
        <v>1.5125014400003598</v>
      </c>
      <c r="F49" s="45" t="s">
        <v>63</v>
      </c>
      <c r="G49" s="46">
        <f>0.000000000001*(intermedia!J49*intermedia!J49)- 0.000003*(intermedia!J49) + 2.3225</f>
        <v>1.6350012500002498</v>
      </c>
      <c r="H49" s="45" t="s">
        <v>63</v>
      </c>
      <c r="I49" s="46">
        <f>0.000000000001*(intermedia!L49*intermedia!L49)- 0.000003*(intermedia!L49) + 2.3225</f>
        <v>1.7625010400001597</v>
      </c>
      <c r="J49" s="45" t="s">
        <v>63</v>
      </c>
      <c r="K49" s="46">
        <f>0.000000000001*(intermedia!N49*intermedia!N49)- 0.000003*(intermedia!N49) + 2.3225</f>
        <v>1.3950016100004898</v>
      </c>
      <c r="L49" s="45" t="s">
        <v>63</v>
      </c>
      <c r="M49" s="46">
        <f>0.000000000001*(intermedia!P49*intermedia!P49)- 0.000003*(intermedia!P49) + 2.3225</f>
        <v>1.2825017600006396</v>
      </c>
    </row>
    <row r="50" spans="1:13" ht="17" thickTop="1" thickBot="1">
      <c r="A50" s="53">
        <v>10</v>
      </c>
      <c r="B50" s="47" t="s">
        <v>64</v>
      </c>
      <c r="C50" s="48">
        <f>-0.00003*(intermedia!F50*intermedia!F50) + 0.0081*intermedia!F50 + 0.427</f>
        <v>0.17462487700000001</v>
      </c>
      <c r="D50" s="47" t="s">
        <v>64</v>
      </c>
      <c r="E50" s="48">
        <f>-0.00003*(intermedia!H50*intermedia!H50) + 0.0081*intermedia!H50 + 0.427</f>
        <v>0.28130471572000004</v>
      </c>
      <c r="F50" s="47" t="s">
        <v>64</v>
      </c>
      <c r="G50" s="48">
        <f>-0.00003*(intermedia!J50*intermedia!J50) + 0.0081*intermedia!J50 + 0.427</f>
        <v>0.30678096924999998</v>
      </c>
      <c r="H50" s="47" t="s">
        <v>64</v>
      </c>
      <c r="I50" s="48">
        <f>-0.00003*(intermedia!L50*intermedia!L50) + 0.0081*intermedia!L50 + 0.427</f>
        <v>0.20201106036999997</v>
      </c>
      <c r="J50" s="47" t="s">
        <v>64</v>
      </c>
      <c r="K50" s="48">
        <f>-0.00003*(intermedia!N50*intermedia!N50) + 0.0081*intermedia!N50 + 0.427</f>
        <v>0.22891976127999997</v>
      </c>
      <c r="L50" s="47" t="s">
        <v>64</v>
      </c>
      <c r="M50" s="48">
        <f>-0.00003*(intermedia!P50*intermedia!P50) + 0.0081*intermedia!P50 + 0.427</f>
        <v>0.2421950558125</v>
      </c>
    </row>
    <row r="51" spans="1:13" ht="17" thickTop="1" thickBot="1">
      <c r="A51" s="53">
        <v>5</v>
      </c>
      <c r="B51" s="43" t="s">
        <v>58</v>
      </c>
      <c r="C51" s="44">
        <f>0.799*LN(intermedia!F51)-5.512</f>
        <v>-0.3393613336145318</v>
      </c>
      <c r="D51" s="43" t="s">
        <v>58</v>
      </c>
      <c r="E51" s="44">
        <f>0.799*LN(intermedia!H51)-5.512</f>
        <v>1.416221103677108</v>
      </c>
      <c r="F51" s="43" t="s">
        <v>58</v>
      </c>
      <c r="G51" s="44">
        <f>0.799*LN(intermedia!J51)-5.512</f>
        <v>1.9243761282863856</v>
      </c>
      <c r="H51" s="43" t="s">
        <v>58</v>
      </c>
      <c r="I51" s="44">
        <f>0.799*LN(intermedia!L51)-5.512</f>
        <v>2.2325204504551603</v>
      </c>
      <c r="J51" s="43" t="s">
        <v>58</v>
      </c>
      <c r="K51" s="44">
        <f>0.799*LN(intermedia!N51)-5.512</f>
        <v>2.4543482079971852</v>
      </c>
      <c r="L51" s="43" t="s">
        <v>58</v>
      </c>
      <c r="M51" s="44">
        <f>0.799*LN(intermedia!P51)-5.512</f>
        <v>2.6277827476822102</v>
      </c>
    </row>
    <row r="52" spans="1:13" ht="17" thickTop="1" thickBot="1">
      <c r="A52" s="53">
        <v>5</v>
      </c>
      <c r="B52" s="45" t="s">
        <v>59</v>
      </c>
      <c r="C52" s="46">
        <f>-0.0000000000000007*(intermedia!F52*intermedia!F52+0.00000005*intermedia!F52+0.0132)</f>
        <v>-5.1030000000018693E-5</v>
      </c>
      <c r="D52" s="45" t="s">
        <v>59</v>
      </c>
      <c r="E52" s="46">
        <f>-0.0000000000000007*(intermedia!H52*intermedia!H52+0.00000005*intermedia!H52+0.0132)</f>
        <v>-3.2659200000016806E-5</v>
      </c>
      <c r="F52" s="45" t="s">
        <v>59</v>
      </c>
      <c r="G52" s="46">
        <f>--0.0000000000000007*(intermedia!J52*intermedia!J52+0.00000005*intermedia!J52+0.0132)</f>
        <v>2.5004700000015858E-5</v>
      </c>
      <c r="H52" s="45" t="s">
        <v>59</v>
      </c>
      <c r="I52" s="46">
        <f>-0.0000000000000007*(intermedia!L52*intermedia!L52+0.00000005*intermedia!L52+0.0132)</f>
        <v>-1.2757500000013964E-5</v>
      </c>
      <c r="J52" s="45" t="s">
        <v>59</v>
      </c>
      <c r="K52" s="46">
        <f>-0.0000000000000007*(intermedia!N52*intermedia!N52+0.00000005*intermedia!N52+0.0132)</f>
        <v>-4.1334300000017749E-5</v>
      </c>
      <c r="L52" s="45" t="s">
        <v>59</v>
      </c>
      <c r="M52" s="46">
        <f>-0.0000000000000007*(intermedia!P52*intermedia!P52+0.00000005*intermedia!P52+0.0132)</f>
        <v>-1.8370800000014908E-5</v>
      </c>
    </row>
    <row r="53" spans="1:13" ht="17" thickTop="1" thickBot="1">
      <c r="A53" s="53">
        <v>5</v>
      </c>
      <c r="B53" s="45" t="s">
        <v>60</v>
      </c>
      <c r="C53" s="46">
        <f>-0.0002*(intermedia!F53*intermedia!F53) + 0.0278*intermedia!F53 - 0.1705</f>
        <v>0.67549999999999988</v>
      </c>
      <c r="D53" s="45" t="s">
        <v>60</v>
      </c>
      <c r="E53" s="46">
        <f>-0.0002*(intermedia!H53*intermedia!H53) + 0.0278*intermedia!H53 - 0.1705</f>
        <v>0.60023750000000009</v>
      </c>
      <c r="F53" s="45" t="s">
        <v>60</v>
      </c>
      <c r="G53" s="46">
        <f>-0.0002*(intermedia!J53*intermedia!J53) + 0.0278*intermedia!J53 - 0.1705</f>
        <v>0.50674999999999992</v>
      </c>
      <c r="H53" s="45" t="s">
        <v>60</v>
      </c>
      <c r="I53" s="46">
        <f>-0.0002*(intermedia!L53*intermedia!L53) + 0.0278*intermedia!L53 - 0.1705</f>
        <v>0.39503750000000004</v>
      </c>
      <c r="J53" s="45" t="s">
        <v>60</v>
      </c>
      <c r="K53" s="46">
        <f>-0.0002*(intermedia!N53*intermedia!N53) + 0.0278*intermedia!N53 - 0.1705</f>
        <v>0.2651</v>
      </c>
      <c r="L53" s="45" t="s">
        <v>60</v>
      </c>
      <c r="M53" s="46">
        <f>-0.0002*(intermedia!P53*intermedia!P53) + 0.0278*intermedia!P53 - 0.1705</f>
        <v>0.11693749999999994</v>
      </c>
    </row>
    <row r="54" spans="1:13" ht="17" thickTop="1" thickBot="1">
      <c r="A54" s="53">
        <v>5</v>
      </c>
      <c r="B54" s="45" t="s">
        <v>61</v>
      </c>
      <c r="C54" s="46">
        <f xml:space="preserve"> -0.49*LN(intermedia!F54) + 1.5102</f>
        <v>4.3662217715334517E-3</v>
      </c>
      <c r="D54" s="45" t="s">
        <v>61</v>
      </c>
      <c r="E54" s="46">
        <f xml:space="preserve"> -0.49*LN(intermedia!H54) + 1.5102</f>
        <v>0.45529907373204637</v>
      </c>
      <c r="F54" s="45" t="s">
        <v>61</v>
      </c>
      <c r="G54" s="46">
        <f xml:space="preserve"> -0.49*LN(intermedia!J54) + 1.5102</f>
        <v>0.58483567898934641</v>
      </c>
      <c r="H54" s="45" t="s">
        <v>61</v>
      </c>
      <c r="I54" s="46">
        <f xml:space="preserve"> -0.49*LN(intermedia!L54) + 1.5102</f>
        <v>1.1444534553039092</v>
      </c>
      <c r="J54" s="45" t="s">
        <v>61</v>
      </c>
      <c r="K54" s="46">
        <f xml:space="preserve"> -0.49*LN(intermedia!N54) + 1.5102</f>
        <v>1.0402239289287962</v>
      </c>
      <c r="L54" s="45" t="s">
        <v>61</v>
      </c>
      <c r="M54" s="46">
        <f xml:space="preserve"> -0.49*LN(intermedia!P54) + 1.5102</f>
        <v>0.88125949192545561</v>
      </c>
    </row>
    <row r="55" spans="1:13" ht="17" thickTop="1" thickBot="1">
      <c r="A55" s="53">
        <v>5</v>
      </c>
      <c r="B55" s="45" t="s">
        <v>62</v>
      </c>
      <c r="C55" s="46">
        <f>0.273*(intermedia!F55*intermedia!F55) - 0.0538*intermedia!F55 + 0.0043</f>
        <v>0.2235</v>
      </c>
      <c r="D55" s="45" t="s">
        <v>62</v>
      </c>
      <c r="E55" s="46">
        <f>0.273*(intermedia!H55*intermedia!H55) - 0.0538*intermedia!H55 + 0.0043</f>
        <v>0.10041</v>
      </c>
      <c r="F55" s="45" t="s">
        <v>62</v>
      </c>
      <c r="G55" s="46">
        <f>0.273*(intermedia!J55*intermedia!J55) - 0.0538*intermedia!J55 + 0.0043</f>
        <v>0.17701000000000003</v>
      </c>
      <c r="H55" s="45" t="s">
        <v>62</v>
      </c>
      <c r="I55" s="46">
        <f>0.273*(intermedia!L55*intermedia!L55) - 0.0538*intermedia!L55 + 0.0043</f>
        <v>4.5650000000000003E-2</v>
      </c>
      <c r="J55" s="45" t="s">
        <v>62</v>
      </c>
      <c r="K55" s="46">
        <f>0.273*(intermedia!N55*intermedia!N55) - 0.0538*intermedia!N55 + 0.0043</f>
        <v>8.4672500000000012E-2</v>
      </c>
      <c r="L55" s="45" t="s">
        <v>62</v>
      </c>
      <c r="M55" s="46">
        <f>0.273*(intermedia!P55*intermedia!P55) - 0.0538*intermedia!P55 + 0.0043</f>
        <v>5.729250000000001E-2</v>
      </c>
    </row>
    <row r="56" spans="1:13" ht="17" thickTop="1" thickBot="1">
      <c r="A56" s="53">
        <v>5</v>
      </c>
      <c r="B56" s="45" t="s">
        <v>63</v>
      </c>
      <c r="C56" s="46">
        <f>0.000000000001*(intermedia!F56*intermedia!F56)- 0.000003*(intermedia!F56) + 2.3225</f>
        <v>1.0725020000009997</v>
      </c>
      <c r="D56" s="45" t="s">
        <v>63</v>
      </c>
      <c r="E56" s="46">
        <f>0.000000000001*(intermedia!H56*intermedia!H56)- 0.000003*(intermedia!H56) + 2.3225</f>
        <v>1.5125014400003598</v>
      </c>
      <c r="F56" s="45" t="s">
        <v>63</v>
      </c>
      <c r="G56" s="46">
        <f>0.000000000001*(intermedia!J56*intermedia!J56)- 0.000003*(intermedia!J56) + 2.3225</f>
        <v>1.6350012500002498</v>
      </c>
      <c r="H56" s="45" t="s">
        <v>63</v>
      </c>
      <c r="I56" s="46">
        <f>0.000000000001*(intermedia!L56*intermedia!L56)- 0.000003*(intermedia!L56) + 2.3225</f>
        <v>1.7625010400001597</v>
      </c>
      <c r="J56" s="45" t="s">
        <v>63</v>
      </c>
      <c r="K56" s="46">
        <f>0.000000000001*(intermedia!N56*intermedia!N56)- 0.000003*(intermedia!N56) + 2.3225</f>
        <v>1.3950016100004898</v>
      </c>
      <c r="L56" s="45" t="s">
        <v>63</v>
      </c>
      <c r="M56" s="46">
        <f>0.000000000001*(intermedia!P56*intermedia!P56)- 0.000003*(intermedia!P56) + 2.3225</f>
        <v>1.2825017600006396</v>
      </c>
    </row>
    <row r="57" spans="1:13" ht="17" thickTop="1" thickBot="1">
      <c r="A57" s="53">
        <v>5</v>
      </c>
      <c r="B57" s="47" t="s">
        <v>64</v>
      </c>
      <c r="C57" s="48">
        <f>-0.00003*(intermedia!F57*intermedia!F57) + 0.0081*intermedia!F57 + 0.427</f>
        <v>0.17462487700000001</v>
      </c>
      <c r="D57" s="47" t="s">
        <v>64</v>
      </c>
      <c r="E57" s="48">
        <f>-0.00003*(intermedia!H57*intermedia!H57) + 0.0081*intermedia!H57 + 0.427</f>
        <v>0.28130471572000004</v>
      </c>
      <c r="F57" s="47" t="s">
        <v>64</v>
      </c>
      <c r="G57" s="48">
        <f>-0.00003*(intermedia!J57*intermedia!J57) + 0.0081*intermedia!J57 + 0.427</f>
        <v>0.30678096924999998</v>
      </c>
      <c r="H57" s="47" t="s">
        <v>64</v>
      </c>
      <c r="I57" s="48">
        <f>-0.00003*(intermedia!L57*intermedia!L57) + 0.0081*intermedia!L57 + 0.427</f>
        <v>0.20201106036999997</v>
      </c>
      <c r="J57" s="47" t="s">
        <v>64</v>
      </c>
      <c r="K57" s="48">
        <f>-0.00003*(intermedia!N57*intermedia!N57) + 0.0081*intermedia!N57 + 0.427</f>
        <v>0.22891976127999997</v>
      </c>
      <c r="L57" s="47" t="s">
        <v>64</v>
      </c>
      <c r="M57" s="48">
        <f>-0.00003*(intermedia!P57*intermedia!P57) + 0.0081*intermedia!P57 + 0.427</f>
        <v>0.2421950558125</v>
      </c>
    </row>
    <row r="58" spans="1:13" ht="16" thickTop="1"/>
    <row r="62" spans="1:13">
      <c r="E62" t="s">
        <v>133</v>
      </c>
    </row>
  </sheetData>
  <mergeCells count="6">
    <mergeCell ref="L1:M1"/>
    <mergeCell ref="B1:C1"/>
    <mergeCell ref="D1:E1"/>
    <mergeCell ref="F1:G1"/>
    <mergeCell ref="H1:I1"/>
    <mergeCell ref="J1:K1"/>
  </mergeCells>
  <phoneticPr fontId="16" type="noConversion"/>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9"/>
  <sheetViews>
    <sheetView workbookViewId="0">
      <selection activeCell="E26" sqref="E26"/>
    </sheetView>
  </sheetViews>
  <sheetFormatPr baseColWidth="10" defaultColWidth="11" defaultRowHeight="15" x14ac:dyDescent="0"/>
  <cols>
    <col min="5" max="5" width="141" customWidth="1"/>
  </cols>
  <sheetData>
    <row r="2" spans="1:5" ht="45">
      <c r="A2" t="s">
        <v>16</v>
      </c>
      <c r="B2">
        <v>5</v>
      </c>
      <c r="C2">
        <v>1</v>
      </c>
      <c r="D2" s="77" t="s">
        <v>69</v>
      </c>
      <c r="E2" s="49" t="s">
        <v>122</v>
      </c>
    </row>
    <row r="3" spans="1:5" ht="30">
      <c r="A3" t="s">
        <v>17</v>
      </c>
      <c r="B3">
        <v>10</v>
      </c>
      <c r="C3">
        <v>2</v>
      </c>
      <c r="D3" s="77" t="s">
        <v>70</v>
      </c>
      <c r="E3" s="78" t="s">
        <v>123</v>
      </c>
    </row>
    <row r="4" spans="1:5" ht="30">
      <c r="A4" t="s">
        <v>18</v>
      </c>
      <c r="B4">
        <v>20</v>
      </c>
      <c r="C4">
        <v>3</v>
      </c>
      <c r="D4" s="79" t="s">
        <v>71</v>
      </c>
      <c r="E4" s="78" t="s">
        <v>124</v>
      </c>
    </row>
    <row r="5" spans="1:5" ht="30">
      <c r="A5" t="s">
        <v>20</v>
      </c>
      <c r="B5">
        <v>50</v>
      </c>
      <c r="C5">
        <v>4</v>
      </c>
      <c r="D5" s="79" t="s">
        <v>72</v>
      </c>
      <c r="E5" s="78" t="s">
        <v>125</v>
      </c>
    </row>
    <row r="6" spans="1:5" ht="30">
      <c r="A6" t="s">
        <v>21</v>
      </c>
      <c r="B6">
        <v>100</v>
      </c>
      <c r="C6">
        <v>5</v>
      </c>
      <c r="D6" s="79" t="s">
        <v>99</v>
      </c>
      <c r="E6" s="80" t="s">
        <v>126</v>
      </c>
    </row>
    <row r="7" spans="1:5" ht="30">
      <c r="A7" t="s">
        <v>22</v>
      </c>
      <c r="B7">
        <v>200</v>
      </c>
      <c r="C7">
        <v>6</v>
      </c>
      <c r="D7" s="79" t="s">
        <v>74</v>
      </c>
      <c r="E7" s="78" t="s">
        <v>127</v>
      </c>
    </row>
    <row r="8" spans="1:5">
      <c r="A8" t="s">
        <v>23</v>
      </c>
      <c r="B8">
        <v>500</v>
      </c>
      <c r="C8">
        <v>7</v>
      </c>
    </row>
    <row r="9" spans="1:5">
      <c r="B9">
        <v>1000</v>
      </c>
      <c r="C9">
        <v>8</v>
      </c>
    </row>
  </sheetData>
  <phoneticPr fontId="16" type="noConversion"/>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A2" sqref="A2"/>
    </sheetView>
  </sheetViews>
  <sheetFormatPr baseColWidth="10" defaultColWidth="11" defaultRowHeight="15" x14ac:dyDescent="0"/>
  <sheetData>
    <row r="2" spans="1:1">
      <c r="A2" t="s">
        <v>35</v>
      </c>
    </row>
  </sheetData>
  <phoneticPr fontId="16" type="noConversion"/>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DSS</vt:lpstr>
      <vt:lpstr>interface</vt:lpstr>
      <vt:lpstr>explanation </vt:lpstr>
      <vt:lpstr>Scales</vt:lpstr>
      <vt:lpstr>u(x)</vt:lpstr>
      <vt:lpstr>intermedia</vt:lpstr>
      <vt:lpstr>intermedia2</vt:lpstr>
      <vt:lpstr>menu</vt:lpstr>
      <vt:lpstr>References </vt:lpstr>
      <vt:lpstr>Database</vt:lpstr>
      <vt:lpstr>Columbia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Centro Mario Molina</cp:lastModifiedBy>
  <dcterms:created xsi:type="dcterms:W3CDTF">2016-12-02T20:41:39Z</dcterms:created>
  <dcterms:modified xsi:type="dcterms:W3CDTF">2016-12-12T02:09:31Z</dcterms:modified>
</cp:coreProperties>
</file>