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NSEBSE Code" sheetId="2" r:id="rId5"/>
    <sheet state="visible" name="Tasks" sheetId="3" r:id="rId6"/>
    <sheet state="visible" name="Data Source" sheetId="4" r:id="rId7"/>
  </sheets>
  <definedNames/>
  <calcPr/>
</workbook>
</file>

<file path=xl/sharedStrings.xml><?xml version="1.0" encoding="utf-8"?>
<sst xmlns="http://schemas.openxmlformats.org/spreadsheetml/2006/main" count="926" uniqueCount="494">
  <si>
    <t>Stock</t>
  </si>
  <si>
    <t>Market cap (in Rs Cr.)</t>
  </si>
  <si>
    <t>Current price</t>
  </si>
  <si>
    <t>PE Ratio</t>
  </si>
  <si>
    <t>52 Week High</t>
  </si>
  <si>
    <t>% Below 52 week high</t>
  </si>
  <si>
    <t>52 Week Low</t>
  </si>
  <si>
    <t>% Above 52 Week low</t>
  </si>
  <si>
    <t>Yesterday Closing Price</t>
  </si>
  <si>
    <t>% Change</t>
  </si>
  <si>
    <t>TCS</t>
  </si>
  <si>
    <t>HUL</t>
  </si>
  <si>
    <t>Airtel</t>
  </si>
  <si>
    <t>Bajaj Finance</t>
  </si>
  <si>
    <t>Asian Paints</t>
  </si>
  <si>
    <t>HCL Tech</t>
  </si>
  <si>
    <t xml:space="preserve"> </t>
  </si>
  <si>
    <t>Maruti Suzuki</t>
  </si>
  <si>
    <t>Avenue Supermart</t>
  </si>
  <si>
    <t>L&amp;T</t>
  </si>
  <si>
    <t>Bajaj Finserv</t>
  </si>
  <si>
    <t>Nestle</t>
  </si>
  <si>
    <t>Ultratech Cement</t>
  </si>
  <si>
    <t>M&amp;M</t>
  </si>
  <si>
    <t>Bajaj Auto</t>
  </si>
  <si>
    <t>Pidilite Industries</t>
  </si>
  <si>
    <t>SBI life Insurance</t>
  </si>
  <si>
    <t>Tata Steel</t>
  </si>
  <si>
    <t>Divi's Lab</t>
  </si>
  <si>
    <t>Tech Mahindra</t>
  </si>
  <si>
    <t>Dabur</t>
  </si>
  <si>
    <t>Britannia</t>
  </si>
  <si>
    <t>Eicher Motor</t>
  </si>
  <si>
    <t>Cipla</t>
  </si>
  <si>
    <t>Ambuja Cement</t>
  </si>
  <si>
    <t>SBI Cards</t>
  </si>
  <si>
    <t>L&amp;T Infotech</t>
  </si>
  <si>
    <t>Havells India</t>
  </si>
  <si>
    <t>Nykaa</t>
  </si>
  <si>
    <t>Tata Consumer Product</t>
  </si>
  <si>
    <t>Tata Power</t>
  </si>
  <si>
    <t>Marico</t>
  </si>
  <si>
    <t>Berger Paint</t>
  </si>
  <si>
    <t>Motherson Sumi</t>
  </si>
  <si>
    <t>Hero Motocorp</t>
  </si>
  <si>
    <t>Zomato</t>
  </si>
  <si>
    <t>Infoedge</t>
  </si>
  <si>
    <t>Tata Elxsi</t>
  </si>
  <si>
    <t>UPL</t>
  </si>
  <si>
    <t>IRCTC</t>
  </si>
  <si>
    <t>Bandhan Bank</t>
  </si>
  <si>
    <t>Page Industries</t>
  </si>
  <si>
    <t>P&amp;G Health</t>
  </si>
  <si>
    <t>Mphasis</t>
  </si>
  <si>
    <t>Paytm</t>
  </si>
  <si>
    <t>Balkrishna Industries</t>
  </si>
  <si>
    <t>Ashok Leyland</t>
  </si>
  <si>
    <t>Muthoot Finance</t>
  </si>
  <si>
    <t>United Breweries</t>
  </si>
  <si>
    <t>HDFC AMC</t>
  </si>
  <si>
    <t>PI industries</t>
  </si>
  <si>
    <t>TVS</t>
  </si>
  <si>
    <t>Trent</t>
  </si>
  <si>
    <t>sona comstar</t>
  </si>
  <si>
    <t>Astral Poly Technic</t>
  </si>
  <si>
    <t>Polycab</t>
  </si>
  <si>
    <t>Aurobindo Pharma</t>
  </si>
  <si>
    <t>Honeywell Auto</t>
  </si>
  <si>
    <t>MRF</t>
  </si>
  <si>
    <t>Gujarat Florochemical</t>
  </si>
  <si>
    <t>Gujarat Gas</t>
  </si>
  <si>
    <t>Max Financials</t>
  </si>
  <si>
    <t>Coromandel International</t>
  </si>
  <si>
    <t>PB Fintech</t>
  </si>
  <si>
    <t>Indraprastha Gas</t>
  </si>
  <si>
    <t>Lauras Lab</t>
  </si>
  <si>
    <t>Deepak Nitrite</t>
  </si>
  <si>
    <t>Relaxo Footwear</t>
  </si>
  <si>
    <t>Persistent System</t>
  </si>
  <si>
    <t>3M India</t>
  </si>
  <si>
    <t>IPCA Lab</t>
  </si>
  <si>
    <t>Bata India</t>
  </si>
  <si>
    <t>Coforge</t>
  </si>
  <si>
    <t>APL Apollo</t>
  </si>
  <si>
    <t>Crompton Greves</t>
  </si>
  <si>
    <t>Supreme Industries</t>
  </si>
  <si>
    <t>Bayer Cropscience</t>
  </si>
  <si>
    <t>Sumitomo Chemicals</t>
  </si>
  <si>
    <t>Dixon Technologies</t>
  </si>
  <si>
    <t>Tata Chemical</t>
  </si>
  <si>
    <t>Vinita Organics</t>
  </si>
  <si>
    <t>Whirlpool</t>
  </si>
  <si>
    <t>IDFC First</t>
  </si>
  <si>
    <t>NA</t>
  </si>
  <si>
    <t>Endurance Technology</t>
  </si>
  <si>
    <t>Pfizer</t>
  </si>
  <si>
    <t>Trident</t>
  </si>
  <si>
    <t>Navin Flourine</t>
  </si>
  <si>
    <t>LIC Housing Finance</t>
  </si>
  <si>
    <t>Dr Lal Path Lab</t>
  </si>
  <si>
    <t>IEX</t>
  </si>
  <si>
    <t>clean science</t>
  </si>
  <si>
    <t>Fine Organics</t>
  </si>
  <si>
    <t>Alembic Pharma</t>
  </si>
  <si>
    <t>Affle India</t>
  </si>
  <si>
    <t>Tanla Platform</t>
  </si>
  <si>
    <t>KPIT</t>
  </si>
  <si>
    <t>Sheela Form</t>
  </si>
  <si>
    <t>Indiamart Intermesh</t>
  </si>
  <si>
    <t>Happiest Mind</t>
  </si>
  <si>
    <t>CDSL</t>
  </si>
  <si>
    <t>Exide Battery</t>
  </si>
  <si>
    <t>Century Plyboard</t>
  </si>
  <si>
    <t>TTK Prestige</t>
  </si>
  <si>
    <t>CAMS</t>
  </si>
  <si>
    <t>Radico Khaitan</t>
  </si>
  <si>
    <t>KEI Industries</t>
  </si>
  <si>
    <t>Galaxy Surfactant</t>
  </si>
  <si>
    <t>Birlasoft</t>
  </si>
  <si>
    <t>Balaji Amine</t>
  </si>
  <si>
    <t>Mediplus</t>
  </si>
  <si>
    <t>Finolex Industries</t>
  </si>
  <si>
    <t>Borosil Renewable</t>
  </si>
  <si>
    <t>UTI AMC</t>
  </si>
  <si>
    <t>Amara Raja Batter</t>
  </si>
  <si>
    <t>Route Mobile</t>
  </si>
  <si>
    <t>Laxmi Orgamic</t>
  </si>
  <si>
    <t>HFCL</t>
  </si>
  <si>
    <t>Mahangar Gas</t>
  </si>
  <si>
    <t>Mannapuran Finance</t>
  </si>
  <si>
    <t>Amber Enterprise</t>
  </si>
  <si>
    <t>Poly Medicure Ltd</t>
  </si>
  <si>
    <t>Polyplex Corporation</t>
  </si>
  <si>
    <t>Sonata Software</t>
  </si>
  <si>
    <t>Astrazeneca</t>
  </si>
  <si>
    <t>Latent View</t>
  </si>
  <si>
    <t>Praj Industries</t>
  </si>
  <si>
    <t>ICICI Bank</t>
  </si>
  <si>
    <t>Granules India</t>
  </si>
  <si>
    <t>TCI Express</t>
  </si>
  <si>
    <t>Zensar Tech</t>
  </si>
  <si>
    <t>Mastek</t>
  </si>
  <si>
    <t>Garware technical</t>
  </si>
  <si>
    <t>GMM Pfaudler</t>
  </si>
  <si>
    <t>Sterlite technology</t>
  </si>
  <si>
    <t>Orient Electric</t>
  </si>
  <si>
    <t>Avanti Feed</t>
  </si>
  <si>
    <t>Cera Sanitaryware</t>
  </si>
  <si>
    <t>craftsman automation</t>
  </si>
  <si>
    <t>Bharat Rasayan</t>
  </si>
  <si>
    <t>Heidelberg Cement</t>
  </si>
  <si>
    <t>Astec Lifesciences</t>
  </si>
  <si>
    <t>Aarti Drugs</t>
  </si>
  <si>
    <t>Data Pattern</t>
  </si>
  <si>
    <t>Thyrocare</t>
  </si>
  <si>
    <t>Neogen Chemcial</t>
  </si>
  <si>
    <t>Dhanuka Agritech</t>
  </si>
  <si>
    <t>Advance Enzymes</t>
  </si>
  <si>
    <t>Wipro</t>
  </si>
  <si>
    <t>Newgen</t>
  </si>
  <si>
    <t>Sequent Science</t>
  </si>
  <si>
    <t>Mold tech</t>
  </si>
  <si>
    <t>Tasty Bite Eatable</t>
  </si>
  <si>
    <t>Heranba</t>
  </si>
  <si>
    <t>Paras Defense</t>
  </si>
  <si>
    <t>Gokaldas Export</t>
  </si>
  <si>
    <t>Somany home innovation ltd</t>
  </si>
  <si>
    <t>Tata Motor</t>
  </si>
  <si>
    <t>Bhansali Engineering</t>
  </si>
  <si>
    <t>Apollo pipes</t>
  </si>
  <si>
    <t>Garware hi-tech</t>
  </si>
  <si>
    <t>Chemcom Speciality</t>
  </si>
  <si>
    <t>Nureca</t>
  </si>
  <si>
    <t>Dr Reddy</t>
  </si>
  <si>
    <t>HDFC Bank</t>
  </si>
  <si>
    <t>Finolex Cable</t>
  </si>
  <si>
    <t>Nippon AMC</t>
  </si>
  <si>
    <t>Abbott India</t>
  </si>
  <si>
    <t>Axis Bank</t>
  </si>
  <si>
    <t>Bank of Baroda</t>
  </si>
  <si>
    <t>SBI Bank</t>
  </si>
  <si>
    <t>Federal Bank</t>
  </si>
  <si>
    <t>Shree Cement</t>
  </si>
  <si>
    <t>Infosys</t>
  </si>
  <si>
    <t>Reliance</t>
  </si>
  <si>
    <t>Gujarat Ambuja Export</t>
  </si>
  <si>
    <t>Acrysil Ltd</t>
  </si>
  <si>
    <t>HDFC life Insurance</t>
  </si>
  <si>
    <t>J K Cement</t>
  </si>
  <si>
    <t>ICICI Pru life insurance</t>
  </si>
  <si>
    <t>Titan</t>
  </si>
  <si>
    <t>Goldiam International</t>
  </si>
  <si>
    <t>United Spirits</t>
  </si>
  <si>
    <t>Rossari Biotech</t>
  </si>
  <si>
    <t>Kansai Nerolac</t>
  </si>
  <si>
    <t>Voltas</t>
  </si>
  <si>
    <t>Chemplast sanmar</t>
  </si>
  <si>
    <t>L&amp;T Technology</t>
  </si>
  <si>
    <t>Yesbank</t>
  </si>
  <si>
    <t>Gland Pharma</t>
  </si>
  <si>
    <t>Hawkins Cooker</t>
  </si>
  <si>
    <t>MTAR</t>
  </si>
  <si>
    <t>Vaibhav Global</t>
  </si>
  <si>
    <t>Atul Ltd</t>
  </si>
  <si>
    <t>MapmyIndia</t>
  </si>
  <si>
    <t>Sun pharma</t>
  </si>
  <si>
    <t>Caplin Point</t>
  </si>
  <si>
    <t>Cyient</t>
  </si>
  <si>
    <t>Varun Beverage</t>
  </si>
  <si>
    <t>Prince Pipe</t>
  </si>
  <si>
    <t>Jubilant FoodWorks</t>
  </si>
  <si>
    <t>Alkyl Amine</t>
  </si>
  <si>
    <t>HDFC</t>
  </si>
  <si>
    <t>AU Small Finance</t>
  </si>
  <si>
    <t>Hindustan Food</t>
  </si>
  <si>
    <t>Solar Industries</t>
  </si>
  <si>
    <t>Kotak Bank</t>
  </si>
  <si>
    <t>stove kraft</t>
  </si>
  <si>
    <t>Godrej Consumer</t>
  </si>
  <si>
    <t>Solara Active</t>
  </si>
  <si>
    <t>Kajaria Ceramic</t>
  </si>
  <si>
    <t>Krisna dignostic</t>
  </si>
  <si>
    <t>Metropolis Healthcare</t>
  </si>
  <si>
    <t>Aarti Industries</t>
  </si>
  <si>
    <t>Subex</t>
  </si>
  <si>
    <t>Crisil</t>
  </si>
  <si>
    <t>Lux Industries</t>
  </si>
  <si>
    <t>LIC</t>
  </si>
  <si>
    <t>Stock Industry &amp; NSE/BSE Code</t>
  </si>
  <si>
    <t>Industry</t>
  </si>
  <si>
    <t>NSE/BSE Code</t>
  </si>
  <si>
    <t>IT</t>
  </si>
  <si>
    <t>BOM:532540</t>
  </si>
  <si>
    <t>FMCG</t>
  </si>
  <si>
    <t>HINDUNILVR</t>
  </si>
  <si>
    <t>Telecom</t>
  </si>
  <si>
    <t>BHARTIARTL</t>
  </si>
  <si>
    <t>NBFC</t>
  </si>
  <si>
    <t>BAJFINANCE</t>
  </si>
  <si>
    <t>Paint</t>
  </si>
  <si>
    <t>ASIANPAINT</t>
  </si>
  <si>
    <t>HCLTECH</t>
  </si>
  <si>
    <t>Automobile</t>
  </si>
  <si>
    <t>MARUTI</t>
  </si>
  <si>
    <t>Retail</t>
  </si>
  <si>
    <t>DMART</t>
  </si>
  <si>
    <t>Infrastructure</t>
  </si>
  <si>
    <t>BOM:500510</t>
  </si>
  <si>
    <t>Financial Servcies</t>
  </si>
  <si>
    <t>BAJAJFINSV</t>
  </si>
  <si>
    <t>NESTLEIND</t>
  </si>
  <si>
    <t>Cement</t>
  </si>
  <si>
    <t>ULTRACEMCO</t>
  </si>
  <si>
    <t>BAJAJ-AUTO</t>
  </si>
  <si>
    <t>Chemical</t>
  </si>
  <si>
    <t>PIDILITIND</t>
  </si>
  <si>
    <t>Insurance</t>
  </si>
  <si>
    <t>SBILIFE</t>
  </si>
  <si>
    <t>BOM:500470</t>
  </si>
  <si>
    <t>Pharma</t>
  </si>
  <si>
    <t>DIVISLAB</t>
  </si>
  <si>
    <t>TECHM</t>
  </si>
  <si>
    <t>DABUR</t>
  </si>
  <si>
    <t>BRITANNIA</t>
  </si>
  <si>
    <t>EICHERMOT</t>
  </si>
  <si>
    <t>CIPLA</t>
  </si>
  <si>
    <t>BOM:500425</t>
  </si>
  <si>
    <t>SBICARD</t>
  </si>
  <si>
    <t>BOM:540005</t>
  </si>
  <si>
    <t>Consumer Electrical</t>
  </si>
  <si>
    <t>HAVELLS</t>
  </si>
  <si>
    <t>Technology</t>
  </si>
  <si>
    <t>BOM:543384</t>
  </si>
  <si>
    <t>TATACONSUM</t>
  </si>
  <si>
    <t>BOM:500400</t>
  </si>
  <si>
    <t>MARICO</t>
  </si>
  <si>
    <t>BERGEPAINT</t>
  </si>
  <si>
    <t>Automobile Ancilliary</t>
  </si>
  <si>
    <t>BOM:517334</t>
  </si>
  <si>
    <t>HEROMOTOCO</t>
  </si>
  <si>
    <t>BOM:543320</t>
  </si>
  <si>
    <t>BOM:532777</t>
  </si>
  <si>
    <t>IT-Software</t>
  </si>
  <si>
    <t>TATAELXSI</t>
  </si>
  <si>
    <t>Agrochemical</t>
  </si>
  <si>
    <t>BOM:512070</t>
  </si>
  <si>
    <t>Catering</t>
  </si>
  <si>
    <t>Bank</t>
  </si>
  <si>
    <t>BANDHANBNK</t>
  </si>
  <si>
    <t>Textile</t>
  </si>
  <si>
    <t>PAGEIND</t>
  </si>
  <si>
    <t>BOM:500459</t>
  </si>
  <si>
    <t>BOM:526299</t>
  </si>
  <si>
    <t>BOM:543396</t>
  </si>
  <si>
    <t>Tyre</t>
  </si>
  <si>
    <t>BALKRISIND</t>
  </si>
  <si>
    <t>ASHOKLEY</t>
  </si>
  <si>
    <t>MUTHOOTFIN</t>
  </si>
  <si>
    <t>Spirits</t>
  </si>
  <si>
    <t>UBL</t>
  </si>
  <si>
    <t>AMC</t>
  </si>
  <si>
    <t>HDFCAMC</t>
  </si>
  <si>
    <t>PIIND</t>
  </si>
  <si>
    <t>BOM:532343</t>
  </si>
  <si>
    <t>BOM:500251</t>
  </si>
  <si>
    <t>automobile</t>
  </si>
  <si>
    <t>BOM:543300</t>
  </si>
  <si>
    <t>Piping</t>
  </si>
  <si>
    <t>ASTRAL</t>
  </si>
  <si>
    <t>POLYCAB</t>
  </si>
  <si>
    <t>AUROPHARMA</t>
  </si>
  <si>
    <t>HONAUT</t>
  </si>
  <si>
    <t>BOM:500290</t>
  </si>
  <si>
    <t>chemical</t>
  </si>
  <si>
    <t>BOM:542812</t>
  </si>
  <si>
    <t>Utility</t>
  </si>
  <si>
    <t>GUJGASLTD</t>
  </si>
  <si>
    <t>BOM:500271</t>
  </si>
  <si>
    <t>COROMANDEL</t>
  </si>
  <si>
    <t>BOM:543390</t>
  </si>
  <si>
    <t>BOM:532514</t>
  </si>
  <si>
    <t>LAURUSLABS</t>
  </si>
  <si>
    <t>DEEPAKNTR</t>
  </si>
  <si>
    <t>Footwear</t>
  </si>
  <si>
    <t>RELAXO</t>
  </si>
  <si>
    <t>PERSISTENT</t>
  </si>
  <si>
    <t>3MINDIA</t>
  </si>
  <si>
    <t>IPCALAB</t>
  </si>
  <si>
    <t>BATAINDIA</t>
  </si>
  <si>
    <t>BOM:532541</t>
  </si>
  <si>
    <t>Steel</t>
  </si>
  <si>
    <t>BOM:533758</t>
  </si>
  <si>
    <t>CROMPTON</t>
  </si>
  <si>
    <t>Plastic</t>
  </si>
  <si>
    <t>SUPREMEIND</t>
  </si>
  <si>
    <t>BAYERCROP</t>
  </si>
  <si>
    <t>SUMICHEM</t>
  </si>
  <si>
    <t>Manufacturing</t>
  </si>
  <si>
    <t>DIXON</t>
  </si>
  <si>
    <t>BOM:500770</t>
  </si>
  <si>
    <t>VINATIORGA</t>
  </si>
  <si>
    <t>WHIRLPOOL</t>
  </si>
  <si>
    <t>BOM:539437</t>
  </si>
  <si>
    <t>ENDURANCE</t>
  </si>
  <si>
    <t>BOM:500680</t>
  </si>
  <si>
    <t>BOM:521064</t>
  </si>
  <si>
    <t>BOM:532504</t>
  </si>
  <si>
    <t>BOM:500253</t>
  </si>
  <si>
    <t>Healthcare</t>
  </si>
  <si>
    <t>LALPATHLAB</t>
  </si>
  <si>
    <t>BOM:540750</t>
  </si>
  <si>
    <t>BOM:543318</t>
  </si>
  <si>
    <t>FINEORG</t>
  </si>
  <si>
    <t>APLLTD</t>
  </si>
  <si>
    <t>AFFLE</t>
  </si>
  <si>
    <t>BOM:532790</t>
  </si>
  <si>
    <t>BOM:542651</t>
  </si>
  <si>
    <t>Form</t>
  </si>
  <si>
    <t>BOM:540203</t>
  </si>
  <si>
    <t>INDIAMART</t>
  </si>
  <si>
    <t>BOM:543227</t>
  </si>
  <si>
    <t>EXIDEIND</t>
  </si>
  <si>
    <t>Playboard</t>
  </si>
  <si>
    <t>BOM:532548</t>
  </si>
  <si>
    <t>TTKPRESTIG</t>
  </si>
  <si>
    <t>NSE:CAMS</t>
  </si>
  <si>
    <t>BOM:532497</t>
  </si>
  <si>
    <t>BOM:517569</t>
  </si>
  <si>
    <t>GALAXYSURF</t>
  </si>
  <si>
    <t>BOM:532400</t>
  </si>
  <si>
    <t>BOM:530999</t>
  </si>
  <si>
    <t>BOM:543427</t>
  </si>
  <si>
    <t>BOM:500940</t>
  </si>
  <si>
    <t>BOM:502219</t>
  </si>
  <si>
    <t>BOM:543238</t>
  </si>
  <si>
    <t>AMARAJABAT</t>
  </si>
  <si>
    <t>BOM:543228</t>
  </si>
  <si>
    <t>BOM:543277</t>
  </si>
  <si>
    <t>BOM:500183</t>
  </si>
  <si>
    <t>BOM:539957</t>
  </si>
  <si>
    <t>MANAPPURAM</t>
  </si>
  <si>
    <t>BOM:540902</t>
  </si>
  <si>
    <t>BOM:531768</t>
  </si>
  <si>
    <t>packaging</t>
  </si>
  <si>
    <t>BOM:524051</t>
  </si>
  <si>
    <t>SONATSOFTW</t>
  </si>
  <si>
    <t>BOM:506820</t>
  </si>
  <si>
    <t>BOM:543398</t>
  </si>
  <si>
    <t>BOM:522205</t>
  </si>
  <si>
    <t>BOM:532174</t>
  </si>
  <si>
    <t>BOM:532482</t>
  </si>
  <si>
    <t>Logistic</t>
  </si>
  <si>
    <t>BOM:540212</t>
  </si>
  <si>
    <t>BOM:504067</t>
  </si>
  <si>
    <t>BOM:523704</t>
  </si>
  <si>
    <t>GARFIBRES</t>
  </si>
  <si>
    <t>GMMPFAUDLR</t>
  </si>
  <si>
    <t>BOM:532374</t>
  </si>
  <si>
    <t>ORIENTELEC</t>
  </si>
  <si>
    <t>Food</t>
  </si>
  <si>
    <t>AVANTIFEED</t>
  </si>
  <si>
    <t>Ceramics</t>
  </si>
  <si>
    <t>BOM:532443</t>
  </si>
  <si>
    <t>BOM:543276</t>
  </si>
  <si>
    <t>BOM:590021</t>
  </si>
  <si>
    <t>BOM:500292</t>
  </si>
  <si>
    <t>BOM:533138</t>
  </si>
  <si>
    <t>BOM:524348</t>
  </si>
  <si>
    <t>BOM:543428</t>
  </si>
  <si>
    <t>THYROCARE</t>
  </si>
  <si>
    <t>BOM:542665</t>
  </si>
  <si>
    <t>BOM:507717</t>
  </si>
  <si>
    <t>ADVENZYMES</t>
  </si>
  <si>
    <t>BOM:507685</t>
  </si>
  <si>
    <t>BOM:540900</t>
  </si>
  <si>
    <t>BOM:512529</t>
  </si>
  <si>
    <t>BOM:533080</t>
  </si>
  <si>
    <t>TASTYBITE</t>
  </si>
  <si>
    <t>BOM:543266</t>
  </si>
  <si>
    <t>Defence</t>
  </si>
  <si>
    <t>BOM:543367</t>
  </si>
  <si>
    <t>BOM:532630</t>
  </si>
  <si>
    <t>Kitchen Appliances</t>
  </si>
  <si>
    <t>BOM:542905</t>
  </si>
  <si>
    <t>BOM:500570</t>
  </si>
  <si>
    <t>BOM:500052</t>
  </si>
  <si>
    <t>BOM:531761</t>
  </si>
  <si>
    <t>BOM:500655</t>
  </si>
  <si>
    <t>CHEMCON</t>
  </si>
  <si>
    <t>BOM:543264</t>
  </si>
  <si>
    <t>DRREDDY</t>
  </si>
  <si>
    <t>HDFCBANK</t>
  </si>
  <si>
    <t>FINCABLES</t>
  </si>
  <si>
    <t>BOM:540767</t>
  </si>
  <si>
    <t>ABBOTINDIA</t>
  </si>
  <si>
    <t>AXISBANK</t>
  </si>
  <si>
    <t>BOM:532134</t>
  </si>
  <si>
    <t>BOM:500112</t>
  </si>
  <si>
    <t>BOM:500469</t>
  </si>
  <si>
    <t>SHREECEM</t>
  </si>
  <si>
    <t>BOM:500209</t>
  </si>
  <si>
    <t>Telecom and oil</t>
  </si>
  <si>
    <t>RELIANCE</t>
  </si>
  <si>
    <t>BOM:524226</t>
  </si>
  <si>
    <t>BOM:524091</t>
  </si>
  <si>
    <t>HDFCLIFE</t>
  </si>
  <si>
    <t>BOM:532644</t>
  </si>
  <si>
    <t>ICICIPRULI</t>
  </si>
  <si>
    <t>BOM:500114</t>
  </si>
  <si>
    <t>BOM:526729</t>
  </si>
  <si>
    <t>MCDOWELL-N</t>
  </si>
  <si>
    <t>BOM:543213</t>
  </si>
  <si>
    <t>KANSAINER</t>
  </si>
  <si>
    <t>BOM:500575</t>
  </si>
  <si>
    <t>BOM:543336</t>
  </si>
  <si>
    <t>BOM:540115</t>
  </si>
  <si>
    <t>BOM:532648</t>
  </si>
  <si>
    <t>BOM:543245</t>
  </si>
  <si>
    <t>BOM:508486</t>
  </si>
  <si>
    <t>BOM:543270</t>
  </si>
  <si>
    <t>BOM:532156</t>
  </si>
  <si>
    <t>BOM:500027</t>
  </si>
  <si>
    <t>BOM:543425</t>
  </si>
  <si>
    <t>SUNPHARMA</t>
  </si>
  <si>
    <t>BO:524742</t>
  </si>
  <si>
    <t>CYIENT</t>
  </si>
  <si>
    <t>BOM:540180</t>
  </si>
  <si>
    <t>BOM:542907</t>
  </si>
  <si>
    <t>JUBLFOOD</t>
  </si>
  <si>
    <t>ALKYLAMINE</t>
  </si>
  <si>
    <t>Small Finance</t>
  </si>
  <si>
    <t>AUBANK</t>
  </si>
  <si>
    <t>BOM:519126</t>
  </si>
  <si>
    <t>BOM:532725</t>
  </si>
  <si>
    <t>KOTAKBANK</t>
  </si>
  <si>
    <t>kitchen</t>
  </si>
  <si>
    <t>BOM:543260</t>
  </si>
  <si>
    <t>BOM:532424</t>
  </si>
  <si>
    <t>BOM:541540</t>
  </si>
  <si>
    <t>Ceramic</t>
  </si>
  <si>
    <t>KAJARIACER</t>
  </si>
  <si>
    <t>BOM:543328</t>
  </si>
  <si>
    <t>METROPOLIS</t>
  </si>
  <si>
    <t>AARTIIND</t>
  </si>
  <si>
    <t>BOM:532348</t>
  </si>
  <si>
    <t>Reserach</t>
  </si>
  <si>
    <t>CRISIL</t>
  </si>
  <si>
    <t>BOM:539542</t>
  </si>
  <si>
    <t>BOM:543526</t>
  </si>
  <si>
    <t>NSE/ BSE Code</t>
  </si>
  <si>
    <t>Bear Mode 1</t>
  </si>
  <si>
    <t>Bear Mode 2</t>
  </si>
  <si>
    <t>Status</t>
  </si>
  <si>
    <t>Cap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</si>
</sst>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Poppins"/>
    </font>
    <font>
      <sz val="12.0"/>
      <color rgb="FFFFFFFF"/>
      <name val="Poppins"/>
    </font>
    <font>
      <sz val="12.0"/>
      <color theme="1"/>
      <name val="Poppins"/>
    </font>
    <font>
      <sz val="12.0"/>
      <color rgb="FF000000"/>
      <name val="Poppins"/>
    </font>
    <font>
      <b/>
      <sz val="18.0"/>
      <color theme="1"/>
      <name val="Poppins"/>
    </font>
    <font/>
    <font>
      <color theme="1"/>
      <name val="Arial"/>
      <scheme val="minor"/>
    </font>
    <font>
      <b/>
      <sz val="12.0"/>
      <color rgb="FF000000"/>
      <name val="Poppins"/>
    </font>
    <font>
      <b/>
      <sz val="13.0"/>
      <color theme="1"/>
      <name val="Poppins"/>
    </font>
    <font>
      <sz val="13.0"/>
      <color theme="1"/>
      <name val="Arial"/>
      <scheme val="minor"/>
    </font>
    <font>
      <sz val="12.0"/>
      <color theme="1"/>
      <name val="Arial"/>
      <scheme val="minor"/>
    </font>
    <font>
      <color rgb="FF000000"/>
      <name val="Arial"/>
      <scheme val="minor"/>
    </font>
    <font>
      <b/>
      <i/>
      <sz val="12.0"/>
      <color rgb="FF000000"/>
      <name val="Poppins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3D297"/>
        <bgColor rgb="FF63D297"/>
      </patternFill>
    </fill>
    <fill>
      <patternFill patternType="solid">
        <fgColor rgb="FFF3F3F3"/>
        <bgColor rgb="FFF3F3F3"/>
      </patternFill>
    </fill>
    <fill>
      <patternFill patternType="solid">
        <fgColor rgb="FFFFD966"/>
        <bgColor rgb="FFFFD966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10" xfId="0" applyAlignment="1" applyBorder="1" applyFont="1" applyNumberFormat="1">
      <alignment horizontal="left" shrinkToFit="0" vertical="center" wrapText="1"/>
    </xf>
    <xf borderId="0" fillId="0" fontId="1" numFmtId="10" xfId="0" applyAlignment="1" applyFont="1" applyNumberFormat="1">
      <alignment horizontal="left" shrinkToFit="0" vertical="center" wrapText="1"/>
    </xf>
    <xf borderId="3" fillId="2" fontId="2" numFmtId="0" xfId="0" applyAlignment="1" applyBorder="1" applyFill="1" applyFont="1">
      <alignment horizontal="left" shrinkToFit="0" vertical="center" wrapText="1"/>
    </xf>
    <xf borderId="4" fillId="0" fontId="3" numFmtId="2" xfId="0" applyAlignment="1" applyBorder="1" applyFont="1" applyNumberFormat="1">
      <alignment horizontal="left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0" fontId="3" numFmtId="10" xfId="0" applyAlignment="1" applyBorder="1" applyFont="1" applyNumberFormat="1">
      <alignment horizontal="left" shrinkToFit="0" vertical="center" wrapText="1"/>
    </xf>
    <xf borderId="0" fillId="0" fontId="3" numFmtId="10" xfId="0" applyAlignment="1" applyFont="1" applyNumberFormat="1">
      <alignment horizontal="left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4" fillId="0" fontId="3" numFmtId="2" xfId="0" applyAlignment="1" applyBorder="1" applyFont="1" applyNumberFormat="1">
      <alignment horizontal="left" readingOrder="0" shrinkToFit="0" vertical="center" wrapText="1"/>
    </xf>
    <xf borderId="2" fillId="0" fontId="3" numFmtId="10" xfId="0" applyAlignment="1" applyBorder="1" applyFont="1" applyNumberFormat="1">
      <alignment horizontal="left" readingOrder="0" shrinkToFit="0" vertical="center" wrapText="1"/>
    </xf>
    <xf borderId="0" fillId="0" fontId="3" numFmtId="10" xfId="0" applyAlignment="1" applyFont="1" applyNumberFormat="1">
      <alignment horizontal="left" readingOrder="0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0" fontId="3" numFmtId="2" xfId="0" applyAlignment="1" applyFont="1" applyNumberForma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5" fillId="3" fontId="5" numFmtId="0" xfId="0" applyAlignment="1" applyBorder="1" applyFill="1" applyFont="1">
      <alignment horizontal="center" readingOrder="0" shrinkToFit="0" vertical="center" wrapText="1"/>
    </xf>
    <xf borderId="6" fillId="0" fontId="6" numFmtId="0" xfId="0" applyBorder="1" applyFont="1"/>
    <xf borderId="7" fillId="0" fontId="6" numFmtId="0" xfId="0" applyBorder="1" applyFont="1"/>
    <xf borderId="0" fillId="4" fontId="1" numFmtId="0" xfId="0" applyAlignment="1" applyFill="1" applyFont="1">
      <alignment horizontal="left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left"/>
    </xf>
    <xf borderId="8" fillId="0" fontId="8" numFmtId="0" xfId="0" applyAlignment="1" applyBorder="1" applyFont="1">
      <alignment horizontal="left"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borderId="8" fillId="0" fontId="1" numFmtId="10" xfId="0" applyAlignment="1" applyBorder="1" applyFont="1" applyNumberFormat="1">
      <alignment horizontal="left" shrinkToFit="0" vertical="center" wrapText="1"/>
    </xf>
    <xf borderId="8" fillId="5" fontId="9" numFmtId="0" xfId="0" applyAlignment="1" applyBorder="1" applyFill="1" applyFont="1">
      <alignment horizontal="center" readingOrder="0" shrinkToFit="0" vertical="center" wrapText="1"/>
    </xf>
    <xf borderId="8" fillId="5" fontId="1" numFmtId="0" xfId="0" applyAlignment="1" applyBorder="1" applyFont="1">
      <alignment horizontal="left" readingOrder="0" shrinkToFit="0" vertical="center" wrapText="1"/>
    </xf>
    <xf borderId="8" fillId="5" fontId="1" numFmtId="0" xfId="0" applyAlignment="1" applyBorder="1" applyFont="1">
      <alignment horizontal="center" readingOrder="0" shrinkToFit="0" vertical="center" wrapText="1"/>
    </xf>
    <xf borderId="8" fillId="2" fontId="4" numFmtId="0" xfId="0" applyAlignment="1" applyBorder="1" applyFont="1">
      <alignment horizontal="left"/>
    </xf>
    <xf borderId="8" fillId="0" fontId="3" numFmtId="4" xfId="0" applyAlignment="1" applyBorder="1" applyFont="1" applyNumberFormat="1">
      <alignment horizontal="left"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8" fillId="0" fontId="3" numFmtId="10" xfId="0" applyAlignment="1" applyBorder="1" applyFont="1" applyNumberFormat="1">
      <alignment horizontal="left" shrinkToFit="0" vertical="center" wrapText="1"/>
    </xf>
    <xf borderId="8" fillId="0" fontId="10" numFmtId="0" xfId="0" applyBorder="1" applyFont="1"/>
    <xf borderId="8" fillId="0" fontId="11" numFmtId="10" xfId="0" applyAlignment="1" applyBorder="1" applyFont="1" applyNumberFormat="1">
      <alignment horizontal="center"/>
    </xf>
    <xf borderId="8" fillId="0" fontId="11" numFmtId="0" xfId="0" applyAlignment="1" applyBorder="1" applyFont="1">
      <alignment horizontal="center"/>
    </xf>
    <xf borderId="8" fillId="0" fontId="10" numFmtId="0" xfId="0" applyAlignment="1" applyBorder="1" applyFont="1">
      <alignment horizontal="center"/>
    </xf>
    <xf borderId="8" fillId="2" fontId="4" numFmtId="0" xfId="0" applyAlignment="1" applyBorder="1" applyFont="1">
      <alignment horizontal="left" shrinkToFit="0" vertical="center" wrapText="1"/>
    </xf>
    <xf borderId="0" fillId="0" fontId="12" numFmtId="0" xfId="0" applyFont="1"/>
    <xf borderId="8" fillId="0" fontId="13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1" numFmtId="10" xfId="0" applyAlignment="1" applyBorder="1" applyFont="1" applyNumberForma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8" fillId="0" fontId="3" numFmtId="4" xfId="0" applyAlignment="1" applyBorder="1" applyFont="1" applyNumberForma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10" xfId="0" applyAlignment="1" applyBorder="1" applyFont="1" applyNumberFormat="1">
      <alignment horizontal="center" readingOrder="0" shrinkToFit="0" vertical="center" wrapText="1"/>
    </xf>
    <xf borderId="8" fillId="0" fontId="3" numFmtId="10" xfId="0" applyAlignment="1" applyBorder="1" applyFont="1" applyNumberFormat="1">
      <alignment horizontal="center" shrinkToFit="0" vertical="center" wrapText="1"/>
    </xf>
    <xf borderId="8" fillId="5" fontId="3" numFmtId="0" xfId="0" applyAlignment="1" applyBorder="1" applyFont="1">
      <alignment horizontal="center" readingOrder="0" shrinkToFit="0" vertical="center" wrapText="1"/>
    </xf>
    <xf borderId="8" fillId="0" fontId="11" numFmtId="0" xfId="0" applyAlignment="1" applyBorder="1" applyFont="1">
      <alignment horizontal="center"/>
    </xf>
    <xf borderId="0" fillId="0" fontId="11" numFmtId="0" xfId="0" applyFont="1"/>
    <xf borderId="8" fillId="0" fontId="11" numFmtId="4" xfId="0" applyAlignment="1" applyBorder="1" applyFont="1" applyNumberFormat="1">
      <alignment horizontal="center"/>
    </xf>
  </cellXfs>
  <cellStyles count="1">
    <cellStyle xfId="0" name="Normal" builtinId="0"/>
  </cellStyles>
  <dxfs count="18">
    <dxf>
      <font/>
      <fill>
        <patternFill patternType="solid">
          <fgColor rgb="FFFF6262"/>
          <bgColor rgb="FFFF6262"/>
        </patternFill>
      </fill>
      <border/>
    </dxf>
    <dxf>
      <font/>
      <fill>
        <patternFill patternType="solid">
          <fgColor rgb="FF8DFF8A"/>
          <bgColor rgb="FF8DFF8A"/>
        </patternFill>
      </fill>
      <border/>
    </dxf>
    <dxf>
      <font>
        <color rgb="FFFFFFFF"/>
      </font>
      <fill>
        <patternFill patternType="solid">
          <fgColor rgb="FF1155CC"/>
          <bgColor rgb="FF1155CC"/>
        </patternFill>
      </fill>
      <border/>
    </dxf>
    <dxf>
      <font/>
      <fill>
        <patternFill patternType="solid">
          <fgColor rgb="FF7EFFCB"/>
          <bgColor rgb="FF7EFFCB"/>
        </patternFill>
      </fill>
      <border/>
    </dxf>
    <dxf>
      <font/>
      <fill>
        <patternFill patternType="solid">
          <fgColor rgb="FFFF7A7A"/>
          <bgColor rgb="FFFF7A7A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  <dxf>
      <font>
        <color rgb="FFFFFFFF"/>
      </font>
      <fill>
        <patternFill patternType="solid">
          <fgColor rgb="FF434343"/>
          <bgColor rgb="FF434343"/>
        </patternFill>
      </fill>
      <border/>
    </dxf>
    <dxf>
      <font>
        <color rgb="FF000000"/>
      </font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8">
    <tableStyle count="3" pivot="0" name="Data Set-style">
      <tableStyleElement dxfId="6" type="headerRow"/>
      <tableStyleElement dxfId="7" type="firstRowStripe"/>
      <tableStyleElement dxfId="8" type="secondRowStripe"/>
    </tableStyle>
    <tableStyle count="3" pivot="0" name="NSEBSE Code-style">
      <tableStyleElement dxfId="9" type="headerRow"/>
      <tableStyleElement dxfId="7" type="firstRowStripe"/>
      <tableStyleElement dxfId="10" type="secondRowStripe"/>
    </tableStyle>
    <tableStyle count="3" pivot="0" name="Tasks-style">
      <tableStyleElement dxfId="11" type="headerRow"/>
      <tableStyleElement dxfId="7" type="firstRowStripe"/>
      <tableStyleElement dxfId="12" type="secondRowStripe"/>
    </tableStyle>
    <tableStyle count="3" pivot="0" name="Tasks-style 2">
      <tableStyleElement dxfId="11" type="headerRow"/>
      <tableStyleElement dxfId="7" type="firstRowStripe"/>
      <tableStyleElement dxfId="12" type="secondRowStripe"/>
    </tableStyle>
    <tableStyle count="3" pivot="0" name="Tasks-style 3">
      <tableStyleElement dxfId="11" type="headerRow"/>
      <tableStyleElement dxfId="7" type="firstRowStripe"/>
      <tableStyleElement dxfId="12" type="secondRowStripe"/>
    </tableStyle>
    <tableStyle count="3" pivot="0" name="Data Source-style">
      <tableStyleElement dxfId="16" type="headerRow"/>
      <tableStyleElement dxfId="7" type="firstRowStripe"/>
      <tableStyleElement dxfId="17" type="secondRowStripe"/>
    </tableStyle>
    <tableStyle count="3" pivot="0" name="Data Source-style 2">
      <tableStyleElement dxfId="16" type="headerRow"/>
      <tableStyleElement dxfId="7" type="firstRowStripe"/>
      <tableStyleElement dxfId="17" type="secondRowStripe"/>
    </tableStyle>
    <tableStyle count="3" pivot="0" name="Data Source-style 3">
      <tableStyleElement dxfId="16" type="headerRow"/>
      <tableStyleElement dxfId="7" type="firstRowStripe"/>
      <tableStyleElement dxfId="1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214" displayName="Table_1" id="1">
  <tableColumns count="10">
    <tableColumn name="Stock" id="1"/>
    <tableColumn name="Market cap (in Rs Cr.)" id="2"/>
    <tableColumn name="Current price" id="3"/>
    <tableColumn name="PE Ratio" id="4"/>
    <tableColumn name="52 Week High" id="5"/>
    <tableColumn name="% Below 52 week high" id="6"/>
    <tableColumn name="52 Week Low" id="7"/>
    <tableColumn name="% Above 52 Week low" id="8"/>
    <tableColumn name="Yesterday Closing Price" id="9"/>
    <tableColumn name="% Change" id="10"/>
  </tableColumns>
  <tableStyleInfo name="Data Set-style" showColumnStripes="0" showFirstColumn="1" showLastColumn="1" showRowStripes="1"/>
</table>
</file>

<file path=xl/tables/table2.xml><?xml version="1.0" encoding="utf-8"?>
<table xmlns="http://schemas.openxmlformats.org/spreadsheetml/2006/main" ref="A3:C219" displayName="Table_2" id="2">
  <tableColumns count="3">
    <tableColumn name="Stock" id="1"/>
    <tableColumn name="Industry" id="2"/>
    <tableColumn name="NSE/BSE Code" id="3"/>
  </tableColumns>
  <tableStyleInfo name="NSEBSE Code-style" showColumnStripes="0" showFirstColumn="1" showLastColumn="1" showRowStripes="1"/>
</table>
</file>

<file path=xl/tables/table3.xml><?xml version="1.0" encoding="utf-8"?>
<table xmlns="http://schemas.openxmlformats.org/spreadsheetml/2006/main" ref="A1:L191" displayName="Table_3" id="3">
  <tableColumns count="12">
    <tableColumn name="Stock" id="1"/>
    <tableColumn name="Market cap (in Rs Cr.)" id="2"/>
    <tableColumn name="Current price" id="3"/>
    <tableColumn name="PE Ratio" id="4"/>
    <tableColumn name="52 Week High" id="5"/>
    <tableColumn name="% Below 52 week high" id="6"/>
    <tableColumn name="52 Week Low" id="7"/>
    <tableColumn name="% Above 52 Week low" id="8"/>
    <tableColumn name="Yesterday Closing Price" id="9"/>
    <tableColumn name="% Change" id="10"/>
    <tableColumn name="Industry" id="11"/>
    <tableColumn name="NSE/ BSE Code" id="12"/>
  </tableColumns>
  <tableStyleInfo name="Tasks-style" showColumnStripes="0" showFirstColumn="1" showLastColumn="1" showRowStripes="1"/>
</table>
</file>

<file path=xl/tables/table4.xml><?xml version="1.0" encoding="utf-8"?>
<table xmlns="http://schemas.openxmlformats.org/spreadsheetml/2006/main" ref="M1:N191" displayName="Table_4" id="4">
  <tableColumns count="2">
    <tableColumn name="Bear Mode 1" id="1"/>
    <tableColumn name="Bear Mode 2" id="2"/>
  </tableColumns>
  <tableStyleInfo name="Tasks-style 2" showColumnStripes="0" showFirstColumn="1" showLastColumn="1" showRowStripes="1"/>
</table>
</file>

<file path=xl/tables/table5.xml><?xml version="1.0" encoding="utf-8"?>
<table xmlns="http://schemas.openxmlformats.org/spreadsheetml/2006/main" ref="O1:P191" displayName="Table_5" id="5">
  <tableColumns count="2">
    <tableColumn name="Status" id="1"/>
    <tableColumn name="Cap Size" id="2"/>
  </tableColumns>
  <tableStyleInfo name="Tasks-style 3" showColumnStripes="0" showFirstColumn="1" showLastColumn="1" showRowStripes="1"/>
</table>
</file>

<file path=xl/tables/table6.xml><?xml version="1.0" encoding="utf-8"?>
<table xmlns="http://schemas.openxmlformats.org/spreadsheetml/2006/main" ref="A1:L48" displayName="Table_6" id="6">
  <tableColumns count="12">
    <tableColumn name="Stock" id="1"/>
    <tableColumn name="Market cap (in Rs Cr.)" id="2"/>
    <tableColumn name="Current price" id="3"/>
    <tableColumn name="PE Ratio" id="4"/>
    <tableColumn name="52 Week High" id="5"/>
    <tableColumn name="% Below 52 week high" id="6"/>
    <tableColumn name="52 Week Low" id="7"/>
    <tableColumn name="% Above 52 Week low" id="8"/>
    <tableColumn name="Yesterday Closing Price" id="9"/>
    <tableColumn name="% Change" id="10"/>
    <tableColumn name="Industry" id="11"/>
    <tableColumn name="NSE/ BSE Code" id="12"/>
  </tableColumns>
  <tableStyleInfo name="Data Source-style" showColumnStripes="0" showFirstColumn="1" showLastColumn="1" showRowStripes="1"/>
</table>
</file>

<file path=xl/tables/table7.xml><?xml version="1.0" encoding="utf-8"?>
<table xmlns="http://schemas.openxmlformats.org/spreadsheetml/2006/main" headerRowCount="0" ref="M1:N1" displayName="Table_7" id="7">
  <tableColumns count="2">
    <tableColumn name="Column1" id="1"/>
    <tableColumn name="Column2" id="2"/>
  </tableColumns>
  <tableStyleInfo name="Data Source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ref="O1:P48" displayName="Table_8" id="8">
  <tableColumns count="2">
    <tableColumn name="Status" id="1"/>
    <tableColumn name="Cap Size" id="2"/>
  </tableColumns>
  <tableStyleInfo name="Data Source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5" Type="http://schemas.openxmlformats.org/officeDocument/2006/relationships/table" Target="../tables/table3.xml"/><Relationship Id="rId6" Type="http://schemas.openxmlformats.org/officeDocument/2006/relationships/table" Target="../tables/table4.xml"/><Relationship Id="rId7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5" Type="http://schemas.openxmlformats.org/officeDocument/2006/relationships/table" Target="../tables/table6.xml"/><Relationship Id="rId6" Type="http://schemas.openxmlformats.org/officeDocument/2006/relationships/table" Target="../tables/table7.xml"/><Relationship Id="rId7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5.75"/>
  <cols>
    <col customWidth="1" min="1" max="1" width="24.38"/>
    <col customWidth="1" min="2" max="2" width="17.0"/>
    <col customWidth="1" min="6" max="6" width="12.88"/>
    <col customWidth="1" min="9" max="9" width="14.75"/>
    <col customWidth="1" min="10" max="10" width="20.63"/>
    <col customWidth="1" min="11" max="11" width="28.0"/>
    <col customWidth="1" min="12" max="29" width="19.63"/>
  </cols>
  <sheetData>
    <row r="1" ht="4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10</v>
      </c>
      <c r="B2" s="6">
        <v>1234544.5174748</v>
      </c>
      <c r="C2" s="7">
        <v>3374.2</v>
      </c>
      <c r="D2" s="8">
        <v>30.43</v>
      </c>
      <c r="E2" s="8">
        <v>4045.5</v>
      </c>
      <c r="F2" s="9">
        <v>0.1659374613768385</v>
      </c>
      <c r="G2" s="8">
        <v>2926.0</v>
      </c>
      <c r="H2" s="9">
        <v>0.15317840054682152</v>
      </c>
      <c r="I2" s="8">
        <v>3334.6</v>
      </c>
      <c r="J2" s="9">
        <v>0.01187548731482034</v>
      </c>
      <c r="K2" s="10"/>
      <c r="L2" s="10"/>
      <c r="M2" s="10"/>
      <c r="N2" s="10"/>
      <c r="O2" s="10"/>
      <c r="P2" s="10"/>
      <c r="Q2" s="10"/>
      <c r="R2" s="10"/>
      <c r="S2" s="10" t="str">
        <f>VLOOKUP(A2,D2:D22,2,FALSE)</f>
        <v>#REF!</v>
      </c>
      <c r="T2" s="10"/>
      <c r="U2" s="10"/>
      <c r="V2" s="10"/>
      <c r="W2" s="10"/>
      <c r="X2" s="10"/>
      <c r="Y2" s="10" t="str">
        <f>VLOOKUP(A2)</f>
        <v>#N/A</v>
      </c>
      <c r="Z2" s="10"/>
      <c r="AA2" s="10"/>
      <c r="AB2" s="10"/>
      <c r="AC2" s="10"/>
    </row>
    <row r="3">
      <c r="A3" s="5" t="s">
        <v>11</v>
      </c>
      <c r="B3" s="6">
        <v>616301.326875</v>
      </c>
      <c r="C3" s="8">
        <v>2620.6</v>
      </c>
      <c r="D3" s="8">
        <v>63.81</v>
      </c>
      <c r="E3" s="8">
        <v>2741.6</v>
      </c>
      <c r="F3" s="9">
        <v>0.0441348117887365</v>
      </c>
      <c r="G3" s="8">
        <v>1901.55</v>
      </c>
      <c r="H3" s="9">
        <v>0.37813888669769397</v>
      </c>
      <c r="I3" s="8">
        <v>2590.05</v>
      </c>
      <c r="J3" s="9">
        <v>0.011795139089978852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>
      <c r="A4" s="5" t="s">
        <v>12</v>
      </c>
      <c r="B4" s="6">
        <v>441027.3972459</v>
      </c>
      <c r="C4" s="8">
        <v>764.6</v>
      </c>
      <c r="D4" s="8">
        <v>65.86</v>
      </c>
      <c r="E4" s="8">
        <v>860.55</v>
      </c>
      <c r="F4" s="9">
        <v>0.11149846028702566</v>
      </c>
      <c r="G4" s="8">
        <v>628.75</v>
      </c>
      <c r="H4" s="9">
        <v>0.2160636182902585</v>
      </c>
      <c r="I4" s="8">
        <v>756.9</v>
      </c>
      <c r="J4" s="9">
        <v>0.010173074382349117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5" t="s">
        <v>13</v>
      </c>
      <c r="B5" s="6">
        <v>361172.6351402</v>
      </c>
      <c r="C5" s="8">
        <v>5977.0</v>
      </c>
      <c r="D5" s="8">
        <v>36.52</v>
      </c>
      <c r="E5" s="8">
        <v>8045.0</v>
      </c>
      <c r="F5" s="9">
        <v>0.25705407085146054</v>
      </c>
      <c r="G5" s="8">
        <v>5220.0</v>
      </c>
      <c r="H5" s="9">
        <v>0.1450191570881226</v>
      </c>
      <c r="I5" s="8">
        <v>5898.4</v>
      </c>
      <c r="J5" s="9">
        <v>0.013325647633256539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5" t="s">
        <v>14</v>
      </c>
      <c r="B6" s="6">
        <v>278960.0995659</v>
      </c>
      <c r="C6" s="8">
        <v>2912.0</v>
      </c>
      <c r="D6" s="8">
        <v>76.19</v>
      </c>
      <c r="E6" s="8">
        <v>3582.9</v>
      </c>
      <c r="F6" s="9">
        <v>0.18725055122945103</v>
      </c>
      <c r="G6" s="8">
        <v>2560.0</v>
      </c>
      <c r="H6" s="9">
        <v>0.1375</v>
      </c>
      <c r="I6" s="8">
        <v>2915.95</v>
      </c>
      <c r="J6" s="9">
        <v>-0.0013546185634183776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>
      <c r="A7" s="5" t="s">
        <v>15</v>
      </c>
      <c r="B7" s="6">
        <v>291770.1146186</v>
      </c>
      <c r="C7" s="8">
        <v>1077.0</v>
      </c>
      <c r="D7" s="11" t="s">
        <v>16</v>
      </c>
      <c r="E7" s="8">
        <v>1359.4</v>
      </c>
      <c r="F7" s="9">
        <v>0.20773870825364135</v>
      </c>
      <c r="G7" s="8">
        <v>877.35</v>
      </c>
      <c r="H7" s="9">
        <v>0.22756026671225849</v>
      </c>
      <c r="I7" s="8">
        <v>1071.65</v>
      </c>
      <c r="J7" s="9">
        <v>0.00499230159100444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5" t="s">
        <v>17</v>
      </c>
      <c r="B8" s="6">
        <v>255438.4185926</v>
      </c>
      <c r="C8" s="8">
        <v>8454.2</v>
      </c>
      <c r="D8" s="8">
        <v>42.1</v>
      </c>
      <c r="E8" s="8">
        <v>9769.0</v>
      </c>
      <c r="F8" s="9">
        <v>0.13458900603951268</v>
      </c>
      <c r="G8" s="8">
        <v>6536.55</v>
      </c>
      <c r="H8" s="9">
        <v>0.2933734156397489</v>
      </c>
      <c r="I8" s="8">
        <v>8369.2</v>
      </c>
      <c r="J8" s="9">
        <v>0.010156287339291688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5" t="s">
        <v>18</v>
      </c>
      <c r="B9" s="6">
        <v>250157.9350853</v>
      </c>
      <c r="C9" s="8">
        <v>3855.0</v>
      </c>
      <c r="D9" s="8">
        <v>109.05</v>
      </c>
      <c r="E9" s="8">
        <v>4609.0</v>
      </c>
      <c r="F9" s="9">
        <v>0.16359297027554784</v>
      </c>
      <c r="G9" s="8">
        <v>3186.0</v>
      </c>
      <c r="H9" s="9">
        <v>0.20998116760828625</v>
      </c>
      <c r="I9" s="8">
        <v>3911.8</v>
      </c>
      <c r="J9" s="9">
        <v>-0.014520169742829435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>
      <c r="A10" s="5" t="s">
        <v>19</v>
      </c>
      <c r="B10" s="6">
        <v>302617.166625</v>
      </c>
      <c r="C10" s="8">
        <v>2153.75</v>
      </c>
      <c r="D10" s="8">
        <v>31.53</v>
      </c>
      <c r="E10" s="8">
        <v>2210.5</v>
      </c>
      <c r="F10" s="9">
        <v>0.025672924677674736</v>
      </c>
      <c r="G10" s="8">
        <v>1456.8</v>
      </c>
      <c r="H10" s="9">
        <v>0.4784115870400879</v>
      </c>
      <c r="I10" s="8">
        <v>2160.2</v>
      </c>
      <c r="J10" s="9">
        <v>-0.0029858346449401995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5" t="s">
        <v>20</v>
      </c>
      <c r="B11" s="6">
        <v>221292.5064376</v>
      </c>
      <c r="C11" s="8">
        <v>1391.0</v>
      </c>
      <c r="D11" s="8">
        <v>40.48</v>
      </c>
      <c r="E11" s="8">
        <v>3724.2</v>
      </c>
      <c r="F11" s="9">
        <v>0.6264969657913109</v>
      </c>
      <c r="G11" s="8">
        <v>1374.35</v>
      </c>
      <c r="H11" s="9">
        <v>0.012114817913923012</v>
      </c>
      <c r="I11" s="8">
        <v>1387.8</v>
      </c>
      <c r="J11" s="9">
        <v>0.002305807753278603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5" t="s">
        <v>21</v>
      </c>
      <c r="B12" s="6">
        <v>190752.2</v>
      </c>
      <c r="C12" s="8">
        <v>19782.3</v>
      </c>
      <c r="D12" s="8">
        <v>88.1</v>
      </c>
      <c r="E12" s="8">
        <v>21050.0</v>
      </c>
      <c r="F12" s="9">
        <v>0.060223277909738755</v>
      </c>
      <c r="G12" s="8">
        <v>16000.0</v>
      </c>
      <c r="H12" s="9">
        <v>0.23639374999999996</v>
      </c>
      <c r="I12" s="8">
        <v>19873.25</v>
      </c>
      <c r="J12" s="9">
        <v>-0.004576503591511238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5" t="s">
        <v>22</v>
      </c>
      <c r="B13" s="6">
        <v>208975.8</v>
      </c>
      <c r="C13" s="8">
        <v>7244.95</v>
      </c>
      <c r="D13" s="8">
        <v>31.35</v>
      </c>
      <c r="E13" s="8">
        <v>7946.0</v>
      </c>
      <c r="F13" s="9">
        <v>0.08822678077019887</v>
      </c>
      <c r="G13" s="8">
        <v>5157.05</v>
      </c>
      <c r="H13" s="9">
        <v>0.4048632454600982</v>
      </c>
      <c r="I13" s="8">
        <v>7153.35</v>
      </c>
      <c r="J13" s="9">
        <v>0.012805189177098764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5" t="s">
        <v>23</v>
      </c>
      <c r="B14" s="6">
        <v>158785.3716893</v>
      </c>
      <c r="C14" s="8">
        <v>1327.55</v>
      </c>
      <c r="D14" s="8">
        <v>16.12</v>
      </c>
      <c r="E14" s="8">
        <v>1366.55</v>
      </c>
      <c r="F14" s="9">
        <v>0.028539021623797154</v>
      </c>
      <c r="G14" s="8">
        <v>671.15</v>
      </c>
      <c r="H14" s="9">
        <v>0.9780227966922447</v>
      </c>
      <c r="I14" s="8">
        <v>1319.9</v>
      </c>
      <c r="J14" s="9">
        <v>0.005795893628305071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5" t="s">
        <v>24</v>
      </c>
      <c r="B15" s="6">
        <v>101964.8629622</v>
      </c>
      <c r="C15" s="8">
        <v>3602.45</v>
      </c>
      <c r="D15" s="8">
        <v>17.79</v>
      </c>
      <c r="E15" s="8">
        <v>4131.75</v>
      </c>
      <c r="F15" s="9">
        <v>0.12810552429358024</v>
      </c>
      <c r="G15" s="8">
        <v>3125.0</v>
      </c>
      <c r="H15" s="9">
        <v>0.15278399999999995</v>
      </c>
      <c r="I15" s="8">
        <v>3570.3</v>
      </c>
      <c r="J15" s="9">
        <v>0.009004845531187753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5" t="s">
        <v>25</v>
      </c>
      <c r="B16" s="6">
        <v>127340.0</v>
      </c>
      <c r="C16" s="8">
        <v>2513.0</v>
      </c>
      <c r="D16" s="8">
        <v>98.38</v>
      </c>
      <c r="E16" s="8">
        <v>2918.95</v>
      </c>
      <c r="F16" s="9">
        <v>0.13907398208259814</v>
      </c>
      <c r="G16" s="8">
        <v>1988.55</v>
      </c>
      <c r="H16" s="9">
        <v>0.26373488220059843</v>
      </c>
      <c r="I16" s="8">
        <v>2495.5</v>
      </c>
      <c r="J16" s="9">
        <v>0.0070126227208976155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5" t="s">
        <v>26</v>
      </c>
      <c r="B17" s="6">
        <v>130568.986925</v>
      </c>
      <c r="C17" s="8">
        <v>1307.0</v>
      </c>
      <c r="D17" s="8">
        <v>78.07</v>
      </c>
      <c r="E17" s="8">
        <v>1340.35</v>
      </c>
      <c r="F17" s="9">
        <v>0.024881560786361705</v>
      </c>
      <c r="G17" s="8">
        <v>1003.5</v>
      </c>
      <c r="H17" s="9">
        <v>0.3024414549078226</v>
      </c>
      <c r="I17" s="8">
        <v>1315.7</v>
      </c>
      <c r="J17" s="9">
        <v>-0.006612449646576001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>
      <c r="A18" s="5" t="s">
        <v>27</v>
      </c>
      <c r="B18" s="6">
        <v>147293.6037181</v>
      </c>
      <c r="C18" s="8">
        <v>120.45</v>
      </c>
      <c r="D18" s="8">
        <v>5.13</v>
      </c>
      <c r="E18" s="8">
        <v>138.63</v>
      </c>
      <c r="F18" s="9">
        <v>0.1311404457909543</v>
      </c>
      <c r="G18" s="8">
        <v>82.71</v>
      </c>
      <c r="H18" s="9">
        <v>0.45629307217990583</v>
      </c>
      <c r="I18" s="8">
        <v>118.05</v>
      </c>
      <c r="J18" s="9">
        <v>0.020330368487928893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5" t="s">
        <v>28</v>
      </c>
      <c r="B19" s="6">
        <v>88977.11</v>
      </c>
      <c r="C19" s="8">
        <v>3352.15</v>
      </c>
      <c r="D19" s="8">
        <v>29.74</v>
      </c>
      <c r="E19" s="8">
        <v>4668.0</v>
      </c>
      <c r="F19" s="9">
        <v>0.28188731790916877</v>
      </c>
      <c r="G19" s="8">
        <v>3195.15</v>
      </c>
      <c r="H19" s="9">
        <v>0.049136973225044206</v>
      </c>
      <c r="I19" s="8">
        <v>3305.3</v>
      </c>
      <c r="J19" s="9">
        <v>0.014174205064593201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>
      <c r="A20" s="5" t="s">
        <v>29</v>
      </c>
      <c r="B20" s="6">
        <v>97631.0184537</v>
      </c>
      <c r="C20" s="8">
        <v>1002.8</v>
      </c>
      <c r="D20" s="8">
        <v>16.8</v>
      </c>
      <c r="E20" s="8">
        <v>1751.0</v>
      </c>
      <c r="F20" s="9">
        <v>0.42729868646487723</v>
      </c>
      <c r="G20" s="8">
        <v>943.7</v>
      </c>
      <c r="H20" s="9">
        <v>0.06262583448129692</v>
      </c>
      <c r="I20" s="8">
        <v>1001.55</v>
      </c>
      <c r="J20" s="9">
        <v>0.0012480654984773601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5" t="s">
        <v>30</v>
      </c>
      <c r="B21" s="6">
        <v>96383.9372552</v>
      </c>
      <c r="C21" s="8">
        <v>544.0</v>
      </c>
      <c r="D21" s="8">
        <v>55.79</v>
      </c>
      <c r="E21" s="8">
        <v>610.75</v>
      </c>
      <c r="F21" s="9">
        <v>0.10929185427752763</v>
      </c>
      <c r="G21" s="8">
        <v>482.25</v>
      </c>
      <c r="H21" s="9">
        <v>0.12804561949196475</v>
      </c>
      <c r="I21" s="8">
        <v>544.95</v>
      </c>
      <c r="J21" s="9">
        <v>-0.0017432791999266821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>
      <c r="A22" s="5" t="s">
        <v>31</v>
      </c>
      <c r="B22" s="6">
        <v>104442.9</v>
      </c>
      <c r="C22" s="8">
        <v>4328.0</v>
      </c>
      <c r="D22" s="8">
        <v>65.9</v>
      </c>
      <c r="E22" s="8">
        <v>4537.0</v>
      </c>
      <c r="F22" s="9">
        <v>0.046065682168834034</v>
      </c>
      <c r="G22" s="8">
        <v>3050.0</v>
      </c>
      <c r="H22" s="9">
        <v>0.4190163934426229</v>
      </c>
      <c r="I22" s="8">
        <v>4299.25</v>
      </c>
      <c r="J22" s="9">
        <v>0.006687212885968483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5" t="s">
        <v>32</v>
      </c>
      <c r="B23" s="6">
        <v>86543.2296232</v>
      </c>
      <c r="C23" s="8">
        <v>3164.9</v>
      </c>
      <c r="D23" s="8">
        <v>37.12</v>
      </c>
      <c r="E23" s="8">
        <v>3889.65</v>
      </c>
      <c r="F23" s="9">
        <v>0.18632781869834047</v>
      </c>
      <c r="G23" s="8">
        <v>2159.55</v>
      </c>
      <c r="H23" s="9">
        <v>0.4655368016484915</v>
      </c>
      <c r="I23" s="8">
        <v>3103.25</v>
      </c>
      <c r="J23" s="9">
        <v>0.019866269233867747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>
      <c r="A24" s="5" t="s">
        <v>33</v>
      </c>
      <c r="B24" s="6">
        <v>86182.29</v>
      </c>
      <c r="C24" s="8">
        <v>1068.85</v>
      </c>
      <c r="D24" s="8">
        <v>33.64</v>
      </c>
      <c r="E24" s="8">
        <v>1185.25</v>
      </c>
      <c r="F24" s="9">
        <v>0.09820712929761662</v>
      </c>
      <c r="G24" s="8">
        <v>860.0</v>
      </c>
      <c r="H24" s="9">
        <v>0.24284883720930223</v>
      </c>
      <c r="I24" s="8">
        <v>1061.15</v>
      </c>
      <c r="J24" s="9">
        <v>0.007256278565706844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5" t="s">
        <v>34</v>
      </c>
      <c r="B25" s="6">
        <v>102995.3567038</v>
      </c>
      <c r="C25" s="8">
        <v>518.7</v>
      </c>
      <c r="D25" s="8">
        <v>57.36</v>
      </c>
      <c r="E25" s="8">
        <v>598.15</v>
      </c>
      <c r="F25" s="9">
        <v>0.13282621416032755</v>
      </c>
      <c r="G25" s="8">
        <v>274.0</v>
      </c>
      <c r="H25" s="9">
        <v>0.8930656934306571</v>
      </c>
      <c r="I25" s="8">
        <v>510.4</v>
      </c>
      <c r="J25" s="9">
        <v>0.01626175548589355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>
      <c r="A26" s="5" t="s">
        <v>35</v>
      </c>
      <c r="B26" s="6">
        <v>74336.7630665</v>
      </c>
      <c r="C26" s="8">
        <v>786.05</v>
      </c>
      <c r="D26" s="8">
        <v>35.28</v>
      </c>
      <c r="E26" s="8">
        <v>1028.65</v>
      </c>
      <c r="F26" s="9">
        <v>0.2358430953191077</v>
      </c>
      <c r="G26" s="8">
        <v>655.7</v>
      </c>
      <c r="H26" s="9">
        <v>0.1987951807228914</v>
      </c>
      <c r="I26" s="8">
        <v>780.25</v>
      </c>
      <c r="J26" s="9">
        <v>0.007433514899070752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5" t="s">
        <v>36</v>
      </c>
      <c r="B27" s="6">
        <v>126813.4</v>
      </c>
      <c r="C27" s="8">
        <v>4289.8</v>
      </c>
      <c r="D27" s="8">
        <v>34.73</v>
      </c>
      <c r="E27" s="8">
        <v>4293.25</v>
      </c>
      <c r="F27" s="9">
        <v>8.035870261456514E-4</v>
      </c>
      <c r="G27" s="8">
        <v>4147.45</v>
      </c>
      <c r="H27" s="9">
        <v>0.03432229442187377</v>
      </c>
      <c r="I27" s="8">
        <v>4279.2</v>
      </c>
      <c r="J27" s="9">
        <v>0.0024770985230885127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5" t="s">
        <v>37</v>
      </c>
      <c r="B28" s="6">
        <v>73418.66784</v>
      </c>
      <c r="C28" s="8">
        <v>1167.55</v>
      </c>
      <c r="D28" s="8">
        <v>67.24</v>
      </c>
      <c r="E28" s="8">
        <v>1405.55</v>
      </c>
      <c r="F28" s="9">
        <v>0.16932873252463448</v>
      </c>
      <c r="G28" s="8">
        <v>1024.5</v>
      </c>
      <c r="H28" s="9">
        <v>0.1396290873596876</v>
      </c>
      <c r="I28" s="8">
        <v>1192.6</v>
      </c>
      <c r="J28" s="9">
        <v>-0.021004527922186784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5" t="s">
        <v>38</v>
      </c>
      <c r="B29" s="6">
        <v>42070.7692196</v>
      </c>
      <c r="C29" s="8">
        <v>147.6</v>
      </c>
      <c r="D29" s="8">
        <v>918.2</v>
      </c>
      <c r="E29" s="8">
        <v>348.0</v>
      </c>
      <c r="F29" s="9">
        <v>0.5758620689655173</v>
      </c>
      <c r="G29" s="8">
        <v>139.35</v>
      </c>
      <c r="H29" s="9">
        <v>0.059203444564047365</v>
      </c>
      <c r="I29" s="8">
        <v>149.75</v>
      </c>
      <c r="J29" s="9">
        <v>-0.014357262103505882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>
      <c r="A30" s="5" t="s">
        <v>39</v>
      </c>
      <c r="B30" s="6">
        <v>69898.9623697</v>
      </c>
      <c r="C30" s="8">
        <v>752.8</v>
      </c>
      <c r="D30" s="8">
        <v>65.04</v>
      </c>
      <c r="E30" s="8">
        <v>861.15</v>
      </c>
      <c r="F30" s="9">
        <v>0.12582012425245315</v>
      </c>
      <c r="G30" s="8">
        <v>650.2</v>
      </c>
      <c r="H30" s="9">
        <v>0.15779760073823423</v>
      </c>
      <c r="I30" s="8">
        <v>754.25</v>
      </c>
      <c r="J30" s="9">
        <v>-0.0019224395094465303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5" t="s">
        <v>40</v>
      </c>
      <c r="B31" s="6">
        <v>66015.7769553</v>
      </c>
      <c r="C31" s="8">
        <v>206.55</v>
      </c>
      <c r="D31" s="8">
        <v>25.89</v>
      </c>
      <c r="E31" s="8">
        <v>298.0</v>
      </c>
      <c r="F31" s="9">
        <v>0.30687919463087243</v>
      </c>
      <c r="G31" s="8">
        <v>190.0</v>
      </c>
      <c r="H31" s="9">
        <v>0.0871052631578948</v>
      </c>
      <c r="I31" s="8">
        <v>205.65</v>
      </c>
      <c r="J31" s="9">
        <v>0.0043763676148796775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>
      <c r="A32" s="5" t="s">
        <v>41</v>
      </c>
      <c r="B32" s="6">
        <v>64133.35</v>
      </c>
      <c r="C32" s="8">
        <v>497.5</v>
      </c>
      <c r="D32" s="8">
        <v>52.21</v>
      </c>
      <c r="E32" s="8">
        <v>554.35</v>
      </c>
      <c r="F32" s="9">
        <v>0.10255253900965097</v>
      </c>
      <c r="G32" s="8">
        <v>455.65</v>
      </c>
      <c r="H32" s="9">
        <v>0.0918468122462417</v>
      </c>
      <c r="I32" s="8">
        <v>501.6</v>
      </c>
      <c r="J32" s="9">
        <v>-0.008173843700159535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5" t="s">
        <v>42</v>
      </c>
      <c r="B33" s="6">
        <v>54643.2617004</v>
      </c>
      <c r="C33" s="8">
        <v>564.0</v>
      </c>
      <c r="D33" s="8">
        <v>57.95</v>
      </c>
      <c r="E33" s="8">
        <v>793.05</v>
      </c>
      <c r="F33" s="9">
        <v>0.2888216379799508</v>
      </c>
      <c r="G33" s="8">
        <v>543.6</v>
      </c>
      <c r="H33" s="9">
        <v>0.0375275938189845</v>
      </c>
      <c r="I33" s="8">
        <v>561.95</v>
      </c>
      <c r="J33" s="9">
        <v>0.0036480113889135234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5" t="s">
        <v>43</v>
      </c>
      <c r="B34" s="6">
        <v>52280.0813339</v>
      </c>
      <c r="C34" s="8">
        <v>77.15</v>
      </c>
      <c r="D34" s="8">
        <v>67.22</v>
      </c>
      <c r="E34" s="8">
        <v>165.03</v>
      </c>
      <c r="F34" s="9">
        <v>0.5325092407441071</v>
      </c>
      <c r="G34" s="8">
        <v>61.85</v>
      </c>
      <c r="H34" s="9">
        <v>0.2473726758286177</v>
      </c>
      <c r="I34" s="8">
        <v>78.15</v>
      </c>
      <c r="J34" s="9">
        <v>-0.012795905310300703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5" t="s">
        <v>44</v>
      </c>
      <c r="B35" s="6">
        <v>54522.74</v>
      </c>
      <c r="C35" s="8">
        <v>2732.0</v>
      </c>
      <c r="D35" s="8">
        <v>21.06</v>
      </c>
      <c r="E35" s="8">
        <v>2938.6</v>
      </c>
      <c r="F35" s="9">
        <v>0.07030558769482063</v>
      </c>
      <c r="G35" s="8">
        <v>2146.85</v>
      </c>
      <c r="H35" s="9">
        <v>0.27256212590539636</v>
      </c>
      <c r="I35" s="8">
        <v>2694.25</v>
      </c>
      <c r="J35" s="9">
        <v>0.014011320404565278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5" t="s">
        <v>45</v>
      </c>
      <c r="B36" s="6">
        <v>44392.395</v>
      </c>
      <c r="C36" s="8">
        <v>53.25</v>
      </c>
      <c r="D36" s="11" t="s">
        <v>16</v>
      </c>
      <c r="E36" s="8">
        <v>135.35</v>
      </c>
      <c r="F36" s="9">
        <v>0.606575544883635</v>
      </c>
      <c r="G36" s="8">
        <v>40.55</v>
      </c>
      <c r="H36" s="9">
        <v>0.3131935881627621</v>
      </c>
      <c r="I36" s="8">
        <v>53.75</v>
      </c>
      <c r="J36" s="9">
        <v>-0.009302325581395349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5" t="s">
        <v>46</v>
      </c>
      <c r="B37" s="6">
        <v>48135.11</v>
      </c>
      <c r="C37" s="8">
        <v>3731.8</v>
      </c>
      <c r="D37" s="8">
        <v>8.76</v>
      </c>
      <c r="E37" s="8">
        <v>5790.0</v>
      </c>
      <c r="F37" s="9">
        <v>0.35547495682210706</v>
      </c>
      <c r="G37" s="8">
        <v>3314.0</v>
      </c>
      <c r="H37" s="9">
        <v>0.12607121303560656</v>
      </c>
      <c r="I37" s="8">
        <v>3719.3</v>
      </c>
      <c r="J37" s="9">
        <v>0.0033608474712983625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>
      <c r="A38" s="5" t="s">
        <v>47</v>
      </c>
      <c r="B38" s="6">
        <v>38754.622389</v>
      </c>
      <c r="C38" s="8">
        <v>6223.0</v>
      </c>
      <c r="D38" s="8">
        <v>57.85</v>
      </c>
      <c r="E38" s="8">
        <v>10760.0</v>
      </c>
      <c r="F38" s="9">
        <v>0.4216542750929368</v>
      </c>
      <c r="G38" s="8">
        <v>5709.05</v>
      </c>
      <c r="H38" s="9">
        <v>0.09002373424650333</v>
      </c>
      <c r="I38" s="8">
        <v>6196.65</v>
      </c>
      <c r="J38" s="9">
        <v>0.004252297612419673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5" t="s">
        <v>48</v>
      </c>
      <c r="B39" s="6">
        <v>53833.6605806</v>
      </c>
      <c r="C39" s="8">
        <v>718.45</v>
      </c>
      <c r="D39" s="8">
        <v>13.58</v>
      </c>
      <c r="E39" s="8">
        <v>848.0</v>
      </c>
      <c r="F39" s="9">
        <v>0.15277122641509427</v>
      </c>
      <c r="G39" s="8">
        <v>607.8</v>
      </c>
      <c r="H39" s="9">
        <v>0.18205001645278068</v>
      </c>
      <c r="I39" s="8">
        <v>719.05</v>
      </c>
      <c r="J39" s="9">
        <v>-8.344343230650289E-4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>
      <c r="A40" s="5" t="s">
        <v>49</v>
      </c>
      <c r="B40" s="6">
        <v>51348.0038553</v>
      </c>
      <c r="C40" s="8">
        <v>641.0</v>
      </c>
      <c r="D40" s="8">
        <v>57.32</v>
      </c>
      <c r="E40" s="8">
        <v>918.65</v>
      </c>
      <c r="F40" s="9">
        <v>0.3022369781744952</v>
      </c>
      <c r="G40" s="8">
        <v>557.0</v>
      </c>
      <c r="H40" s="9">
        <v>0.15080789946140036</v>
      </c>
      <c r="I40" s="8">
        <v>640.65</v>
      </c>
      <c r="J40" s="9">
        <v>5.463201436041876E-4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5" t="s">
        <v>50</v>
      </c>
      <c r="B41" s="6">
        <v>38329.8286</v>
      </c>
      <c r="C41" s="8">
        <v>237.75</v>
      </c>
      <c r="D41" s="8">
        <v>9.94</v>
      </c>
      <c r="E41" s="8">
        <v>349.55</v>
      </c>
      <c r="F41" s="9">
        <v>0.319839794020884</v>
      </c>
      <c r="G41" s="8">
        <v>209.55</v>
      </c>
      <c r="H41" s="9">
        <v>0.1345740873299928</v>
      </c>
      <c r="I41" s="8">
        <v>239.25</v>
      </c>
      <c r="J41" s="9">
        <v>-0.006269592476489028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>
      <c r="A42" s="5" t="s">
        <v>51</v>
      </c>
      <c r="B42" s="6">
        <v>44894.62</v>
      </c>
      <c r="C42" s="8">
        <v>40260.0</v>
      </c>
      <c r="D42" s="8">
        <v>61.16</v>
      </c>
      <c r="E42" s="8">
        <v>54349.1</v>
      </c>
      <c r="F42" s="9">
        <v>0.2592333635699579</v>
      </c>
      <c r="G42" s="8">
        <v>37825.0</v>
      </c>
      <c r="H42" s="9">
        <v>0.06437541308658294</v>
      </c>
      <c r="I42" s="8">
        <v>40639.05</v>
      </c>
      <c r="J42" s="9">
        <v>-0.009327235749851507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5" t="s">
        <v>52</v>
      </c>
      <c r="B43" s="6">
        <v>45155.21625</v>
      </c>
      <c r="C43" s="8">
        <v>13875.0</v>
      </c>
      <c r="D43" s="8"/>
      <c r="E43" s="8">
        <v>16466.4</v>
      </c>
      <c r="F43" s="9">
        <v>0.1573750182189186</v>
      </c>
      <c r="G43" s="8">
        <v>12751.0</v>
      </c>
      <c r="H43" s="9">
        <v>0.088149949023606</v>
      </c>
      <c r="I43" s="8">
        <v>13925.15</v>
      </c>
      <c r="J43" s="9">
        <v>-0.0036013974714814304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>
      <c r="A44" s="5" t="s">
        <v>53</v>
      </c>
      <c r="B44" s="6">
        <v>38348.8672779</v>
      </c>
      <c r="C44" s="8">
        <v>2035.55</v>
      </c>
      <c r="D44" s="8">
        <v>24.59</v>
      </c>
      <c r="E44" s="8">
        <v>3466.4</v>
      </c>
      <c r="F44" s="9">
        <v>0.41277694438033696</v>
      </c>
      <c r="G44" s="8">
        <v>1897.35</v>
      </c>
      <c r="H44" s="9">
        <v>0.07283843255066279</v>
      </c>
      <c r="I44" s="8">
        <v>2013.55</v>
      </c>
      <c r="J44" s="9">
        <v>0.010925976509150505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5" t="s">
        <v>54</v>
      </c>
      <c r="B45" s="6">
        <v>36419.923269</v>
      </c>
      <c r="C45" s="8">
        <v>559.9</v>
      </c>
      <c r="D45" s="11" t="s">
        <v>16</v>
      </c>
      <c r="E45" s="8">
        <v>1147.4</v>
      </c>
      <c r="F45" s="9">
        <v>0.5120271919121493</v>
      </c>
      <c r="G45" s="8">
        <v>439.6</v>
      </c>
      <c r="H45" s="9">
        <v>0.2736578707916286</v>
      </c>
      <c r="I45" s="8">
        <v>542.25</v>
      </c>
      <c r="J45" s="9">
        <v>0.032549562010142884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>
      <c r="A46" s="5" t="s">
        <v>55</v>
      </c>
      <c r="B46" s="6">
        <v>43195.8704177</v>
      </c>
      <c r="C46" s="8">
        <v>2229.0</v>
      </c>
      <c r="D46" s="8">
        <v>30.72</v>
      </c>
      <c r="E46" s="8">
        <v>2537.45</v>
      </c>
      <c r="F46" s="9">
        <v>0.12155904549843341</v>
      </c>
      <c r="G46" s="8">
        <v>1690.55</v>
      </c>
      <c r="H46" s="9">
        <v>0.31850581171807996</v>
      </c>
      <c r="I46" s="8">
        <v>2214.25</v>
      </c>
      <c r="J46" s="9">
        <v>0.0066613977644800725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5" t="s">
        <v>56</v>
      </c>
      <c r="B47" s="6">
        <v>43190.429962</v>
      </c>
      <c r="C47" s="8">
        <v>146.95</v>
      </c>
      <c r="D47" s="8">
        <v>227.06</v>
      </c>
      <c r="E47" s="8">
        <v>169.45</v>
      </c>
      <c r="F47" s="9">
        <v>0.13278253172027146</v>
      </c>
      <c r="G47" s="8">
        <v>93.2</v>
      </c>
      <c r="H47" s="9">
        <v>0.5767167381974247</v>
      </c>
      <c r="I47" s="8">
        <v>146.8</v>
      </c>
      <c r="J47" s="9">
        <v>0.0010217983651224609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>
      <c r="A48" s="5" t="s">
        <v>57</v>
      </c>
      <c r="B48" s="6">
        <v>42774.19916</v>
      </c>
      <c r="C48" s="8">
        <v>1065.5</v>
      </c>
      <c r="D48" s="8">
        <v>11.41</v>
      </c>
      <c r="E48" s="8">
        <v>1526.4</v>
      </c>
      <c r="F48" s="9">
        <v>0.3019523060796646</v>
      </c>
      <c r="G48" s="8">
        <v>950.2</v>
      </c>
      <c r="H48" s="9">
        <v>0.1213428751841717</v>
      </c>
      <c r="I48" s="8">
        <v>1063.3</v>
      </c>
      <c r="J48" s="9">
        <v>0.0020690303771278523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5" t="s">
        <v>58</v>
      </c>
      <c r="B49" s="6">
        <v>42833.63</v>
      </c>
      <c r="C49" s="8">
        <v>1625.0</v>
      </c>
      <c r="D49" s="8">
        <v>78.07</v>
      </c>
      <c r="E49" s="8">
        <v>1806.45</v>
      </c>
      <c r="F49" s="9">
        <v>0.10044562539787984</v>
      </c>
      <c r="G49" s="8">
        <v>1274.5</v>
      </c>
      <c r="H49" s="9">
        <v>0.2750098077677521</v>
      </c>
      <c r="I49" s="8">
        <v>1644.15</v>
      </c>
      <c r="J49" s="9">
        <v>-0.011647355776541125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>
      <c r="A50" s="5" t="s">
        <v>59</v>
      </c>
      <c r="B50" s="6">
        <v>45934.43</v>
      </c>
      <c r="C50" s="8">
        <v>2148.0</v>
      </c>
      <c r="D50" s="8">
        <v>33.2</v>
      </c>
      <c r="E50" s="8">
        <v>2507.35</v>
      </c>
      <c r="F50" s="9">
        <v>0.14331864318902424</v>
      </c>
      <c r="G50" s="8">
        <v>1690.0</v>
      </c>
      <c r="H50" s="9">
        <v>0.2710059171597633</v>
      </c>
      <c r="I50" s="8">
        <v>2150.75</v>
      </c>
      <c r="J50" s="9">
        <v>-0.0012786237359060793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5" t="s">
        <v>60</v>
      </c>
      <c r="B51" s="6">
        <v>49475.63474</v>
      </c>
      <c r="C51" s="8">
        <v>3262.0</v>
      </c>
      <c r="D51" s="8">
        <v>48.33</v>
      </c>
      <c r="E51" s="8">
        <v>3698.45</v>
      </c>
      <c r="F51" s="9">
        <v>0.11800889561843471</v>
      </c>
      <c r="G51" s="8">
        <v>2333.55</v>
      </c>
      <c r="H51" s="9">
        <v>0.39787019776735005</v>
      </c>
      <c r="I51" s="8">
        <v>3292.65</v>
      </c>
      <c r="J51" s="9">
        <v>-0.009308611604634592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>
      <c r="A52" s="5" t="s">
        <v>61</v>
      </c>
      <c r="B52" s="6">
        <v>47610.86</v>
      </c>
      <c r="C52" s="8">
        <v>999.5</v>
      </c>
      <c r="D52" s="8">
        <v>39.03</v>
      </c>
      <c r="E52" s="8">
        <v>1177.0</v>
      </c>
      <c r="F52" s="9">
        <v>0.1508071367884452</v>
      </c>
      <c r="G52" s="8">
        <v>513.0</v>
      </c>
      <c r="H52" s="9">
        <v>0.9483430799220273</v>
      </c>
      <c r="I52" s="8">
        <v>1005.2</v>
      </c>
      <c r="J52" s="9">
        <v>-0.005670513330680507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5" t="s">
        <v>62</v>
      </c>
      <c r="B53" s="6">
        <v>42896.5939675</v>
      </c>
      <c r="C53" s="8">
        <v>1205.75</v>
      </c>
      <c r="D53" s="8">
        <v>117.93</v>
      </c>
      <c r="E53" s="8">
        <v>1571.0</v>
      </c>
      <c r="F53" s="9">
        <v>0.23249522597071928</v>
      </c>
      <c r="G53" s="8">
        <v>983.7</v>
      </c>
      <c r="H53" s="9">
        <v>0.22572938904137435</v>
      </c>
      <c r="I53" s="8">
        <v>1208.55</v>
      </c>
      <c r="J53" s="9">
        <v>-0.0023168259484505852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5" t="s">
        <v>63</v>
      </c>
      <c r="B54" s="6">
        <v>24962.9162175</v>
      </c>
      <c r="C54" s="8">
        <v>426.0</v>
      </c>
      <c r="D54" s="8">
        <v>69.24</v>
      </c>
      <c r="E54" s="8">
        <v>795.0</v>
      </c>
      <c r="F54" s="9">
        <v>0.4641509433962264</v>
      </c>
      <c r="G54" s="8">
        <v>397.35</v>
      </c>
      <c r="H54" s="9">
        <v>0.07210268025670058</v>
      </c>
      <c r="I54" s="8">
        <v>428.65</v>
      </c>
      <c r="J54" s="9">
        <v>-0.006182199930012778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5" t="s">
        <v>64</v>
      </c>
      <c r="B55" s="6">
        <v>41248.67</v>
      </c>
      <c r="C55" s="8">
        <v>2046.5</v>
      </c>
      <c r="D55" s="8">
        <v>96.08</v>
      </c>
      <c r="E55" s="8">
        <v>2654.8</v>
      </c>
      <c r="F55" s="9">
        <v>0.22913213801416307</v>
      </c>
      <c r="G55" s="8">
        <v>1581.55</v>
      </c>
      <c r="H55" s="9">
        <v>0.2939837501185546</v>
      </c>
      <c r="I55" s="8">
        <v>2063.75</v>
      </c>
      <c r="J55" s="9">
        <v>-0.008358570563294972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5" t="s">
        <v>65</v>
      </c>
      <c r="B56" s="6">
        <v>39945.4022299</v>
      </c>
      <c r="C56" s="8">
        <v>2662.0</v>
      </c>
      <c r="D56" s="8">
        <v>35.5</v>
      </c>
      <c r="E56" s="8">
        <v>3025.0</v>
      </c>
      <c r="F56" s="9">
        <v>0.12</v>
      </c>
      <c r="G56" s="8">
        <v>2043.85</v>
      </c>
      <c r="H56" s="9">
        <v>0.3024439171172053</v>
      </c>
      <c r="I56" s="8">
        <v>2677.05</v>
      </c>
      <c r="J56" s="9">
        <v>-0.005621859883080324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5" t="s">
        <v>66</v>
      </c>
      <c r="B57" s="6">
        <v>25505.6859247</v>
      </c>
      <c r="C57" s="8">
        <v>435.3</v>
      </c>
      <c r="D57" s="8">
        <v>12.08</v>
      </c>
      <c r="E57" s="8">
        <v>727.95</v>
      </c>
      <c r="F57" s="9">
        <v>0.40201936946218836</v>
      </c>
      <c r="G57" s="8">
        <v>429.2</v>
      </c>
      <c r="H57" s="9">
        <v>0.014212488350419439</v>
      </c>
      <c r="I57" s="8">
        <v>446.35</v>
      </c>
      <c r="J57" s="9">
        <v>-0.02475635711885294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>
      <c r="A58" s="5" t="s">
        <v>67</v>
      </c>
      <c r="B58" s="6">
        <v>35109.687833</v>
      </c>
      <c r="C58" s="8">
        <v>39710.0</v>
      </c>
      <c r="D58" s="8">
        <v>91.84</v>
      </c>
      <c r="E58" s="8">
        <v>46397.7</v>
      </c>
      <c r="F58" s="9">
        <v>0.14413861031904593</v>
      </c>
      <c r="G58" s="8">
        <v>30185.35</v>
      </c>
      <c r="H58" s="9">
        <v>0.3155388292665151</v>
      </c>
      <c r="I58" s="8">
        <v>39677.1</v>
      </c>
      <c r="J58" s="9">
        <v>8.291936658677538E-4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5" t="s">
        <v>68</v>
      </c>
      <c r="B59" s="6">
        <v>38048.54</v>
      </c>
      <c r="C59" s="8">
        <v>89700.0</v>
      </c>
      <c r="D59" s="8">
        <v>66.97</v>
      </c>
      <c r="E59" s="8">
        <v>95954.35</v>
      </c>
      <c r="F59" s="9">
        <v>0.06518047383990414</v>
      </c>
      <c r="G59" s="8">
        <v>62944.5</v>
      </c>
      <c r="H59" s="9">
        <v>0.42506493815980745</v>
      </c>
      <c r="I59" s="8">
        <v>89498.35</v>
      </c>
      <c r="J59" s="9">
        <v>0.00225311416355714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>
      <c r="A60" s="5" t="s">
        <v>69</v>
      </c>
      <c r="B60" s="6">
        <v>30664.6275</v>
      </c>
      <c r="C60" s="8">
        <v>2793.5</v>
      </c>
      <c r="D60" s="8">
        <v>28.23</v>
      </c>
      <c r="E60" s="8">
        <v>4172.95</v>
      </c>
      <c r="F60" s="9">
        <v>0.33056950119220213</v>
      </c>
      <c r="G60" s="8">
        <v>2105.15</v>
      </c>
      <c r="H60" s="9">
        <v>0.32698382538061416</v>
      </c>
      <c r="I60" s="8">
        <v>2841.6</v>
      </c>
      <c r="J60" s="9">
        <v>-0.0169270833333333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5" t="s">
        <v>70</v>
      </c>
      <c r="B61" s="6">
        <v>31008.5328948</v>
      </c>
      <c r="C61" s="8">
        <v>450.2</v>
      </c>
      <c r="D61" s="8">
        <v>22.9</v>
      </c>
      <c r="E61" s="8">
        <v>721.8</v>
      </c>
      <c r="F61" s="9">
        <v>0.3762815184261568</v>
      </c>
      <c r="G61" s="8">
        <v>403.55</v>
      </c>
      <c r="H61" s="9">
        <v>0.11559905835708084</v>
      </c>
      <c r="I61" s="8">
        <v>466.8</v>
      </c>
      <c r="J61" s="9">
        <v>-0.03556126820908317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>
      <c r="A62" s="5" t="s">
        <v>71</v>
      </c>
      <c r="B62" s="6">
        <v>27569.4122639</v>
      </c>
      <c r="C62" s="8">
        <v>799.4</v>
      </c>
      <c r="D62" s="8">
        <v>88.04</v>
      </c>
      <c r="E62" s="8">
        <v>1065.0</v>
      </c>
      <c r="F62" s="9">
        <v>0.24938967136150236</v>
      </c>
      <c r="G62" s="8">
        <v>627.8</v>
      </c>
      <c r="H62" s="9">
        <v>0.2733354571519593</v>
      </c>
      <c r="I62" s="8">
        <v>796.25</v>
      </c>
      <c r="J62" s="9">
        <v>0.003956043956043927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5" t="s">
        <v>72</v>
      </c>
      <c r="B63" s="6">
        <v>25664.11</v>
      </c>
      <c r="C63" s="8">
        <v>872.0</v>
      </c>
      <c r="D63" s="8">
        <v>13.43</v>
      </c>
      <c r="E63" s="8">
        <v>1094.0</v>
      </c>
      <c r="F63" s="9">
        <v>0.20292504570383912</v>
      </c>
      <c r="G63" s="8">
        <v>729.55</v>
      </c>
      <c r="H63" s="9">
        <v>0.19525735042149278</v>
      </c>
      <c r="I63" s="8">
        <v>881.85</v>
      </c>
      <c r="J63" s="9">
        <v>-0.01116970006236891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5" t="s">
        <v>73</v>
      </c>
      <c r="B64" s="6">
        <v>20673.2633944</v>
      </c>
      <c r="C64" s="8"/>
      <c r="D64" s="11" t="s">
        <v>16</v>
      </c>
      <c r="E64" s="8">
        <v>1052.05</v>
      </c>
      <c r="F64" s="9" t="e">
        <v>#REF!</v>
      </c>
      <c r="G64" s="8">
        <v>356.2</v>
      </c>
      <c r="H64" s="9" t="e">
        <v>#REF!</v>
      </c>
      <c r="I64" s="8">
        <v>465.85</v>
      </c>
      <c r="J64" s="9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5" t="s">
        <v>74</v>
      </c>
      <c r="B65" s="6">
        <v>29162.03</v>
      </c>
      <c r="C65" s="8">
        <v>416.85</v>
      </c>
      <c r="D65" s="8">
        <v>17.03</v>
      </c>
      <c r="E65" s="8">
        <v>466.65</v>
      </c>
      <c r="F65" s="9">
        <v>0.10671809707489543</v>
      </c>
      <c r="G65" s="8">
        <v>322.1</v>
      </c>
      <c r="H65" s="9">
        <v>0.2941633033219497</v>
      </c>
      <c r="I65" s="8">
        <v>418.6</v>
      </c>
      <c r="J65" s="9">
        <v>-0.004180602006688963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>
      <c r="A66" s="5" t="s">
        <v>75</v>
      </c>
      <c r="B66" s="6">
        <v>19213.8702946</v>
      </c>
      <c r="C66" s="8">
        <v>357.4</v>
      </c>
      <c r="D66" s="8">
        <v>22.19</v>
      </c>
      <c r="E66" s="8">
        <v>626.3</v>
      </c>
      <c r="F66" s="9">
        <v>0.4293469583266805</v>
      </c>
      <c r="G66" s="8">
        <v>354.0</v>
      </c>
      <c r="H66" s="9">
        <v>0.009604519774011236</v>
      </c>
      <c r="I66" s="8">
        <v>360.4</v>
      </c>
      <c r="J66" s="9">
        <v>-0.008324084350721421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5" t="s">
        <v>76</v>
      </c>
      <c r="B67" s="6">
        <v>26525.721745</v>
      </c>
      <c r="C67" s="8">
        <v>1944.05</v>
      </c>
      <c r="D67" s="8">
        <v>28.86</v>
      </c>
      <c r="E67" s="8">
        <v>2690.05</v>
      </c>
      <c r="F67" s="9">
        <v>0.27731826545974986</v>
      </c>
      <c r="G67" s="8">
        <v>1681.15</v>
      </c>
      <c r="H67" s="9">
        <v>0.15638104868691066</v>
      </c>
      <c r="I67" s="8">
        <v>1941.8</v>
      </c>
      <c r="J67" s="9">
        <v>0.0011587187145947059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>
      <c r="A68" s="5" t="s">
        <v>77</v>
      </c>
      <c r="B68" s="6">
        <v>22202.96</v>
      </c>
      <c r="C68" s="8">
        <v>892.35</v>
      </c>
      <c r="D68" s="8">
        <v>114.44</v>
      </c>
      <c r="E68" s="8">
        <v>1369.7</v>
      </c>
      <c r="F68" s="9">
        <v>0.34850697232970723</v>
      </c>
      <c r="G68" s="8">
        <v>872.0</v>
      </c>
      <c r="H68" s="9">
        <v>0.02333715596330278</v>
      </c>
      <c r="I68" s="8">
        <v>898.2</v>
      </c>
      <c r="J68" s="9">
        <v>-0.006513026052104233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5" t="s">
        <v>78</v>
      </c>
      <c r="B69" s="6">
        <v>30617.09</v>
      </c>
      <c r="C69" s="8">
        <v>4009.0</v>
      </c>
      <c r="D69" s="8">
        <v>37.59</v>
      </c>
      <c r="E69" s="8">
        <v>4954.0</v>
      </c>
      <c r="F69" s="9">
        <v>0.19075494549858701</v>
      </c>
      <c r="G69" s="8">
        <v>3092.05</v>
      </c>
      <c r="H69" s="9">
        <v>0.296550831972316</v>
      </c>
      <c r="I69" s="8">
        <v>3978.2</v>
      </c>
      <c r="J69" s="9">
        <v>0.007742194962545921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>
      <c r="A70" s="5" t="s">
        <v>79</v>
      </c>
      <c r="B70" s="6">
        <v>25229.93</v>
      </c>
      <c r="C70" s="8">
        <v>22300.0</v>
      </c>
      <c r="D70" s="8">
        <v>68.24</v>
      </c>
      <c r="E70" s="8">
        <v>26943.0</v>
      </c>
      <c r="F70" s="9">
        <v>0.17232676390899307</v>
      </c>
      <c r="G70" s="8">
        <v>17273.0</v>
      </c>
      <c r="H70" s="9">
        <v>0.2910322468592601</v>
      </c>
      <c r="I70" s="8">
        <v>22335.4</v>
      </c>
      <c r="J70" s="9">
        <v>-0.0015849279618901588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5" t="s">
        <v>80</v>
      </c>
      <c r="B71" s="6">
        <v>22090.03</v>
      </c>
      <c r="C71" s="8">
        <v>872.85</v>
      </c>
      <c r="D71" s="8">
        <v>42.96</v>
      </c>
      <c r="E71" s="8">
        <v>1095.0</v>
      </c>
      <c r="F71" s="9">
        <v>0.2028767123287671</v>
      </c>
      <c r="G71" s="8">
        <v>830.0</v>
      </c>
      <c r="H71" s="9">
        <v>0.051626506024096415</v>
      </c>
      <c r="I71" s="8">
        <v>868.6</v>
      </c>
      <c r="J71" s="9">
        <v>0.004892931153580474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>
      <c r="A72" s="5" t="s">
        <v>81</v>
      </c>
      <c r="B72" s="6">
        <v>20286.8999472</v>
      </c>
      <c r="C72" s="8">
        <v>1580.0</v>
      </c>
      <c r="D72" s="8">
        <v>65.53</v>
      </c>
      <c r="E72" s="8">
        <v>2122.0</v>
      </c>
      <c r="F72" s="9">
        <v>0.2554194156456173</v>
      </c>
      <c r="G72" s="8">
        <v>1551.1</v>
      </c>
      <c r="H72" s="9">
        <v>0.01863193862420224</v>
      </c>
      <c r="I72" s="8">
        <v>1636.6</v>
      </c>
      <c r="J72" s="9">
        <v>-0.03458389343761451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5" t="s">
        <v>82</v>
      </c>
      <c r="B73" s="6">
        <v>23631.8479052</v>
      </c>
      <c r="C73" s="8">
        <v>3868.05</v>
      </c>
      <c r="D73" s="8">
        <v>32.39</v>
      </c>
      <c r="E73" s="8">
        <v>5862.1</v>
      </c>
      <c r="F73" s="9">
        <v>0.3401596697429249</v>
      </c>
      <c r="G73" s="8">
        <v>3210.0</v>
      </c>
      <c r="H73" s="9">
        <v>0.20500000000000004</v>
      </c>
      <c r="I73" s="8">
        <v>3902.65</v>
      </c>
      <c r="J73" s="9">
        <v>-0.008865770694271817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>
      <c r="A74" s="5" t="s">
        <v>83</v>
      </c>
      <c r="B74" s="6">
        <v>31477.05</v>
      </c>
      <c r="C74" s="8">
        <v>1136.0</v>
      </c>
      <c r="D74" s="8">
        <v>54.9</v>
      </c>
      <c r="E74" s="8">
        <v>1193.85</v>
      </c>
      <c r="F74" s="9">
        <v>0.04845667378648902</v>
      </c>
      <c r="G74" s="8">
        <v>771.0</v>
      </c>
      <c r="H74" s="9">
        <v>0.47341115434500647</v>
      </c>
      <c r="I74" s="8">
        <v>1127.95</v>
      </c>
      <c r="J74" s="9">
        <v>0.007136841172037727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5" t="s">
        <v>84</v>
      </c>
      <c r="B75" s="6">
        <v>21451.6044776</v>
      </c>
      <c r="C75" s="8">
        <v>337.35</v>
      </c>
      <c r="D75" s="8">
        <v>36.77</v>
      </c>
      <c r="E75" s="8">
        <v>451.95</v>
      </c>
      <c r="F75" s="9">
        <v>0.2535678725522734</v>
      </c>
      <c r="G75" s="8">
        <v>312.0</v>
      </c>
      <c r="H75" s="9">
        <v>0.08125000000000007</v>
      </c>
      <c r="I75" s="8">
        <v>338.0</v>
      </c>
      <c r="J75" s="9">
        <v>-0.0019230769230768557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>
      <c r="A76" s="5" t="s">
        <v>85</v>
      </c>
      <c r="B76" s="6">
        <v>31369.92</v>
      </c>
      <c r="C76" s="8">
        <v>2461.0</v>
      </c>
      <c r="D76" s="8">
        <v>36.12</v>
      </c>
      <c r="E76" s="8">
        <v>2607.65</v>
      </c>
      <c r="F76" s="9">
        <v>0.05623837554886587</v>
      </c>
      <c r="G76" s="8">
        <v>1666.25</v>
      </c>
      <c r="H76" s="9">
        <v>0.47696924231057763</v>
      </c>
      <c r="I76" s="8">
        <v>2452.7</v>
      </c>
      <c r="J76" s="9">
        <v>0.003384025767521581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5" t="s">
        <v>86</v>
      </c>
      <c r="B77" s="6">
        <v>21050.0222911</v>
      </c>
      <c r="C77" s="8">
        <v>4669.05</v>
      </c>
      <c r="D77" s="8">
        <v>29.86</v>
      </c>
      <c r="E77" s="8">
        <v>5667.75</v>
      </c>
      <c r="F77" s="9">
        <v>0.17620748974460762</v>
      </c>
      <c r="G77" s="8">
        <v>4218.05</v>
      </c>
      <c r="H77" s="9">
        <v>0.10692144474342409</v>
      </c>
      <c r="I77" s="8">
        <v>4647.55</v>
      </c>
      <c r="J77" s="9">
        <v>0.004626093317984745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5" t="s">
        <v>87</v>
      </c>
      <c r="B78" s="6">
        <v>24637.83</v>
      </c>
      <c r="C78" s="8">
        <v>493.2</v>
      </c>
      <c r="D78" s="8">
        <v>48.9</v>
      </c>
      <c r="E78" s="8">
        <v>540.8</v>
      </c>
      <c r="F78" s="9">
        <v>0.08801775147928989</v>
      </c>
      <c r="G78" s="8">
        <v>351.5</v>
      </c>
      <c r="H78" s="9">
        <v>0.40312944523470834</v>
      </c>
      <c r="I78" s="8">
        <v>487.95</v>
      </c>
      <c r="J78" s="9">
        <v>0.010759299108515218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5" t="s">
        <v>88</v>
      </c>
      <c r="B79" s="6">
        <v>21650.114525</v>
      </c>
      <c r="C79" s="8">
        <v>3635.0</v>
      </c>
      <c r="D79" s="8">
        <v>93.72</v>
      </c>
      <c r="E79" s="8">
        <v>5444.1</v>
      </c>
      <c r="F79" s="9">
        <v>0.33230469682775854</v>
      </c>
      <c r="G79" s="8">
        <v>3180.55</v>
      </c>
      <c r="H79" s="9">
        <v>0.1428840923739604</v>
      </c>
      <c r="I79" s="8">
        <v>3651.05</v>
      </c>
      <c r="J79" s="9">
        <v>-0.00439599567247783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>
      <c r="A80" s="5" t="s">
        <v>89</v>
      </c>
      <c r="B80" s="6">
        <v>24851.46731</v>
      </c>
      <c r="C80" s="8">
        <v>975.8</v>
      </c>
      <c r="D80" s="8">
        <v>12.65</v>
      </c>
      <c r="E80" s="8">
        <v>1214.65</v>
      </c>
      <c r="F80" s="9">
        <v>0.1966410076976908</v>
      </c>
      <c r="G80" s="8">
        <v>773.9</v>
      </c>
      <c r="H80" s="9">
        <v>0.2608864194340354</v>
      </c>
      <c r="I80" s="8">
        <v>972.55</v>
      </c>
      <c r="J80" s="9">
        <v>0.0033417305022878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5" t="s">
        <v>90</v>
      </c>
      <c r="B81" s="6">
        <v>20604.2</v>
      </c>
      <c r="C81" s="8">
        <v>2000.0</v>
      </c>
      <c r="D81" s="8">
        <v>51.19</v>
      </c>
      <c r="E81" s="8">
        <v>2377.0</v>
      </c>
      <c r="F81" s="9">
        <v>0.15860328144720234</v>
      </c>
      <c r="G81" s="8">
        <v>1674.2</v>
      </c>
      <c r="H81" s="9">
        <v>0.19460040616413807</v>
      </c>
      <c r="I81" s="8">
        <v>2014.85</v>
      </c>
      <c r="J81" s="9">
        <v>-0.007370275702905878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>
      <c r="A82" s="5" t="s">
        <v>91</v>
      </c>
      <c r="B82" s="6">
        <v>18318.3733666</v>
      </c>
      <c r="C82" s="8">
        <v>1441.55</v>
      </c>
      <c r="D82" s="8">
        <v>70.52</v>
      </c>
      <c r="E82" s="8">
        <v>1917.0</v>
      </c>
      <c r="F82" s="9">
        <v>0.24801773604590507</v>
      </c>
      <c r="G82" s="8">
        <v>1365.1</v>
      </c>
      <c r="H82" s="9">
        <v>0.05600322320709109</v>
      </c>
      <c r="I82" s="8">
        <v>1480.7</v>
      </c>
      <c r="J82" s="9">
        <v>-0.026440197204025184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5" t="s">
        <v>92</v>
      </c>
      <c r="B83" s="6">
        <v>37544.8863158</v>
      </c>
      <c r="C83" s="8">
        <v>60.2</v>
      </c>
      <c r="D83" s="8"/>
      <c r="E83" s="8">
        <v>64.3</v>
      </c>
      <c r="F83" s="9">
        <v>0.06376360808709167</v>
      </c>
      <c r="G83" s="8" t="s">
        <v>93</v>
      </c>
      <c r="H83" s="9" t="e">
        <v>#VALUE!</v>
      </c>
      <c r="I83" s="8">
        <v>59.6</v>
      </c>
      <c r="J83" s="9">
        <v>0.010067114093959755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>
      <c r="A84" s="5" t="s">
        <v>94</v>
      </c>
      <c r="B84" s="6">
        <v>19679.44</v>
      </c>
      <c r="C84" s="8">
        <v>1398.5</v>
      </c>
      <c r="D84" s="8">
        <v>42.23</v>
      </c>
      <c r="E84" s="8">
        <v>1736.15</v>
      </c>
      <c r="F84" s="9">
        <v>0.19448204360222335</v>
      </c>
      <c r="G84" s="8">
        <v>1047.2</v>
      </c>
      <c r="H84" s="9">
        <v>0.3354660045836516</v>
      </c>
      <c r="I84" s="8">
        <v>1401.15</v>
      </c>
      <c r="J84" s="9">
        <v>-0.001891303572065868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5" t="s">
        <v>95</v>
      </c>
      <c r="B85" s="6">
        <v>19278.55</v>
      </c>
      <c r="C85" s="8">
        <v>4224.9</v>
      </c>
      <c r="D85" s="8">
        <v>31.52</v>
      </c>
      <c r="E85" s="8">
        <v>4946.1</v>
      </c>
      <c r="F85" s="9">
        <v>0.14581185176199443</v>
      </c>
      <c r="G85" s="8">
        <v>4056.0</v>
      </c>
      <c r="H85" s="9">
        <v>0.04164201183431944</v>
      </c>
      <c r="I85" s="8">
        <v>4254.0</v>
      </c>
      <c r="J85" s="9">
        <v>-0.006840620592383724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5" t="s">
        <v>96</v>
      </c>
      <c r="B86" s="6">
        <v>16896.24225</v>
      </c>
      <c r="C86" s="8">
        <v>33.75</v>
      </c>
      <c r="D86" s="8">
        <v>30.44</v>
      </c>
      <c r="E86" s="8">
        <v>70.9</v>
      </c>
      <c r="F86" s="9">
        <v>0.5239774330042314</v>
      </c>
      <c r="G86" s="8">
        <v>30.45</v>
      </c>
      <c r="H86" s="9">
        <v>0.10837438423645322</v>
      </c>
      <c r="I86" s="8">
        <v>33.65</v>
      </c>
      <c r="J86" s="9">
        <v>0.00297176820208028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5" t="s">
        <v>97</v>
      </c>
      <c r="B87" s="6">
        <v>20217.231452</v>
      </c>
      <c r="C87" s="8">
        <v>4080.6</v>
      </c>
      <c r="D87" s="8">
        <v>73.24</v>
      </c>
      <c r="E87" s="8">
        <v>4847.35</v>
      </c>
      <c r="F87" s="9">
        <v>0.15817921132165005</v>
      </c>
      <c r="G87" s="8">
        <v>3361.45</v>
      </c>
      <c r="H87" s="9">
        <v>0.2139404126195541</v>
      </c>
      <c r="I87" s="8">
        <v>4127.1</v>
      </c>
      <c r="J87" s="9">
        <v>-0.011266991349858363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>
      <c r="A88" s="5" t="s">
        <v>98</v>
      </c>
      <c r="B88" s="6">
        <v>22159.2659823</v>
      </c>
      <c r="C88" s="8">
        <v>402.9</v>
      </c>
      <c r="D88" s="8">
        <v>6.85</v>
      </c>
      <c r="E88" s="8">
        <v>443.5</v>
      </c>
      <c r="F88" s="9">
        <v>0.09154453213077796</v>
      </c>
      <c r="G88" s="8">
        <v>291.75</v>
      </c>
      <c r="H88" s="9">
        <v>0.38097686375321327</v>
      </c>
      <c r="I88" s="8">
        <v>400.2</v>
      </c>
      <c r="J88" s="9">
        <v>0.006746626686656643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5" t="s">
        <v>99</v>
      </c>
      <c r="B89" s="6">
        <v>17986.0053514</v>
      </c>
      <c r="C89" s="8">
        <v>2174.05</v>
      </c>
      <c r="D89" s="8">
        <v>72.77</v>
      </c>
      <c r="E89" s="8">
        <v>3769.95</v>
      </c>
      <c r="F89" s="9">
        <v>0.423321264207748</v>
      </c>
      <c r="G89" s="8">
        <v>1805.55</v>
      </c>
      <c r="H89" s="9">
        <v>0.20409293567057143</v>
      </c>
      <c r="I89" s="8">
        <v>2171.85</v>
      </c>
      <c r="J89" s="9">
        <v>0.0010129613002740857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>
      <c r="A90" s="5" t="s">
        <v>100</v>
      </c>
      <c r="B90" s="6">
        <v>12685.7721399</v>
      </c>
      <c r="C90" s="8">
        <v>141.55</v>
      </c>
      <c r="D90" s="8">
        <v>41.14</v>
      </c>
      <c r="E90" s="8">
        <v>271.95</v>
      </c>
      <c r="F90" s="9">
        <v>0.4794999080713366</v>
      </c>
      <c r="G90" s="8">
        <v>129.25</v>
      </c>
      <c r="H90" s="9">
        <v>0.09516441005802717</v>
      </c>
      <c r="I90" s="8">
        <v>141.4</v>
      </c>
      <c r="J90" s="9">
        <v>0.001060820367751101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5" t="s">
        <v>101</v>
      </c>
      <c r="B91" s="6">
        <v>15538.83</v>
      </c>
      <c r="C91" s="8">
        <v>1463.5</v>
      </c>
      <c r="D91" s="8">
        <v>61.9</v>
      </c>
      <c r="E91" s="8">
        <v>2624.0</v>
      </c>
      <c r="F91" s="9">
        <v>0.4422637195121951</v>
      </c>
      <c r="G91" s="8">
        <v>1410.1</v>
      </c>
      <c r="H91" s="9">
        <v>0.037869654634423155</v>
      </c>
      <c r="I91" s="8">
        <v>1471.05</v>
      </c>
      <c r="J91" s="9">
        <v>-0.005132388430032939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>
      <c r="A92" s="5" t="s">
        <v>102</v>
      </c>
      <c r="B92" s="6">
        <v>17277.2</v>
      </c>
      <c r="C92" s="8">
        <v>5630.0</v>
      </c>
      <c r="D92" s="8">
        <v>32.19</v>
      </c>
      <c r="E92" s="8">
        <v>7328.75</v>
      </c>
      <c r="F92" s="9">
        <v>0.23179259764625618</v>
      </c>
      <c r="G92" s="8">
        <v>3457.1</v>
      </c>
      <c r="H92" s="9">
        <v>0.6285325851146916</v>
      </c>
      <c r="I92" s="8">
        <v>5672.25</v>
      </c>
      <c r="J92" s="9">
        <v>-0.0074485433469963416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5" t="s">
        <v>103</v>
      </c>
      <c r="B93" s="6">
        <v>10913.18</v>
      </c>
      <c r="C93" s="8">
        <v>555.0</v>
      </c>
      <c r="D93" s="8">
        <v>42.84</v>
      </c>
      <c r="E93" s="8">
        <v>822.8</v>
      </c>
      <c r="F93" s="9">
        <v>0.3254739912493923</v>
      </c>
      <c r="G93" s="8">
        <v>540.0</v>
      </c>
      <c r="H93" s="9">
        <v>0.027777777777777776</v>
      </c>
      <c r="I93" s="8">
        <v>557.4</v>
      </c>
      <c r="J93" s="9">
        <v>-0.004305705059203404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>
      <c r="A94" s="5" t="s">
        <v>104</v>
      </c>
      <c r="B94" s="6">
        <v>13659.0</v>
      </c>
      <c r="C94" s="8">
        <v>1024.0</v>
      </c>
      <c r="D94" s="8">
        <v>55.83</v>
      </c>
      <c r="E94" s="8">
        <v>1511.0</v>
      </c>
      <c r="F94" s="9">
        <v>0.32230311052283256</v>
      </c>
      <c r="G94" s="8">
        <v>871.55</v>
      </c>
      <c r="H94" s="9">
        <v>0.17491824909643744</v>
      </c>
      <c r="I94" s="8">
        <v>1035.55</v>
      </c>
      <c r="J94" s="9">
        <v>-0.011153493312732321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5" t="s">
        <v>105</v>
      </c>
      <c r="B95" s="6">
        <v>9951.4177429</v>
      </c>
      <c r="C95" s="8">
        <v>731.9</v>
      </c>
      <c r="D95" s="8">
        <v>19.49</v>
      </c>
      <c r="E95" s="8">
        <v>2094.4</v>
      </c>
      <c r="F95" s="9">
        <v>0.6505443086325439</v>
      </c>
      <c r="G95" s="8">
        <v>584.8</v>
      </c>
      <c r="H95" s="9">
        <v>0.25153898768809857</v>
      </c>
      <c r="I95" s="8">
        <v>724.3</v>
      </c>
      <c r="J95" s="9">
        <v>0.010492889686593985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>
      <c r="A96" s="5" t="s">
        <v>106</v>
      </c>
      <c r="B96" s="6">
        <v>18827.9516699</v>
      </c>
      <c r="C96" s="8">
        <v>696.3</v>
      </c>
      <c r="D96" s="8">
        <v>59.82</v>
      </c>
      <c r="E96" s="8">
        <v>764.25</v>
      </c>
      <c r="F96" s="9">
        <v>0.08891069676153097</v>
      </c>
      <c r="G96" s="8">
        <v>440.0</v>
      </c>
      <c r="H96" s="9">
        <v>0.5824999999999999</v>
      </c>
      <c r="I96" s="8">
        <v>692.45</v>
      </c>
      <c r="J96" s="9">
        <v>0.005559968228752847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5" t="s">
        <v>107</v>
      </c>
      <c r="B97" s="6">
        <v>12260.1</v>
      </c>
      <c r="C97" s="8">
        <v>1260.0</v>
      </c>
      <c r="D97" s="8">
        <v>57.79</v>
      </c>
      <c r="E97" s="8">
        <v>2027.0</v>
      </c>
      <c r="F97" s="9">
        <v>0.37839171188949183</v>
      </c>
      <c r="G97" s="8">
        <v>1204.15</v>
      </c>
      <c r="H97" s="9">
        <v>0.046381264792592206</v>
      </c>
      <c r="I97" s="8">
        <v>1251.3</v>
      </c>
      <c r="J97" s="9">
        <v>0.006952769120115117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>
      <c r="A98" s="5" t="s">
        <v>108</v>
      </c>
      <c r="B98" s="6">
        <v>13709.808</v>
      </c>
      <c r="C98" s="8">
        <v>4477.0</v>
      </c>
      <c r="D98" s="8">
        <v>56.62</v>
      </c>
      <c r="E98" s="8">
        <v>6898.75</v>
      </c>
      <c r="F98" s="9">
        <v>0.3510418554085885</v>
      </c>
      <c r="G98" s="8">
        <v>3676.0</v>
      </c>
      <c r="H98" s="9">
        <v>0.2178998911860718</v>
      </c>
      <c r="I98" s="8">
        <v>4446.55</v>
      </c>
      <c r="J98" s="9">
        <v>0.006848005757272451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5" t="s">
        <v>109</v>
      </c>
      <c r="B99" s="6">
        <v>12642.1534329</v>
      </c>
      <c r="C99" s="8">
        <v>885.05</v>
      </c>
      <c r="D99" s="8">
        <v>59.08</v>
      </c>
      <c r="E99" s="8">
        <v>1359.85</v>
      </c>
      <c r="F99" s="9">
        <v>0.34915615692907304</v>
      </c>
      <c r="G99" s="8">
        <v>785.55</v>
      </c>
      <c r="H99" s="9">
        <v>0.12666284768633443</v>
      </c>
      <c r="I99" s="8">
        <v>884.65</v>
      </c>
      <c r="J99" s="9">
        <v>4.5215621997397534E-4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>
      <c r="A100" s="5" t="s">
        <v>110</v>
      </c>
      <c r="B100" s="6">
        <v>11261.44</v>
      </c>
      <c r="C100" s="8">
        <v>1077.9</v>
      </c>
      <c r="D100" s="8">
        <v>37.61</v>
      </c>
      <c r="E100" s="8">
        <v>1654.0</v>
      </c>
      <c r="F100" s="9">
        <v>0.3483071342200725</v>
      </c>
      <c r="G100" s="8">
        <v>1015.0</v>
      </c>
      <c r="H100" s="9">
        <v>0.06197044334975378</v>
      </c>
      <c r="I100" s="8">
        <v>1078.65</v>
      </c>
      <c r="J100" s="9">
        <v>-6.953135864274788E-4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5" t="s">
        <v>111</v>
      </c>
      <c r="B101" s="6">
        <v>15554.9906858</v>
      </c>
      <c r="C101" s="8">
        <v>182.85</v>
      </c>
      <c r="D101" s="8">
        <v>3.39</v>
      </c>
      <c r="E101" s="8">
        <v>194.2</v>
      </c>
      <c r="F101" s="9">
        <v>0.05844490216271882</v>
      </c>
      <c r="G101" s="8">
        <v>130.25</v>
      </c>
      <c r="H101" s="9">
        <v>0.4038387715930902</v>
      </c>
      <c r="I101" s="8">
        <v>182.65</v>
      </c>
      <c r="J101" s="9">
        <v>0.001094990418833773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>
      <c r="A102" s="5" t="s">
        <v>112</v>
      </c>
      <c r="B102" s="6">
        <v>11658.528175</v>
      </c>
      <c r="C102" s="8">
        <v>523.9</v>
      </c>
      <c r="D102" s="8">
        <v>31.54</v>
      </c>
      <c r="E102" s="8">
        <v>749.0</v>
      </c>
      <c r="F102" s="9">
        <v>0.30053404539385853</v>
      </c>
      <c r="G102" s="8">
        <v>484.7</v>
      </c>
      <c r="H102" s="9">
        <v>0.08087476789766863</v>
      </c>
      <c r="I102" s="8">
        <v>517.65</v>
      </c>
      <c r="J102" s="9">
        <v>0.012073795035255483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5" t="s">
        <v>113</v>
      </c>
      <c r="B103" s="6">
        <v>10943.5753</v>
      </c>
      <c r="C103" s="8">
        <v>789.5</v>
      </c>
      <c r="D103" s="8">
        <v>35.54</v>
      </c>
      <c r="E103" s="8">
        <v>1049.9</v>
      </c>
      <c r="F103" s="9">
        <v>0.24802362129726646</v>
      </c>
      <c r="G103" s="8">
        <v>744.7</v>
      </c>
      <c r="H103" s="9">
        <v>0.060158453068349604</v>
      </c>
      <c r="I103" s="8">
        <v>794.05</v>
      </c>
      <c r="J103" s="9">
        <v>-0.005730117750771305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5" t="s">
        <v>114</v>
      </c>
      <c r="B104" s="6">
        <v>11180.9471528</v>
      </c>
      <c r="C104" s="8">
        <v>2274.0</v>
      </c>
      <c r="D104" s="8">
        <v>38.87</v>
      </c>
      <c r="E104" s="8">
        <v>2971.5</v>
      </c>
      <c r="F104" s="9">
        <v>0.2347299343765775</v>
      </c>
      <c r="G104" s="8">
        <v>2037.15</v>
      </c>
      <c r="H104" s="9">
        <v>0.11626537073853173</v>
      </c>
      <c r="I104" s="8">
        <v>2235.75</v>
      </c>
      <c r="J104" s="9">
        <v>0.017108352901710835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5" t="s">
        <v>115</v>
      </c>
      <c r="B105" s="6">
        <v>14279.03184</v>
      </c>
      <c r="C105" s="8">
        <v>1068.0</v>
      </c>
      <c r="D105" s="11" t="s">
        <v>16</v>
      </c>
      <c r="E105" s="8">
        <v>1215.4</v>
      </c>
      <c r="F105" s="9">
        <v>0.12127694586144486</v>
      </c>
      <c r="G105" s="8">
        <v>731.35</v>
      </c>
      <c r="H105" s="9">
        <v>0.4603131195733916</v>
      </c>
      <c r="I105" s="8">
        <v>1066.2</v>
      </c>
      <c r="J105" s="9">
        <v>0.0016882386043893776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>
      <c r="A106" s="5" t="s">
        <v>116</v>
      </c>
      <c r="B106" s="6">
        <v>12966.0743501</v>
      </c>
      <c r="C106" s="8">
        <v>1436.05</v>
      </c>
      <c r="D106" s="8">
        <v>30.59</v>
      </c>
      <c r="E106" s="8">
        <v>1662.45</v>
      </c>
      <c r="F106" s="9">
        <v>0.13618454690366633</v>
      </c>
      <c r="G106" s="8">
        <v>905.2</v>
      </c>
      <c r="H106" s="9">
        <v>0.5864449845338046</v>
      </c>
      <c r="I106" s="8">
        <v>1435.2</v>
      </c>
      <c r="J106" s="9">
        <v>5.922519509475397E-4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5" t="s">
        <v>117</v>
      </c>
      <c r="B107" s="6">
        <v>8341.1378051</v>
      </c>
      <c r="C107" s="8">
        <v>2358.0</v>
      </c>
      <c r="D107" s="8">
        <v>25.47</v>
      </c>
      <c r="E107" s="8">
        <v>3447.55</v>
      </c>
      <c r="F107" s="9">
        <v>0.31603602558338534</v>
      </c>
      <c r="G107" s="8">
        <v>2310.1</v>
      </c>
      <c r="H107" s="9">
        <v>0.020735033115449587</v>
      </c>
      <c r="I107" s="8">
        <v>2340.5</v>
      </c>
      <c r="J107" s="9">
        <v>0.007477034821619312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>
      <c r="A108" s="5" t="s">
        <v>118</v>
      </c>
      <c r="B108" s="6">
        <v>8026.4791851</v>
      </c>
      <c r="C108" s="8">
        <v>293.1</v>
      </c>
      <c r="D108" s="8"/>
      <c r="E108" s="8">
        <v>579.95</v>
      </c>
      <c r="F108" s="9">
        <v>0.49461160444865937</v>
      </c>
      <c r="G108" s="8">
        <v>262.3</v>
      </c>
      <c r="H108" s="9">
        <v>0.1174227983225315</v>
      </c>
      <c r="I108" s="8">
        <v>289.1</v>
      </c>
      <c r="J108" s="9">
        <v>0.013836042891732963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5" t="s">
        <v>119</v>
      </c>
      <c r="B109" s="6">
        <v>8293.1763762</v>
      </c>
      <c r="C109" s="8">
        <v>2562.7</v>
      </c>
      <c r="D109" s="8">
        <v>20.06</v>
      </c>
      <c r="E109" s="8">
        <v>3841.85</v>
      </c>
      <c r="F109" s="9">
        <v>0.3329515728099744</v>
      </c>
      <c r="G109" s="8">
        <v>2530.0</v>
      </c>
      <c r="H109" s="9">
        <v>0.01292490118577068</v>
      </c>
      <c r="I109" s="8">
        <v>2557.4</v>
      </c>
      <c r="J109" s="9">
        <v>0.0020724172988190064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>
      <c r="A110" s="5" t="s">
        <v>120</v>
      </c>
      <c r="B110" s="6">
        <v>7486.15043</v>
      </c>
      <c r="C110" s="8">
        <v>629.0</v>
      </c>
      <c r="D110" s="8">
        <v>188.97</v>
      </c>
      <c r="E110" s="8">
        <v>1343.0</v>
      </c>
      <c r="F110" s="9">
        <v>0.5316455696202531</v>
      </c>
      <c r="G110" s="8">
        <v>570.0</v>
      </c>
      <c r="H110" s="9">
        <v>0.10350877192982456</v>
      </c>
      <c r="I110" s="8">
        <v>625.55</v>
      </c>
      <c r="J110" s="9">
        <v>0.005515146670929655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5" t="s">
        <v>121</v>
      </c>
      <c r="B111" s="6">
        <v>10644.74</v>
      </c>
      <c r="C111" s="8">
        <v>173.0</v>
      </c>
      <c r="D111" s="8">
        <v>15.85</v>
      </c>
      <c r="E111" s="8">
        <v>204.5</v>
      </c>
      <c r="F111" s="9">
        <v>0.15403422982885084</v>
      </c>
      <c r="G111" s="8">
        <v>128.0</v>
      </c>
      <c r="H111" s="9">
        <v>0.3515625</v>
      </c>
      <c r="I111" s="8">
        <v>170.9</v>
      </c>
      <c r="J111" s="9">
        <v>0.012287887653598561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>
      <c r="A112" s="5" t="s">
        <v>122</v>
      </c>
      <c r="B112" s="6">
        <v>5686.243</v>
      </c>
      <c r="C112" s="8">
        <v>499.35</v>
      </c>
      <c r="D112" s="8">
        <v>39.43</v>
      </c>
      <c r="E112" s="8">
        <v>833.0</v>
      </c>
      <c r="F112" s="9">
        <v>0.40054021608643453</v>
      </c>
      <c r="G112" s="8">
        <v>468.0</v>
      </c>
      <c r="H112" s="9">
        <v>0.06698717948717954</v>
      </c>
      <c r="I112" s="8">
        <v>494.9</v>
      </c>
      <c r="J112" s="9">
        <v>0.008991715498080513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5" t="s">
        <v>123</v>
      </c>
      <c r="B113" s="6">
        <v>10284.2865</v>
      </c>
      <c r="C113" s="8">
        <v>807.2</v>
      </c>
      <c r="D113" s="8">
        <v>21.59</v>
      </c>
      <c r="E113" s="8">
        <v>1096.05</v>
      </c>
      <c r="F113" s="9">
        <v>0.263537247388349</v>
      </c>
      <c r="G113" s="8">
        <v>595.0</v>
      </c>
      <c r="H113" s="9">
        <v>0.35663865546218493</v>
      </c>
      <c r="I113" s="8">
        <v>812.9</v>
      </c>
      <c r="J113" s="9">
        <v>-0.007011932587033992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>
      <c r="A114" s="5" t="s">
        <v>124</v>
      </c>
      <c r="B114" s="6">
        <v>9847.33486</v>
      </c>
      <c r="C114" s="8">
        <v>576.5</v>
      </c>
      <c r="D114" s="8">
        <v>17.05</v>
      </c>
      <c r="E114" s="8">
        <v>668.15</v>
      </c>
      <c r="F114" s="9">
        <v>0.13716979720122724</v>
      </c>
      <c r="G114" s="8">
        <v>438.05</v>
      </c>
      <c r="H114" s="9">
        <v>0.31605981052391274</v>
      </c>
      <c r="I114" s="8">
        <v>590.95</v>
      </c>
      <c r="J114" s="9">
        <v>-0.02445215331246306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5" t="s">
        <v>125</v>
      </c>
      <c r="B115" s="6">
        <v>7415.8287656</v>
      </c>
      <c r="C115" s="8">
        <v>1190.8</v>
      </c>
      <c r="D115" s="8">
        <v>32.12</v>
      </c>
      <c r="E115" s="8">
        <v>1919.0</v>
      </c>
      <c r="F115" s="9">
        <v>0.37946847316310583</v>
      </c>
      <c r="G115" s="8">
        <v>1052.6</v>
      </c>
      <c r="H115" s="9">
        <v>0.1312939388181646</v>
      </c>
      <c r="I115" s="8">
        <v>1197.6</v>
      </c>
      <c r="J115" s="9">
        <v>-0.005678022712090811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>
      <c r="A116" s="5" t="s">
        <v>126</v>
      </c>
      <c r="B116" s="6">
        <v>7672.4308321</v>
      </c>
      <c r="C116" s="8">
        <v>289.4</v>
      </c>
      <c r="D116" s="8">
        <v>36.41</v>
      </c>
      <c r="E116" s="8">
        <v>501.6</v>
      </c>
      <c r="F116" s="9">
        <v>0.4230462519936205</v>
      </c>
      <c r="G116" s="8">
        <v>274.35</v>
      </c>
      <c r="H116" s="9">
        <v>0.05485693457262604</v>
      </c>
      <c r="I116" s="8">
        <v>289.25</v>
      </c>
      <c r="J116" s="9">
        <v>5.185825410543726E-4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5" t="s">
        <v>127</v>
      </c>
      <c r="B117" s="6">
        <v>10126.79307</v>
      </c>
      <c r="C117" s="8">
        <v>73.6</v>
      </c>
      <c r="D117" s="8">
        <v>36.15</v>
      </c>
      <c r="E117" s="8">
        <v>101.35</v>
      </c>
      <c r="F117" s="9">
        <v>0.2738036507153429</v>
      </c>
      <c r="G117" s="8">
        <v>51.55</v>
      </c>
      <c r="H117" s="9">
        <v>0.42774005819592625</v>
      </c>
      <c r="I117" s="8">
        <v>72.4</v>
      </c>
      <c r="J117" s="9">
        <v>0.01657458563535896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>
      <c r="A118" s="5" t="s">
        <v>128</v>
      </c>
      <c r="B118" s="6">
        <v>8445.006</v>
      </c>
      <c r="C118" s="8">
        <v>853.05</v>
      </c>
      <c r="D118" s="8">
        <v>15.67</v>
      </c>
      <c r="E118" s="8">
        <v>925.0</v>
      </c>
      <c r="F118" s="9">
        <v>0.07778378378378384</v>
      </c>
      <c r="G118" s="8">
        <v>666.35</v>
      </c>
      <c r="H118" s="9">
        <v>0.2801830869663089</v>
      </c>
      <c r="I118" s="8">
        <v>862.5</v>
      </c>
      <c r="J118" s="9">
        <v>-0.010956521739130488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5" t="s">
        <v>129</v>
      </c>
      <c r="B119" s="6">
        <v>10287.9254057</v>
      </c>
      <c r="C119" s="8">
        <v>121.55</v>
      </c>
      <c r="D119" s="8">
        <v>8.7</v>
      </c>
      <c r="E119" s="8">
        <v>173.75</v>
      </c>
      <c r="F119" s="9">
        <v>0.300431654676259</v>
      </c>
      <c r="G119" s="8">
        <v>81.5</v>
      </c>
      <c r="H119" s="9">
        <v>0.4914110429447852</v>
      </c>
      <c r="I119" s="8">
        <v>120.15</v>
      </c>
      <c r="J119" s="9">
        <v>0.011652101539741918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>
      <c r="A120" s="5" t="s">
        <v>130</v>
      </c>
      <c r="B120" s="6">
        <v>6297.527</v>
      </c>
      <c r="C120" s="8">
        <v>1870.0</v>
      </c>
      <c r="D120" s="8">
        <v>49.07</v>
      </c>
      <c r="E120" s="8">
        <v>4023.65</v>
      </c>
      <c r="F120" s="9">
        <v>0.5352478471039976</v>
      </c>
      <c r="G120" s="8">
        <v>1844.15</v>
      </c>
      <c r="H120" s="9">
        <v>0.014017297942141316</v>
      </c>
      <c r="I120" s="8">
        <v>1876.0</v>
      </c>
      <c r="J120" s="9">
        <v>-0.0031982942430703624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5" t="s">
        <v>131</v>
      </c>
      <c r="B121" s="6">
        <v>8584.669055</v>
      </c>
      <c r="C121" s="8">
        <v>891.5</v>
      </c>
      <c r="D121" s="8">
        <v>61.12</v>
      </c>
      <c r="E121" s="8">
        <v>1044.4</v>
      </c>
      <c r="F121" s="9">
        <v>0.14639984680199164</v>
      </c>
      <c r="G121" s="8">
        <v>652.3</v>
      </c>
      <c r="H121" s="9">
        <v>0.36670243752874454</v>
      </c>
      <c r="I121" s="8">
        <v>897.9</v>
      </c>
      <c r="J121" s="9">
        <v>-0.00712774251030179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>
      <c r="A122" s="5" t="s">
        <v>132</v>
      </c>
      <c r="B122" s="6">
        <v>4868.970546</v>
      </c>
      <c r="C122" s="8">
        <v>1555.0</v>
      </c>
      <c r="D122" s="8">
        <v>7.36</v>
      </c>
      <c r="E122" s="8">
        <v>2870.0</v>
      </c>
      <c r="F122" s="9">
        <v>0.45818815331010454</v>
      </c>
      <c r="G122" s="8">
        <v>1463.3</v>
      </c>
      <c r="H122" s="9">
        <v>0.062666575548418</v>
      </c>
      <c r="I122" s="8">
        <v>1559.1</v>
      </c>
      <c r="J122" s="9">
        <v>-0.0026297222756718037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5" t="s">
        <v>133</v>
      </c>
      <c r="B123" s="6">
        <v>8104.163</v>
      </c>
      <c r="C123" s="8">
        <v>582.0</v>
      </c>
      <c r="D123" s="8">
        <v>19.25</v>
      </c>
      <c r="E123" s="8">
        <v>694.5</v>
      </c>
      <c r="F123" s="9">
        <v>0.16198704103671707</v>
      </c>
      <c r="G123" s="8">
        <v>457.58</v>
      </c>
      <c r="H123" s="9">
        <v>0.2719087372699856</v>
      </c>
      <c r="I123" s="8">
        <v>574.4</v>
      </c>
      <c r="J123" s="9">
        <v>0.013231197771587783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>
      <c r="A124" s="5" t="s">
        <v>134</v>
      </c>
      <c r="B124" s="6">
        <v>8815.8228535</v>
      </c>
      <c r="C124" s="8">
        <v>3515.05</v>
      </c>
      <c r="D124" s="8">
        <v>95.35</v>
      </c>
      <c r="E124" s="8">
        <v>3619.7</v>
      </c>
      <c r="F124" s="9">
        <v>0.028911235737768225</v>
      </c>
      <c r="G124" s="8">
        <v>2437.75</v>
      </c>
      <c r="H124" s="9">
        <v>0.44192390524048825</v>
      </c>
      <c r="I124" s="8">
        <v>3443.4</v>
      </c>
      <c r="J124" s="9">
        <v>0.020807922402276847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5" t="s">
        <v>135</v>
      </c>
      <c r="B125" s="6">
        <v>7452.986336</v>
      </c>
      <c r="C125" s="8">
        <v>367.25</v>
      </c>
      <c r="D125" s="8">
        <v>49.25</v>
      </c>
      <c r="E125" s="8">
        <v>617.4</v>
      </c>
      <c r="F125" s="9">
        <v>0.4051668286362164</v>
      </c>
      <c r="G125" s="8">
        <v>305.25</v>
      </c>
      <c r="H125" s="9">
        <v>0.2031122031122031</v>
      </c>
      <c r="I125" s="8">
        <v>368.4</v>
      </c>
      <c r="J125" s="9">
        <v>-0.003121606948968451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>
      <c r="A126" s="5" t="s">
        <v>136</v>
      </c>
      <c r="B126" s="6">
        <v>6488.72245</v>
      </c>
      <c r="C126" s="8">
        <v>353.0</v>
      </c>
      <c r="D126" s="8">
        <v>35.19</v>
      </c>
      <c r="E126" s="8">
        <v>461.5</v>
      </c>
      <c r="F126" s="9">
        <v>0.23510292524377033</v>
      </c>
      <c r="G126" s="8">
        <v>289.05</v>
      </c>
      <c r="H126" s="9">
        <v>0.22124199965403904</v>
      </c>
      <c r="I126" s="8">
        <v>355.1</v>
      </c>
      <c r="J126" s="9">
        <v>-0.005913827090960356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5" t="s">
        <v>137</v>
      </c>
      <c r="B127" s="6">
        <v>7451.4657292</v>
      </c>
      <c r="C127" s="8">
        <v>873.25</v>
      </c>
      <c r="D127" s="8">
        <v>20.88</v>
      </c>
      <c r="E127" s="8">
        <v>958.0</v>
      </c>
      <c r="F127" s="9">
        <v>0.08846555323590814</v>
      </c>
      <c r="G127" s="8">
        <v>642.0</v>
      </c>
      <c r="H127" s="9">
        <v>0.36020249221183803</v>
      </c>
      <c r="I127" s="8">
        <v>861.2</v>
      </c>
      <c r="J127" s="9">
        <v>0.013992104040873147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>
      <c r="A128" s="5" t="s">
        <v>138</v>
      </c>
      <c r="B128" s="6">
        <v>7705.431</v>
      </c>
      <c r="C128" s="8">
        <v>318.6</v>
      </c>
      <c r="D128" s="8">
        <v>16.36</v>
      </c>
      <c r="E128" s="8">
        <v>381.25</v>
      </c>
      <c r="F128" s="9">
        <v>0.16432786885245895</v>
      </c>
      <c r="G128" s="8">
        <v>227.0</v>
      </c>
      <c r="H128" s="9">
        <v>0.40352422907489</v>
      </c>
      <c r="I128" s="8">
        <v>318.15</v>
      </c>
      <c r="J128" s="9">
        <v>0.0014144271570015574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5" t="s">
        <v>139</v>
      </c>
      <c r="B129" s="6">
        <v>6985.583</v>
      </c>
      <c r="C129" s="8">
        <v>1795.0</v>
      </c>
      <c r="D129" s="8">
        <v>49.5</v>
      </c>
      <c r="E129" s="8">
        <v>2249.0</v>
      </c>
      <c r="F129" s="9">
        <v>0.20186749666518453</v>
      </c>
      <c r="G129" s="8">
        <v>1444.5</v>
      </c>
      <c r="H129" s="9">
        <v>0.24264451367255105</v>
      </c>
      <c r="I129" s="8">
        <v>1807.4</v>
      </c>
      <c r="J129" s="9">
        <v>-0.006860683855261752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>
      <c r="A130" s="5" t="s">
        <v>140</v>
      </c>
      <c r="B130" s="6">
        <v>4785.1628071</v>
      </c>
      <c r="C130" s="8">
        <v>211.35</v>
      </c>
      <c r="D130" s="8">
        <v>13.73</v>
      </c>
      <c r="E130" s="8">
        <v>496.1</v>
      </c>
      <c r="F130" s="9">
        <v>0.5739770207619431</v>
      </c>
      <c r="G130" s="8">
        <v>202.0</v>
      </c>
      <c r="H130" s="9">
        <v>0.04628712871287126</v>
      </c>
      <c r="I130" s="8">
        <v>212.4</v>
      </c>
      <c r="J130" s="9">
        <v>-0.00494350282485881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5" t="s">
        <v>141</v>
      </c>
      <c r="B131" s="6">
        <v>5153.9576635</v>
      </c>
      <c r="C131" s="8">
        <v>1714.7</v>
      </c>
      <c r="D131" s="8">
        <v>17.12</v>
      </c>
      <c r="E131" s="8">
        <v>3410.85</v>
      </c>
      <c r="F131" s="9">
        <v>0.49728073647331306</v>
      </c>
      <c r="G131" s="8">
        <v>1492.0</v>
      </c>
      <c r="H131" s="9">
        <v>0.14926273458445044</v>
      </c>
      <c r="I131" s="8">
        <v>1693.7</v>
      </c>
      <c r="J131" s="9">
        <v>0.012398890004132962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>
      <c r="A132" s="5" t="s">
        <v>142</v>
      </c>
      <c r="B132" s="6">
        <v>6152.5851506</v>
      </c>
      <c r="C132" s="8">
        <v>3024.95</v>
      </c>
      <c r="D132" s="8">
        <v>37.14</v>
      </c>
      <c r="E132" s="8">
        <v>3754.85</v>
      </c>
      <c r="F132" s="9">
        <v>0.19438859075595566</v>
      </c>
      <c r="G132" s="8">
        <v>2619.8</v>
      </c>
      <c r="H132" s="9">
        <v>0.1546492098633482</v>
      </c>
      <c r="I132" s="8">
        <v>3026.7</v>
      </c>
      <c r="J132" s="9">
        <v>-5.781874648957611E-4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5" t="s">
        <v>143</v>
      </c>
      <c r="B133" s="6">
        <v>7046.8192293</v>
      </c>
      <c r="C133" s="8">
        <v>1567.45</v>
      </c>
      <c r="D133" s="8">
        <v>53.87</v>
      </c>
      <c r="E133" s="8">
        <v>2110.0</v>
      </c>
      <c r="F133" s="9">
        <v>0.25713270142180095</v>
      </c>
      <c r="G133" s="8">
        <v>1256.67</v>
      </c>
      <c r="H133" s="9">
        <v>0.24730438380800046</v>
      </c>
      <c r="I133" s="8">
        <v>1576.95</v>
      </c>
      <c r="J133" s="9">
        <v>-0.006024287390215289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>
      <c r="A134" s="5" t="s">
        <v>144</v>
      </c>
      <c r="B134" s="6">
        <v>6810.58629</v>
      </c>
      <c r="C134" s="8">
        <v>171.0</v>
      </c>
      <c r="D134" s="11" t="s">
        <v>16</v>
      </c>
      <c r="E134" s="8">
        <v>279.7</v>
      </c>
      <c r="F134" s="9">
        <v>0.38863067572398996</v>
      </c>
      <c r="G134" s="8">
        <v>128.6</v>
      </c>
      <c r="H134" s="9">
        <v>0.32970451010886476</v>
      </c>
      <c r="I134" s="8">
        <v>170.15</v>
      </c>
      <c r="J134" s="9">
        <v>0.004995592124595911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5" t="s">
        <v>145</v>
      </c>
      <c r="B135" s="6">
        <v>5679.5794914</v>
      </c>
      <c r="C135" s="8">
        <v>267.2</v>
      </c>
      <c r="D135" s="8">
        <v>53.9</v>
      </c>
      <c r="E135" s="8">
        <v>372.2</v>
      </c>
      <c r="F135" s="9">
        <v>0.2821063944116067</v>
      </c>
      <c r="G135" s="8">
        <v>244.0</v>
      </c>
      <c r="H135" s="9">
        <v>0.09508196721311471</v>
      </c>
      <c r="I135" s="8">
        <v>268.4</v>
      </c>
      <c r="J135" s="9">
        <v>-0.004470938897168364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>
      <c r="A136" s="5" t="s">
        <v>146</v>
      </c>
      <c r="B136" s="6">
        <v>5305.4035808</v>
      </c>
      <c r="C136" s="8">
        <v>389.4</v>
      </c>
      <c r="D136" s="8">
        <v>21.44</v>
      </c>
      <c r="E136" s="8">
        <v>638.8</v>
      </c>
      <c r="F136" s="9">
        <v>0.39041953663118345</v>
      </c>
      <c r="G136" s="8">
        <v>364.1</v>
      </c>
      <c r="H136" s="9">
        <v>0.06948640483383672</v>
      </c>
      <c r="I136" s="8">
        <v>388.7</v>
      </c>
      <c r="J136" s="9">
        <v>0.001800874710573678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5" t="s">
        <v>147</v>
      </c>
      <c r="B137" s="6">
        <v>6919.97</v>
      </c>
      <c r="C137" s="8">
        <v>5294.0</v>
      </c>
      <c r="D137" s="8">
        <v>37.0</v>
      </c>
      <c r="E137" s="8">
        <v>6067.95</v>
      </c>
      <c r="F137" s="9">
        <v>0.1275471946868382</v>
      </c>
      <c r="G137" s="8">
        <v>3518.6</v>
      </c>
      <c r="H137" s="9">
        <v>0.5045756835104872</v>
      </c>
      <c r="I137" s="8">
        <v>5320.0</v>
      </c>
      <c r="J137" s="9">
        <v>-0.004887218045112782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>
      <c r="A138" s="5" t="s">
        <v>148</v>
      </c>
      <c r="B138" s="6">
        <v>7324.341471</v>
      </c>
      <c r="C138" s="8">
        <v>3465.1</v>
      </c>
      <c r="D138" s="8">
        <v>35.75</v>
      </c>
      <c r="E138" s="8">
        <v>3709.95</v>
      </c>
      <c r="F138" s="9">
        <v>0.06599819404574184</v>
      </c>
      <c r="G138" s="8">
        <v>1845.0</v>
      </c>
      <c r="H138" s="9">
        <v>0.8781029810298102</v>
      </c>
      <c r="I138" s="8">
        <v>3461.8</v>
      </c>
      <c r="J138" s="9">
        <v>9.532613091454524E-4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5" t="s">
        <v>149</v>
      </c>
      <c r="B139" s="6">
        <v>3941.666</v>
      </c>
      <c r="C139" s="8">
        <v>9517.9</v>
      </c>
      <c r="D139" s="8">
        <v>23.12</v>
      </c>
      <c r="E139" s="8">
        <v>14362.9</v>
      </c>
      <c r="F139" s="9">
        <v>0.3373274199500101</v>
      </c>
      <c r="G139" s="8">
        <v>9301.0</v>
      </c>
      <c r="H139" s="9">
        <v>0.023320073110418196</v>
      </c>
      <c r="I139" s="8">
        <v>9497.7</v>
      </c>
      <c r="J139" s="9">
        <v>0.00212683070638143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>
      <c r="A140" s="5" t="s">
        <v>150</v>
      </c>
      <c r="B140" s="6">
        <v>4230.867</v>
      </c>
      <c r="C140" s="8">
        <v>186.9</v>
      </c>
      <c r="D140" s="8">
        <v>23.18</v>
      </c>
      <c r="E140" s="8">
        <v>242.0</v>
      </c>
      <c r="F140" s="9">
        <v>0.22768595041322312</v>
      </c>
      <c r="G140" s="8">
        <v>164.0</v>
      </c>
      <c r="H140" s="9">
        <v>0.13963414634146346</v>
      </c>
      <c r="I140" s="8">
        <v>186.85</v>
      </c>
      <c r="J140" s="9">
        <v>2.6759432700032847E-4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5" t="s">
        <v>151</v>
      </c>
      <c r="B141" s="6">
        <v>3279.733</v>
      </c>
      <c r="C141" s="8">
        <v>1669.3</v>
      </c>
      <c r="D141" s="8">
        <v>33.56</v>
      </c>
      <c r="E141" s="8">
        <v>2285.65</v>
      </c>
      <c r="F141" s="9">
        <v>0.2696607092074465</v>
      </c>
      <c r="G141" s="8">
        <v>1276.15</v>
      </c>
      <c r="H141" s="9">
        <v>0.30807506954511604</v>
      </c>
      <c r="I141" s="8">
        <v>1635.25</v>
      </c>
      <c r="J141" s="9">
        <v>0.020822504204250088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>
      <c r="A142" s="5" t="s">
        <v>152</v>
      </c>
      <c r="B142" s="6">
        <v>4148.48</v>
      </c>
      <c r="C142" s="8">
        <v>448.0</v>
      </c>
      <c r="D142" s="8">
        <v>22.17</v>
      </c>
      <c r="E142" s="8">
        <v>537.4</v>
      </c>
      <c r="F142" s="9">
        <v>0.16635653144771118</v>
      </c>
      <c r="G142" s="8">
        <v>378.4</v>
      </c>
      <c r="H142" s="9">
        <v>0.18393234672304448</v>
      </c>
      <c r="I142" s="8">
        <v>445.5</v>
      </c>
      <c r="J142" s="9">
        <v>0.005611672278338945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5" t="s">
        <v>153</v>
      </c>
      <c r="B143" s="6">
        <v>6367.8328518</v>
      </c>
      <c r="C143" s="8">
        <v>1227.1</v>
      </c>
      <c r="D143" s="8">
        <v>59.65</v>
      </c>
      <c r="E143" s="8">
        <v>1480.0</v>
      </c>
      <c r="F143" s="9">
        <v>0.17087837837837844</v>
      </c>
      <c r="G143" s="8">
        <v>575.0</v>
      </c>
      <c r="H143" s="9">
        <v>1.134086956521739</v>
      </c>
      <c r="I143" s="8">
        <v>1161.25</v>
      </c>
      <c r="J143" s="9">
        <v>0.05670613562970929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>
      <c r="A144" s="5" t="s">
        <v>154</v>
      </c>
      <c r="B144" s="6">
        <v>3024.4291291</v>
      </c>
      <c r="C144" s="8">
        <v>571.8</v>
      </c>
      <c r="D144" s="8">
        <v>35.81</v>
      </c>
      <c r="E144" s="8">
        <v>1087.0</v>
      </c>
      <c r="F144" s="9">
        <v>0.4739650413983441</v>
      </c>
      <c r="G144" s="8">
        <v>562.1</v>
      </c>
      <c r="H144" s="9">
        <v>0.01725671588685275</v>
      </c>
      <c r="I144" s="8">
        <v>574.7</v>
      </c>
      <c r="J144" s="9">
        <v>-0.005046111014442476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5" t="s">
        <v>155</v>
      </c>
      <c r="B145" s="6">
        <v>3099.3320457</v>
      </c>
      <c r="C145" s="8">
        <v>1242.8</v>
      </c>
      <c r="D145" s="8">
        <v>68.51</v>
      </c>
      <c r="E145" s="8">
        <v>1842.2</v>
      </c>
      <c r="F145" s="9">
        <v>0.32537183801975905</v>
      </c>
      <c r="G145" s="8">
        <v>1201.25</v>
      </c>
      <c r="H145" s="9">
        <v>0.0345889698231009</v>
      </c>
      <c r="I145" s="8">
        <v>1229.5</v>
      </c>
      <c r="J145" s="9">
        <v>0.010817405449369625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>
      <c r="A146" s="5" t="s">
        <v>156</v>
      </c>
      <c r="B146" s="6">
        <v>3345.7206687</v>
      </c>
      <c r="C146" s="8">
        <v>717.5</v>
      </c>
      <c r="D146" s="8">
        <v>15.26</v>
      </c>
      <c r="E146" s="8">
        <v>815.0</v>
      </c>
      <c r="F146" s="9">
        <v>0.1196319018404908</v>
      </c>
      <c r="G146" s="8">
        <v>630.65</v>
      </c>
      <c r="H146" s="9">
        <v>0.13771505589471184</v>
      </c>
      <c r="I146" s="8">
        <v>724.95</v>
      </c>
      <c r="J146" s="9">
        <v>-0.01027657079798613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5" t="s">
        <v>157</v>
      </c>
      <c r="B147" s="6">
        <v>3094.098595</v>
      </c>
      <c r="C147" s="8">
        <v>276.7</v>
      </c>
      <c r="D147" s="8">
        <v>32.26</v>
      </c>
      <c r="E147" s="8">
        <v>354.9</v>
      </c>
      <c r="F147" s="9">
        <v>0.22034375880529725</v>
      </c>
      <c r="G147" s="8">
        <v>258.4</v>
      </c>
      <c r="H147" s="9">
        <v>0.07082043343653256</v>
      </c>
      <c r="I147" s="8">
        <v>278.9</v>
      </c>
      <c r="J147" s="9">
        <v>-0.007888131946934345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>
      <c r="A148" s="5" t="s">
        <v>158</v>
      </c>
      <c r="B148" s="6">
        <v>2618.5195811</v>
      </c>
      <c r="C148" s="8">
        <v>393.65</v>
      </c>
      <c r="D148" s="8">
        <v>19.15</v>
      </c>
      <c r="E148" s="8">
        <v>666.0</v>
      </c>
      <c r="F148" s="9">
        <v>0.40893393393393396</v>
      </c>
      <c r="G148" s="8">
        <v>372.4</v>
      </c>
      <c r="H148" s="9">
        <v>0.057062298603651994</v>
      </c>
      <c r="I148" s="8">
        <v>394.45</v>
      </c>
      <c r="J148" s="9">
        <v>-0.002028140448726103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5" t="s">
        <v>159</v>
      </c>
      <c r="B149" s="6">
        <v>2664.205</v>
      </c>
      <c r="C149" s="8">
        <v>382.15</v>
      </c>
      <c r="D149" s="8">
        <v>17.49</v>
      </c>
      <c r="E149" s="8">
        <v>671.0</v>
      </c>
      <c r="F149" s="9">
        <v>0.43047690014903134</v>
      </c>
      <c r="G149" s="8">
        <v>320.85</v>
      </c>
      <c r="H149" s="9">
        <v>0.19105501012934378</v>
      </c>
      <c r="I149" s="8">
        <v>362.3</v>
      </c>
      <c r="J149" s="9">
        <v>0.05478884902014895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5" t="s">
        <v>160</v>
      </c>
      <c r="B150" s="6">
        <v>2119.46</v>
      </c>
      <c r="C150" s="8">
        <v>85.4</v>
      </c>
      <c r="D150" s="8">
        <v>302.86</v>
      </c>
      <c r="E150" s="8">
        <v>204.45</v>
      </c>
      <c r="F150" s="9">
        <v>0.582293959403277</v>
      </c>
      <c r="G150" s="8">
        <v>81.4</v>
      </c>
      <c r="H150" s="9">
        <v>0.04914004914004914</v>
      </c>
      <c r="I150" s="8">
        <v>85.45</v>
      </c>
      <c r="J150" s="9">
        <v>-5.851375073141856E-4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5" t="s">
        <v>161</v>
      </c>
      <c r="B151" s="6">
        <v>3279.606</v>
      </c>
      <c r="C151" s="8">
        <v>988.1</v>
      </c>
      <c r="D151" s="8">
        <v>41.73</v>
      </c>
      <c r="E151" s="8">
        <v>1057.85</v>
      </c>
      <c r="F151" s="9">
        <v>0.06593562414330945</v>
      </c>
      <c r="G151" s="8">
        <v>648.05</v>
      </c>
      <c r="H151" s="9">
        <v>0.52472803024458</v>
      </c>
      <c r="I151" s="8">
        <v>991.35</v>
      </c>
      <c r="J151" s="9">
        <v>-0.0032783577949261106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>
      <c r="A152" s="5" t="s">
        <v>162</v>
      </c>
      <c r="B152" s="6">
        <v>2676.336957</v>
      </c>
      <c r="C152" s="8">
        <v>10430.0</v>
      </c>
      <c r="D152" s="8">
        <v>139.72</v>
      </c>
      <c r="E152" s="8">
        <v>14131.25</v>
      </c>
      <c r="F152" s="9">
        <v>0.26191950464396285</v>
      </c>
      <c r="G152" s="8">
        <v>8050.0</v>
      </c>
      <c r="H152" s="9">
        <v>0.2956521739130435</v>
      </c>
      <c r="I152" s="8">
        <v>10411.1</v>
      </c>
      <c r="J152" s="9">
        <v>0.0018153701337994673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5" t="s">
        <v>163</v>
      </c>
      <c r="B153" s="6">
        <v>1923.4465903</v>
      </c>
      <c r="C153" s="8">
        <v>481.35</v>
      </c>
      <c r="D153" s="8">
        <v>10.9</v>
      </c>
      <c r="E153" s="8">
        <v>744.15</v>
      </c>
      <c r="F153" s="9">
        <v>0.3531546059262245</v>
      </c>
      <c r="G153" s="8">
        <v>477.8</v>
      </c>
      <c r="H153" s="9">
        <v>0.007429886982000861</v>
      </c>
      <c r="I153" s="8">
        <v>481.85</v>
      </c>
      <c r="J153" s="9">
        <v>-0.0010376673238559717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>
      <c r="A154" s="5" t="s">
        <v>164</v>
      </c>
      <c r="B154" s="6">
        <v>2250.9146116</v>
      </c>
      <c r="C154" s="8">
        <v>577.8</v>
      </c>
      <c r="D154" s="8">
        <v>67.14</v>
      </c>
      <c r="E154" s="8">
        <v>811.35</v>
      </c>
      <c r="F154" s="9">
        <v>0.28785357737104833</v>
      </c>
      <c r="G154" s="8">
        <v>524.3</v>
      </c>
      <c r="H154" s="9">
        <v>0.10204081632653061</v>
      </c>
      <c r="I154" s="8">
        <v>583.75</v>
      </c>
      <c r="J154" s="9">
        <v>-0.010192719486081449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5" t="s">
        <v>165</v>
      </c>
      <c r="B155" s="6">
        <v>2340.128</v>
      </c>
      <c r="C155" s="8">
        <v>386.0</v>
      </c>
      <c r="D155" s="8">
        <v>13.46</v>
      </c>
      <c r="E155" s="8">
        <v>519.55</v>
      </c>
      <c r="F155" s="9">
        <v>0.2570493696468097</v>
      </c>
      <c r="G155" s="8">
        <v>301.1</v>
      </c>
      <c r="H155" s="9">
        <v>0.2819661242112254</v>
      </c>
      <c r="I155" s="8">
        <v>381.5</v>
      </c>
      <c r="J155" s="9">
        <v>0.011795543905635648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>
      <c r="A156" s="5" t="s">
        <v>166</v>
      </c>
      <c r="B156" s="6">
        <v>3335.191069</v>
      </c>
      <c r="C156" s="8">
        <v>462.25</v>
      </c>
      <c r="D156" s="8">
        <v>33.36</v>
      </c>
      <c r="E156" s="8">
        <v>480.4</v>
      </c>
      <c r="F156" s="9">
        <v>0.03778101582014983</v>
      </c>
      <c r="G156" s="8">
        <v>258.95</v>
      </c>
      <c r="H156" s="9">
        <v>0.7850936474222824</v>
      </c>
      <c r="I156" s="8">
        <v>473.2</v>
      </c>
      <c r="J156" s="9">
        <v>-0.02314032121724427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5" t="s">
        <v>167</v>
      </c>
      <c r="B157" s="6">
        <v>1794.6404408</v>
      </c>
      <c r="C157" s="8">
        <v>411.45</v>
      </c>
      <c r="D157" s="11" t="s">
        <v>16</v>
      </c>
      <c r="E157" s="8">
        <v>528.35</v>
      </c>
      <c r="F157" s="9">
        <v>0.22125485000473177</v>
      </c>
      <c r="G157" s="8">
        <v>366.05</v>
      </c>
      <c r="H157" s="9">
        <v>0.1240267722988662</v>
      </c>
      <c r="I157" s="8">
        <v>412.2</v>
      </c>
      <c r="J157" s="9">
        <v>-0.001819505094614265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>
      <c r="A158" s="5" t="s">
        <v>168</v>
      </c>
      <c r="B158" s="6">
        <v>1954.368</v>
      </c>
      <c r="C158" s="8">
        <v>118.6</v>
      </c>
      <c r="D158" s="8">
        <v>8.27</v>
      </c>
      <c r="E158" s="8">
        <v>182.4</v>
      </c>
      <c r="F158" s="9">
        <v>0.349780701754386</v>
      </c>
      <c r="G158" s="8">
        <v>98.0</v>
      </c>
      <c r="H158" s="9">
        <v>0.210204081632653</v>
      </c>
      <c r="I158" s="8">
        <v>120.25</v>
      </c>
      <c r="J158" s="9">
        <v>-0.013721413721413769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5" t="s">
        <v>169</v>
      </c>
      <c r="B159" s="6">
        <v>1991.1000155</v>
      </c>
      <c r="C159" s="8">
        <v>510.0</v>
      </c>
      <c r="D159" s="8">
        <v>64.75</v>
      </c>
      <c r="E159" s="8">
        <v>635.7</v>
      </c>
      <c r="F159" s="9">
        <v>0.1977347805568665</v>
      </c>
      <c r="G159" s="8">
        <v>395.0</v>
      </c>
      <c r="H159" s="9">
        <v>0.2911392405063291</v>
      </c>
      <c r="I159" s="8">
        <v>514.85</v>
      </c>
      <c r="J159" s="9">
        <v>-0.009420219481402394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>
      <c r="A160" s="5" t="s">
        <v>170</v>
      </c>
      <c r="B160" s="6">
        <v>1482.073362</v>
      </c>
      <c r="C160" s="8">
        <v>638.25</v>
      </c>
      <c r="D160" s="11" t="s">
        <v>16</v>
      </c>
      <c r="E160" s="8">
        <v>649.7</v>
      </c>
      <c r="F160" s="9">
        <v>0.01762351854702177</v>
      </c>
      <c r="G160" s="8">
        <v>634.15</v>
      </c>
      <c r="H160" s="9">
        <v>0.006465347315303987</v>
      </c>
      <c r="I160" s="8">
        <v>636.85</v>
      </c>
      <c r="J160" s="9">
        <v>0.002198319855538945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5" t="s">
        <v>171</v>
      </c>
      <c r="B161" s="6">
        <v>1059.9071153</v>
      </c>
      <c r="C161" s="8">
        <v>288.1</v>
      </c>
      <c r="D161" s="8">
        <v>15.51</v>
      </c>
      <c r="E161" s="8">
        <v>477.95</v>
      </c>
      <c r="F161" s="9">
        <v>0.3972172821424835</v>
      </c>
      <c r="G161" s="8">
        <v>261.0</v>
      </c>
      <c r="H161" s="9">
        <v>0.10383141762452117</v>
      </c>
      <c r="I161" s="8">
        <v>290.1</v>
      </c>
      <c r="J161" s="9">
        <v>-0.006894174422612891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>
      <c r="A162" s="5" t="s">
        <v>172</v>
      </c>
      <c r="B162" s="6">
        <v>404.8024737</v>
      </c>
      <c r="C162" s="8">
        <v>404.35</v>
      </c>
      <c r="D162" s="11" t="s">
        <v>16</v>
      </c>
      <c r="E162" s="8">
        <v>1936.0</v>
      </c>
      <c r="F162" s="9">
        <v>0.7911415289256198</v>
      </c>
      <c r="G162" s="8">
        <v>401.0</v>
      </c>
      <c r="H162" s="9">
        <v>0.008354114713217014</v>
      </c>
      <c r="I162" s="8">
        <v>408.5</v>
      </c>
      <c r="J162" s="9">
        <v>-0.010159118727050128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5" t="s">
        <v>173</v>
      </c>
      <c r="B163" s="6">
        <v>880.6892469</v>
      </c>
      <c r="C163" s="8">
        <v>4323.5</v>
      </c>
      <c r="D163" s="8">
        <v>23.13</v>
      </c>
      <c r="E163" s="8">
        <v>4759.6</v>
      </c>
      <c r="F163" s="9">
        <v>0.09162534666778728</v>
      </c>
      <c r="G163" s="8">
        <v>3654.0</v>
      </c>
      <c r="H163" s="9">
        <v>0.18322386425834702</v>
      </c>
      <c r="I163" s="8">
        <v>4310.6</v>
      </c>
      <c r="J163" s="9">
        <v>0.002992622836727981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>
      <c r="A164" s="5" t="s">
        <v>174</v>
      </c>
      <c r="B164" s="6">
        <v>11060.0657861</v>
      </c>
      <c r="C164" s="8">
        <v>1601.0</v>
      </c>
      <c r="D164" s="8">
        <v>21.39</v>
      </c>
      <c r="E164" s="8">
        <v>1722.1</v>
      </c>
      <c r="F164" s="9">
        <v>0.0703211195633238</v>
      </c>
      <c r="G164" s="8">
        <v>1271.6</v>
      </c>
      <c r="H164" s="9">
        <v>0.2590437244416484</v>
      </c>
      <c r="I164" s="8">
        <v>1599.4</v>
      </c>
      <c r="J164" s="9">
        <v>0.0010003751406776973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5" t="s">
        <v>175</v>
      </c>
      <c r="B165" s="6">
        <v>8463.6612353</v>
      </c>
      <c r="C165" s="8">
        <v>553.4</v>
      </c>
      <c r="D165" s="8">
        <v>15.6</v>
      </c>
      <c r="E165" s="8">
        <v>593.9</v>
      </c>
      <c r="F165" s="9">
        <v>0.06819329853510692</v>
      </c>
      <c r="G165" s="8">
        <v>343.5</v>
      </c>
      <c r="H165" s="9">
        <v>0.6110625909752546</v>
      </c>
      <c r="I165" s="8">
        <v>539.85</v>
      </c>
      <c r="J165" s="9">
        <v>0.02509956469389637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>
      <c r="A166" s="5" t="s">
        <v>176</v>
      </c>
      <c r="B166" s="6">
        <v>15766.33509</v>
      </c>
      <c r="C166" s="8">
        <v>252.6</v>
      </c>
      <c r="D166" s="8">
        <v>23.69</v>
      </c>
      <c r="E166" s="8">
        <v>375.2</v>
      </c>
      <c r="F166" s="9">
        <v>0.3267590618336887</v>
      </c>
      <c r="G166" s="8">
        <v>241.05</v>
      </c>
      <c r="H166" s="9">
        <v>0.04791537025513372</v>
      </c>
      <c r="I166" s="8">
        <v>251.9</v>
      </c>
      <c r="J166" s="9">
        <v>0.002778880508138105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5" t="s">
        <v>177</v>
      </c>
      <c r="B167" s="6">
        <v>47348.12</v>
      </c>
      <c r="C167" s="8">
        <v>22241.0</v>
      </c>
      <c r="D167" s="8">
        <v>53.6</v>
      </c>
      <c r="E167" s="8">
        <v>22499.0</v>
      </c>
      <c r="F167" s="9">
        <v>0.011467176318947508</v>
      </c>
      <c r="G167" s="8">
        <v>15514.0</v>
      </c>
      <c r="H167" s="9">
        <v>0.4336083537450045</v>
      </c>
      <c r="I167" s="8">
        <v>22162.55</v>
      </c>
      <c r="J167" s="9">
        <v>0.0035397551274560343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>
      <c r="A168" s="5" t="s">
        <v>178</v>
      </c>
      <c r="B168" s="6">
        <v>287213.2945283</v>
      </c>
      <c r="C168" s="8">
        <v>933.9</v>
      </c>
      <c r="D168" s="8">
        <v>15.67</v>
      </c>
      <c r="E168" s="8">
        <v>970.0</v>
      </c>
      <c r="F168" s="9">
        <v>0.03721649484536085</v>
      </c>
      <c r="G168" s="8">
        <v>618.25</v>
      </c>
      <c r="H168" s="9">
        <v>0.5105539830165791</v>
      </c>
      <c r="I168" s="8">
        <v>935.55</v>
      </c>
      <c r="J168" s="9">
        <v>-0.0017636684303350728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5" t="s">
        <v>179</v>
      </c>
      <c r="B169" s="6">
        <v>95565.8761753</v>
      </c>
      <c r="C169" s="8">
        <v>184.9</v>
      </c>
      <c r="D169" s="8">
        <v>9.72</v>
      </c>
      <c r="E169" s="8">
        <v>197.2</v>
      </c>
      <c r="F169" s="9">
        <v>0.06237322515212974</v>
      </c>
      <c r="G169" s="8">
        <v>89.9</v>
      </c>
      <c r="H169" s="9">
        <v>1.0567296996662958</v>
      </c>
      <c r="I169" s="8">
        <v>181.8</v>
      </c>
      <c r="J169" s="9">
        <v>0.01705170517051702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>
      <c r="A170" s="5" t="s">
        <v>180</v>
      </c>
      <c r="B170" s="6">
        <v>535431.3246675</v>
      </c>
      <c r="C170" s="8">
        <v>600.05</v>
      </c>
      <c r="D170" s="8">
        <v>13.0</v>
      </c>
      <c r="E170" s="8">
        <v>629.65</v>
      </c>
      <c r="F170" s="9">
        <v>0.047010243786230484</v>
      </c>
      <c r="G170" s="8">
        <v>425.0</v>
      </c>
      <c r="H170" s="9">
        <v>0.41188235294117637</v>
      </c>
      <c r="I170" s="8">
        <v>595.0</v>
      </c>
      <c r="J170" s="9">
        <v>0.008487394957983117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5" t="s">
        <v>181</v>
      </c>
      <c r="B171" s="6">
        <v>29278.4915846</v>
      </c>
      <c r="C171" s="8">
        <v>138.45</v>
      </c>
      <c r="D171" s="8">
        <v>11.78</v>
      </c>
      <c r="E171" s="8">
        <v>142.25</v>
      </c>
      <c r="F171" s="9">
        <v>0.0267135325131811</v>
      </c>
      <c r="G171" s="8">
        <v>82.5</v>
      </c>
      <c r="H171" s="9">
        <v>0.678181818181818</v>
      </c>
      <c r="I171" s="8">
        <v>135.05</v>
      </c>
      <c r="J171" s="9">
        <v>0.025175860792298978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>
      <c r="A172" s="5" t="s">
        <v>182</v>
      </c>
      <c r="B172" s="6">
        <v>87098.03</v>
      </c>
      <c r="C172" s="8">
        <v>24025.0</v>
      </c>
      <c r="D172" s="8">
        <v>54.11</v>
      </c>
      <c r="E172" s="8">
        <v>27936.75</v>
      </c>
      <c r="F172" s="9">
        <v>0.14002165606235514</v>
      </c>
      <c r="G172" s="8">
        <v>17865.2</v>
      </c>
      <c r="H172" s="9">
        <v>0.34479322929494205</v>
      </c>
      <c r="I172" s="8">
        <v>23854.85</v>
      </c>
      <c r="J172" s="9">
        <v>0.007132721438198163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5" t="s">
        <v>183</v>
      </c>
      <c r="B173" s="6">
        <v>7658.1331612</v>
      </c>
      <c r="C173" s="8">
        <v>1503.5</v>
      </c>
      <c r="D173" s="8">
        <v>27.61</v>
      </c>
      <c r="E173" s="8">
        <v>1953.7</v>
      </c>
      <c r="F173" s="9">
        <v>0.23043456006551674</v>
      </c>
      <c r="G173" s="8">
        <v>1355.5</v>
      </c>
      <c r="H173" s="9">
        <v>0.10918480265584656</v>
      </c>
      <c r="I173" s="8">
        <v>1480.55</v>
      </c>
      <c r="J173" s="9">
        <v>0.015500996251393095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>
      <c r="A174" s="5" t="s">
        <v>184</v>
      </c>
      <c r="B174" s="6">
        <v>1620922.4391001</v>
      </c>
      <c r="C174" s="8">
        <v>2467.9</v>
      </c>
      <c r="D174" s="8">
        <v>25.09</v>
      </c>
      <c r="E174" s="8">
        <v>2856.15</v>
      </c>
      <c r="F174" s="9">
        <v>0.1359347373212191</v>
      </c>
      <c r="G174" s="8">
        <v>2180.0</v>
      </c>
      <c r="H174" s="9">
        <v>0.1320642201834863</v>
      </c>
      <c r="I174" s="8">
        <v>2471.6</v>
      </c>
      <c r="J174" s="9">
        <v>-0.0014970059880238785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5" t="s">
        <v>185</v>
      </c>
      <c r="B175" s="6">
        <v>5515.515</v>
      </c>
      <c r="C175" s="8">
        <v>241.5</v>
      </c>
      <c r="D175" s="8">
        <v>12.67</v>
      </c>
      <c r="E175" s="8">
        <v>393.85</v>
      </c>
      <c r="F175" s="9">
        <v>0.38682239431255555</v>
      </c>
      <c r="G175" s="8">
        <v>169.25</v>
      </c>
      <c r="H175" s="9">
        <v>0.42688330871491875</v>
      </c>
      <c r="I175" s="8">
        <v>236.7</v>
      </c>
      <c r="J175" s="9">
        <v>0.020278833967046942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>
      <c r="A176" s="5" t="s">
        <v>186</v>
      </c>
      <c r="B176" s="6">
        <v>1191.350885</v>
      </c>
      <c r="C176" s="8">
        <v>446.8</v>
      </c>
      <c r="D176" s="11" t="s">
        <v>16</v>
      </c>
      <c r="E176" s="8">
        <v>455.95</v>
      </c>
      <c r="F176" s="9">
        <v>0.020067989911174422</v>
      </c>
      <c r="G176" s="8">
        <v>444.0</v>
      </c>
      <c r="H176" s="9">
        <v>0.006306306306306332</v>
      </c>
      <c r="I176" s="8">
        <v>447.4</v>
      </c>
      <c r="J176" s="9">
        <v>-0.0013410818059900892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5" t="s">
        <v>187</v>
      </c>
      <c r="B177" s="6">
        <v>129917.6</v>
      </c>
      <c r="C177" s="8">
        <v>604.0</v>
      </c>
      <c r="D177" s="8">
        <v>85.12</v>
      </c>
      <c r="E177" s="8">
        <v>678.8</v>
      </c>
      <c r="F177" s="9">
        <v>0.11019446081319971</v>
      </c>
      <c r="G177" s="8">
        <v>497.05</v>
      </c>
      <c r="H177" s="9">
        <v>0.21516950005029672</v>
      </c>
      <c r="I177" s="8">
        <v>598.4</v>
      </c>
      <c r="J177" s="9">
        <v>0.009358288770053515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>
      <c r="A178" s="5" t="s">
        <v>188</v>
      </c>
      <c r="B178" s="6">
        <v>22430.59</v>
      </c>
      <c r="C178" s="8">
        <v>2900.45</v>
      </c>
      <c r="D178" s="8">
        <v>36.07</v>
      </c>
      <c r="E178" s="8">
        <v>3646.25</v>
      </c>
      <c r="F178" s="9">
        <v>0.2045389098388756</v>
      </c>
      <c r="G178" s="8">
        <v>2005.0</v>
      </c>
      <c r="H178" s="9">
        <v>0.4466084788029924</v>
      </c>
      <c r="I178" s="8">
        <v>2905.9</v>
      </c>
      <c r="J178" s="9">
        <v>-0.0018754946832307625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5" t="s">
        <v>189</v>
      </c>
      <c r="B179" s="6">
        <v>67468.3198772</v>
      </c>
      <c r="C179" s="8">
        <v>468.9</v>
      </c>
      <c r="D179" s="8">
        <v>78.92</v>
      </c>
      <c r="E179" s="8">
        <v>648.85</v>
      </c>
      <c r="F179" s="9">
        <v>0.27733682669338067</v>
      </c>
      <c r="G179" s="8">
        <v>430.0</v>
      </c>
      <c r="H179" s="9">
        <v>0.09046511627906971</v>
      </c>
      <c r="I179" s="8">
        <v>464.7</v>
      </c>
      <c r="J179" s="9">
        <v>0.00903808908973529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>
      <c r="A180" s="5" t="s">
        <v>190</v>
      </c>
      <c r="B180" s="6">
        <v>214719.0067183</v>
      </c>
      <c r="C180" s="8">
        <v>2417.65</v>
      </c>
      <c r="D180" s="8">
        <v>68.59</v>
      </c>
      <c r="E180" s="8">
        <v>2790.0</v>
      </c>
      <c r="F180" s="9">
        <v>0.13345878136200715</v>
      </c>
      <c r="G180" s="8">
        <v>1827.15</v>
      </c>
      <c r="H180" s="9">
        <v>0.32318091016063266</v>
      </c>
      <c r="I180" s="8">
        <v>2445.65</v>
      </c>
      <c r="J180" s="9">
        <v>-0.011448899065688058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5" t="s">
        <v>191</v>
      </c>
      <c r="B181" s="6">
        <v>1794.8020805</v>
      </c>
      <c r="C181" s="8">
        <v>165.55</v>
      </c>
      <c r="D181" s="8">
        <v>17.83</v>
      </c>
      <c r="E181" s="8">
        <v>209.41</v>
      </c>
      <c r="F181" s="9">
        <v>0.2094455852156057</v>
      </c>
      <c r="G181" s="8">
        <v>116.75</v>
      </c>
      <c r="H181" s="9">
        <v>0.41798715203426134</v>
      </c>
      <c r="I181" s="8">
        <v>165.4</v>
      </c>
      <c r="J181" s="9">
        <v>9.068923821040247E-4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>
      <c r="A182" s="5" t="s">
        <v>192</v>
      </c>
      <c r="B182" s="6">
        <v>61484.38668</v>
      </c>
      <c r="C182" s="8">
        <v>846.75</v>
      </c>
      <c r="D182" s="8">
        <v>46.19</v>
      </c>
      <c r="E182" s="8">
        <v>958.0</v>
      </c>
      <c r="F182" s="9">
        <v>0.11612734864300626</v>
      </c>
      <c r="G182" s="8">
        <v>712.0</v>
      </c>
      <c r="H182" s="9">
        <v>0.1892556179775281</v>
      </c>
      <c r="I182" s="8">
        <v>857.75</v>
      </c>
      <c r="J182" s="9">
        <v>-0.012824249489944622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5" t="s">
        <v>193</v>
      </c>
      <c r="B183" s="6">
        <v>3951.357</v>
      </c>
      <c r="C183" s="8">
        <v>717.0</v>
      </c>
      <c r="D183" s="8">
        <v>39.87</v>
      </c>
      <c r="E183" s="8">
        <v>1375.0</v>
      </c>
      <c r="F183" s="9">
        <v>0.47854545454545455</v>
      </c>
      <c r="G183" s="8">
        <v>675.0</v>
      </c>
      <c r="H183" s="9">
        <v>0.06222222222222222</v>
      </c>
      <c r="I183" s="8">
        <v>726.2</v>
      </c>
      <c r="J183" s="9">
        <v>-0.012668686312310721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>
      <c r="A184" s="5" t="s">
        <v>194</v>
      </c>
      <c r="B184" s="6">
        <v>22276.241535</v>
      </c>
      <c r="C184" s="8">
        <v>415.0</v>
      </c>
      <c r="D184" s="8">
        <v>52.87</v>
      </c>
      <c r="E184" s="8">
        <v>624.0</v>
      </c>
      <c r="F184" s="9">
        <v>0.3349358974358974</v>
      </c>
      <c r="G184" s="8">
        <v>358.15</v>
      </c>
      <c r="H184" s="9">
        <v>0.15873237470333668</v>
      </c>
      <c r="I184" s="8">
        <v>413.05</v>
      </c>
      <c r="J184" s="9">
        <v>0.004720978089819606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5" t="s">
        <v>195</v>
      </c>
      <c r="B185" s="6">
        <v>26702.2965179</v>
      </c>
      <c r="C185" s="8">
        <v>805.9</v>
      </c>
      <c r="D185" s="8">
        <v>70.1</v>
      </c>
      <c r="E185" s="8">
        <v>1347.75</v>
      </c>
      <c r="F185" s="9">
        <v>0.4020404377666481</v>
      </c>
      <c r="G185" s="8">
        <v>770.55</v>
      </c>
      <c r="H185" s="9">
        <v>0.04587632210758552</v>
      </c>
      <c r="I185" s="8">
        <v>808.15</v>
      </c>
      <c r="J185" s="9">
        <v>-0.002784136608302914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>
      <c r="A186" s="5" t="s">
        <v>196</v>
      </c>
      <c r="B186" s="6">
        <v>6945.4358366</v>
      </c>
      <c r="C186" s="8">
        <v>439.9</v>
      </c>
      <c r="D186" s="11" t="s">
        <v>16</v>
      </c>
      <c r="E186" s="8">
        <v>684.55</v>
      </c>
      <c r="F186" s="9">
        <v>0.3573880651522898</v>
      </c>
      <c r="G186" s="8">
        <v>357.7</v>
      </c>
      <c r="H186" s="9">
        <v>0.22980150964495386</v>
      </c>
      <c r="I186" s="8">
        <v>425.8</v>
      </c>
      <c r="J186" s="9">
        <v>0.03311413809300133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5" t="s">
        <v>197</v>
      </c>
      <c r="B187" s="6">
        <v>36421.231513</v>
      </c>
      <c r="C187" s="8">
        <v>3446.95</v>
      </c>
      <c r="D187" s="8">
        <v>34.13</v>
      </c>
      <c r="E187" s="8">
        <v>5714.0</v>
      </c>
      <c r="F187" s="9">
        <v>0.396753587679384</v>
      </c>
      <c r="G187" s="8">
        <v>2923.35</v>
      </c>
      <c r="H187" s="9">
        <v>0.17910958318367623</v>
      </c>
      <c r="I187" s="8">
        <v>3640.5</v>
      </c>
      <c r="J187" s="9">
        <v>-0.05316577393215223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>
      <c r="A188" s="5" t="s">
        <v>198</v>
      </c>
      <c r="B188" s="6">
        <v>57937.9387031</v>
      </c>
      <c r="C188" s="8">
        <v>20.15</v>
      </c>
      <c r="D188" s="8">
        <v>45.52</v>
      </c>
      <c r="E188" s="8">
        <v>24.75</v>
      </c>
      <c r="F188" s="9">
        <v>0.18585858585858592</v>
      </c>
      <c r="G188" s="8">
        <v>12.11</v>
      </c>
      <c r="H188" s="9">
        <v>0.6639141205615193</v>
      </c>
      <c r="I188" s="8">
        <v>19.9</v>
      </c>
      <c r="J188" s="9">
        <v>0.01256281407035176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5" t="s">
        <v>199</v>
      </c>
      <c r="B189" s="6">
        <v>23948.9713712</v>
      </c>
      <c r="C189" s="8">
        <v>1453.65</v>
      </c>
      <c r="D189" s="8">
        <v>23.28</v>
      </c>
      <c r="E189" s="8">
        <v>3773.95</v>
      </c>
      <c r="F189" s="9">
        <v>0.6148200161634362</v>
      </c>
      <c r="G189" s="8">
        <v>1450.0</v>
      </c>
      <c r="H189" s="9">
        <v>0.0025172413793104077</v>
      </c>
      <c r="I189" s="8">
        <v>1497.85</v>
      </c>
      <c r="J189" s="9">
        <v>-0.029508962846746884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>
      <c r="A190" s="5" t="s">
        <v>200</v>
      </c>
      <c r="B190" s="6">
        <v>3273.157</v>
      </c>
      <c r="C190" s="8">
        <v>6195.0</v>
      </c>
      <c r="D190" s="8">
        <v>34.69</v>
      </c>
      <c r="E190" s="8">
        <v>6572.75</v>
      </c>
      <c r="F190" s="9">
        <v>0.057472138754706935</v>
      </c>
      <c r="G190" s="8">
        <v>4932.05</v>
      </c>
      <c r="H190" s="9">
        <v>0.256069991180138</v>
      </c>
      <c r="I190" s="8">
        <v>6169.85</v>
      </c>
      <c r="J190" s="9">
        <v>0.004076274139565733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5" t="s">
        <v>201</v>
      </c>
      <c r="B191" s="6">
        <v>5182.98923</v>
      </c>
      <c r="C191" s="8">
        <v>1688.15</v>
      </c>
      <c r="D191" s="8">
        <v>70.16</v>
      </c>
      <c r="E191" s="8">
        <v>2409.15</v>
      </c>
      <c r="F191" s="9">
        <v>0.2992756781437436</v>
      </c>
      <c r="G191" s="8">
        <v>1211.85</v>
      </c>
      <c r="H191" s="9">
        <v>0.3930354416800761</v>
      </c>
      <c r="I191" s="8">
        <v>1670.5</v>
      </c>
      <c r="J191" s="9">
        <v>0.010565698892547196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5" t="s">
        <v>202</v>
      </c>
      <c r="B192" s="6">
        <v>4927.69342</v>
      </c>
      <c r="C192" s="8">
        <v>299.0</v>
      </c>
      <c r="D192" s="8">
        <v>35.85</v>
      </c>
      <c r="E192" s="8">
        <v>566.5</v>
      </c>
      <c r="F192" s="9">
        <v>0.47219770520741394</v>
      </c>
      <c r="G192" s="8">
        <v>288.0</v>
      </c>
      <c r="H192" s="9">
        <v>0.03819444444444445</v>
      </c>
      <c r="I192" s="8">
        <v>297.35</v>
      </c>
      <c r="J192" s="9">
        <v>0.0055490163107448365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5" t="s">
        <v>203</v>
      </c>
      <c r="B193" s="6">
        <v>22715.5217056</v>
      </c>
      <c r="C193" s="8">
        <v>7701.2</v>
      </c>
      <c r="D193" s="8">
        <v>37.5</v>
      </c>
      <c r="E193" s="8">
        <v>10859.0</v>
      </c>
      <c r="F193" s="9">
        <v>0.29080025785063085</v>
      </c>
      <c r="G193" s="8">
        <v>7602.15</v>
      </c>
      <c r="H193" s="9">
        <v>0.013029208842235445</v>
      </c>
      <c r="I193" s="8">
        <v>7679.85</v>
      </c>
      <c r="J193" s="9">
        <v>0.0027800022135848297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5" t="s">
        <v>204</v>
      </c>
      <c r="B194" s="6">
        <v>5752.7067025</v>
      </c>
      <c r="C194" s="8">
        <v>1071.5</v>
      </c>
      <c r="D194" s="8">
        <v>65.24</v>
      </c>
      <c r="E194" s="8">
        <v>1918.35</v>
      </c>
      <c r="F194" s="9">
        <v>0.4414470769150572</v>
      </c>
      <c r="G194" s="8">
        <v>1023.2</v>
      </c>
      <c r="H194" s="9">
        <v>0.04720484753713834</v>
      </c>
      <c r="I194" s="8">
        <v>1069.9</v>
      </c>
      <c r="J194" s="9">
        <v>0.0014954668660621636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5" t="s">
        <v>205</v>
      </c>
      <c r="B195" s="6">
        <v>247191.650802</v>
      </c>
      <c r="C195" s="8">
        <v>1031.05</v>
      </c>
      <c r="D195" s="8">
        <v>60.4</v>
      </c>
      <c r="E195" s="8">
        <v>1070.95</v>
      </c>
      <c r="F195" s="9">
        <v>0.03725664129978065</v>
      </c>
      <c r="G195" s="8">
        <v>784.8</v>
      </c>
      <c r="H195" s="9">
        <v>0.3137742099898063</v>
      </c>
      <c r="I195" s="8">
        <v>1032.85</v>
      </c>
      <c r="J195" s="9">
        <v>-0.0017427506414290116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5" t="s">
        <v>206</v>
      </c>
      <c r="B196" s="12" t="s">
        <v>16</v>
      </c>
      <c r="C196" s="11" t="s">
        <v>16</v>
      </c>
      <c r="D196" s="11" t="s">
        <v>16</v>
      </c>
      <c r="E196" s="11" t="s">
        <v>16</v>
      </c>
      <c r="F196" s="13" t="s">
        <v>16</v>
      </c>
      <c r="G196" s="11" t="s">
        <v>16</v>
      </c>
      <c r="H196" s="13" t="s">
        <v>16</v>
      </c>
      <c r="I196" s="11" t="s">
        <v>16</v>
      </c>
      <c r="J196" s="13" t="s">
        <v>16</v>
      </c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>
      <c r="A197" s="5" t="s">
        <v>207</v>
      </c>
      <c r="B197" s="6">
        <v>9606.1541</v>
      </c>
      <c r="C197" s="8">
        <v>876.0</v>
      </c>
      <c r="D197" s="8">
        <v>19.98</v>
      </c>
      <c r="E197" s="8">
        <v>1051.85</v>
      </c>
      <c r="F197" s="9">
        <v>0.16718163236202874</v>
      </c>
      <c r="G197" s="8">
        <v>720.0</v>
      </c>
      <c r="H197" s="9">
        <v>0.21666666666666667</v>
      </c>
      <c r="I197" s="8">
        <v>883.3</v>
      </c>
      <c r="J197" s="9">
        <v>-0.008264462809917304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>
      <c r="A198" s="5" t="s">
        <v>208</v>
      </c>
      <c r="B198" s="6">
        <v>73698.477067</v>
      </c>
      <c r="C198" s="8">
        <v>1134.8</v>
      </c>
      <c r="D198" s="8">
        <v>51.22</v>
      </c>
      <c r="E198" s="8">
        <v>1432.05</v>
      </c>
      <c r="F198" s="9">
        <v>0.20756956810167243</v>
      </c>
      <c r="G198" s="8">
        <v>557.23</v>
      </c>
      <c r="H198" s="9">
        <v>1.036501983023168</v>
      </c>
      <c r="I198" s="8">
        <v>1187.3</v>
      </c>
      <c r="J198" s="9">
        <v>-0.04421797355344058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5" t="s">
        <v>209</v>
      </c>
      <c r="B199" s="6">
        <v>6524.233845</v>
      </c>
      <c r="C199" s="8">
        <v>590.7</v>
      </c>
      <c r="D199" s="8">
        <v>44.19</v>
      </c>
      <c r="E199" s="8">
        <v>748.0</v>
      </c>
      <c r="F199" s="9">
        <v>0.21029411764705877</v>
      </c>
      <c r="G199" s="8">
        <v>513.1</v>
      </c>
      <c r="H199" s="9">
        <v>0.1512375755213409</v>
      </c>
      <c r="I199" s="8">
        <v>575.3</v>
      </c>
      <c r="J199" s="9">
        <v>0.0267686424474189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>
      <c r="A200" s="5" t="s">
        <v>210</v>
      </c>
      <c r="B200" s="6">
        <v>32766.2786899</v>
      </c>
      <c r="C200" s="8">
        <v>498.25</v>
      </c>
      <c r="D200" s="8">
        <v>69.25</v>
      </c>
      <c r="E200" s="8">
        <v>806.4</v>
      </c>
      <c r="F200" s="9">
        <v>0.38213045634920634</v>
      </c>
      <c r="G200" s="8">
        <v>451.2</v>
      </c>
      <c r="H200" s="9">
        <v>0.10427748226950358</v>
      </c>
      <c r="I200" s="8">
        <v>488.55</v>
      </c>
      <c r="J200" s="9">
        <v>0.019854671988537485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5" t="s">
        <v>211</v>
      </c>
      <c r="B201" s="6">
        <v>13811.7</v>
      </c>
      <c r="C201" s="8">
        <v>2714.9</v>
      </c>
      <c r="D201" s="8">
        <v>61.31</v>
      </c>
      <c r="E201" s="8">
        <v>3797.6</v>
      </c>
      <c r="F201" s="9">
        <v>0.28510111649462816</v>
      </c>
      <c r="G201" s="8">
        <v>2506.2</v>
      </c>
      <c r="H201" s="9">
        <v>0.08327348176522237</v>
      </c>
      <c r="I201" s="8">
        <v>2750.75</v>
      </c>
      <c r="J201" s="9">
        <v>-0.013032809233845281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>
      <c r="A202" s="5" t="s">
        <v>212</v>
      </c>
      <c r="B202" s="6">
        <v>478914.7</v>
      </c>
      <c r="C202" s="8">
        <v>2619.25</v>
      </c>
      <c r="D202" s="8">
        <v>19.81</v>
      </c>
      <c r="E202" s="8">
        <v>2933.8</v>
      </c>
      <c r="F202" s="9">
        <v>0.10721589747085697</v>
      </c>
      <c r="G202" s="8">
        <v>2026.0</v>
      </c>
      <c r="H202" s="9">
        <v>0.2928183613030602</v>
      </c>
      <c r="I202" s="8">
        <v>2612.8</v>
      </c>
      <c r="J202" s="9">
        <v>0.002468616044090561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5" t="s">
        <v>213</v>
      </c>
      <c r="B203" s="6">
        <v>41307.1280064</v>
      </c>
      <c r="C203" s="8">
        <v>619.0</v>
      </c>
      <c r="D203" s="8">
        <v>31.44</v>
      </c>
      <c r="E203" s="8">
        <v>732.98</v>
      </c>
      <c r="F203" s="9">
        <v>0.15550219651286531</v>
      </c>
      <c r="G203" s="8">
        <v>525.0</v>
      </c>
      <c r="H203" s="9">
        <v>0.17904761904761904</v>
      </c>
      <c r="I203" s="8">
        <v>628.15</v>
      </c>
      <c r="J203" s="9">
        <v>-0.014566584414550629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>
      <c r="A204" s="5" t="s">
        <v>214</v>
      </c>
      <c r="B204" s="6">
        <v>6502.435</v>
      </c>
      <c r="C204" s="8">
        <v>578.05</v>
      </c>
      <c r="D204" s="8">
        <v>114.36</v>
      </c>
      <c r="E204" s="8">
        <v>749.15</v>
      </c>
      <c r="F204" s="9">
        <v>0.22839217780150842</v>
      </c>
      <c r="G204" s="8">
        <v>328.73</v>
      </c>
      <c r="H204" s="9">
        <v>0.7584339731694701</v>
      </c>
      <c r="I204" s="8">
        <v>580.0</v>
      </c>
      <c r="J204" s="9">
        <v>-0.00336206896551732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5" t="s">
        <v>215</v>
      </c>
      <c r="B205" s="6">
        <v>38859.14</v>
      </c>
      <c r="C205" s="8">
        <v>4338.0</v>
      </c>
      <c r="D205" s="8">
        <v>63.66</v>
      </c>
      <c r="E205" s="8">
        <v>4535.95</v>
      </c>
      <c r="F205" s="9">
        <v>0.043640251766443594</v>
      </c>
      <c r="G205" s="8">
        <v>2160.05</v>
      </c>
      <c r="H205" s="9">
        <v>1.0082868452119162</v>
      </c>
      <c r="I205" s="8">
        <v>4340.15</v>
      </c>
      <c r="J205" s="9">
        <v>-4.953745838276641E-4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>
      <c r="A206" s="5" t="s">
        <v>216</v>
      </c>
      <c r="B206" s="6">
        <v>354002.5359556</v>
      </c>
      <c r="C206" s="8">
        <v>1780.5</v>
      </c>
      <c r="D206" s="8">
        <v>25.87</v>
      </c>
      <c r="E206" s="8">
        <v>1997.55</v>
      </c>
      <c r="F206" s="9">
        <v>0.10865810618007056</v>
      </c>
      <c r="G206" s="8">
        <v>1631.0</v>
      </c>
      <c r="H206" s="9">
        <v>0.09166155732679337</v>
      </c>
      <c r="I206" s="8">
        <v>1779.5</v>
      </c>
      <c r="J206" s="9">
        <v>5.61955605507165E-4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5" t="s">
        <v>217</v>
      </c>
      <c r="B207" s="6">
        <v>1639.276373</v>
      </c>
      <c r="C207" s="8">
        <v>498.5</v>
      </c>
      <c r="D207" s="8">
        <v>30.76</v>
      </c>
      <c r="E207" s="8">
        <v>1000.0</v>
      </c>
      <c r="F207" s="9">
        <v>0.5015</v>
      </c>
      <c r="G207" s="8">
        <v>472.2</v>
      </c>
      <c r="H207" s="9">
        <v>0.05569673867005508</v>
      </c>
      <c r="I207" s="8">
        <v>503.15</v>
      </c>
      <c r="J207" s="9">
        <v>-0.00924177680612139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>
      <c r="A208" s="5" t="s">
        <v>218</v>
      </c>
      <c r="B208" s="6">
        <v>93678.862</v>
      </c>
      <c r="C208" s="8">
        <v>916.75</v>
      </c>
      <c r="D208" s="8">
        <v>58.81</v>
      </c>
      <c r="E208" s="8">
        <v>955.65</v>
      </c>
      <c r="F208" s="9">
        <v>0.04070527912938835</v>
      </c>
      <c r="G208" s="8">
        <v>660.2</v>
      </c>
      <c r="H208" s="9">
        <v>0.3885943653438351</v>
      </c>
      <c r="I208" s="8">
        <v>914.9</v>
      </c>
      <c r="J208" s="9">
        <v>0.00202207891572852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5" t="s">
        <v>219</v>
      </c>
      <c r="B209" s="6">
        <v>1528.0408125</v>
      </c>
      <c r="C209" s="8">
        <v>423.0</v>
      </c>
      <c r="D209" s="11" t="s">
        <v>16</v>
      </c>
      <c r="E209" s="8">
        <v>1156.35</v>
      </c>
      <c r="F209" s="9">
        <v>0.6341937994551822</v>
      </c>
      <c r="G209" s="8">
        <v>323.65</v>
      </c>
      <c r="H209" s="9">
        <v>0.30696740305885994</v>
      </c>
      <c r="I209" s="8">
        <v>427.8</v>
      </c>
      <c r="J209" s="9">
        <v>-0.01122019635343621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>
      <c r="A210" s="5" t="s">
        <v>220</v>
      </c>
      <c r="B210" s="6">
        <v>17802.1935</v>
      </c>
      <c r="C210" s="8">
        <v>1118.0</v>
      </c>
      <c r="D210" s="8">
        <v>46.87</v>
      </c>
      <c r="E210" s="8">
        <v>1374.55</v>
      </c>
      <c r="F210" s="9">
        <v>0.186642901313157</v>
      </c>
      <c r="G210" s="8">
        <v>885.3</v>
      </c>
      <c r="H210" s="9">
        <v>0.262848751835536</v>
      </c>
      <c r="I210" s="8">
        <v>1112.5</v>
      </c>
      <c r="J210" s="9">
        <v>0.004943820224719101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5" t="s">
        <v>221</v>
      </c>
      <c r="B211" s="6">
        <v>1347.5935652</v>
      </c>
      <c r="C211" s="8">
        <v>429.35</v>
      </c>
      <c r="D211" s="8">
        <v>20.29</v>
      </c>
      <c r="E211" s="8">
        <v>778.0</v>
      </c>
      <c r="F211" s="9">
        <v>0.4481362467866324</v>
      </c>
      <c r="G211" s="8">
        <v>428.9</v>
      </c>
      <c r="H211" s="9">
        <v>0.001049195616693974</v>
      </c>
      <c r="I211" s="8">
        <v>436.85</v>
      </c>
      <c r="J211" s="9">
        <v>-0.017168364427148905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>
      <c r="A212" s="5" t="s">
        <v>222</v>
      </c>
      <c r="B212" s="6">
        <v>7063.23</v>
      </c>
      <c r="C212" s="8">
        <v>1380.05</v>
      </c>
      <c r="D212" s="8">
        <v>45.85</v>
      </c>
      <c r="E212" s="8">
        <v>3142.0</v>
      </c>
      <c r="F212" s="9">
        <v>0.5607733927434755</v>
      </c>
      <c r="G212" s="8">
        <v>1267.05</v>
      </c>
      <c r="H212" s="9">
        <v>0.08918353656130382</v>
      </c>
      <c r="I212" s="8">
        <v>1382.35</v>
      </c>
      <c r="J212" s="9">
        <v>-0.0016638333273049188</v>
      </c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5" t="s">
        <v>223</v>
      </c>
      <c r="B213" s="6">
        <v>21081.42</v>
      </c>
      <c r="C213" s="8">
        <v>581.8</v>
      </c>
      <c r="D213" s="8">
        <v>17.2</v>
      </c>
      <c r="E213" s="8">
        <v>1118.0</v>
      </c>
      <c r="F213" s="9">
        <v>0.4796064400715564</v>
      </c>
      <c r="G213" s="8">
        <v>579.0</v>
      </c>
      <c r="H213" s="9">
        <v>0.004835924006908385</v>
      </c>
      <c r="I213" s="8">
        <v>592.4</v>
      </c>
      <c r="J213" s="9">
        <v>-0.01789331532748147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>
      <c r="A214" s="5" t="s">
        <v>224</v>
      </c>
      <c r="B214" s="6">
        <v>1992.0121939</v>
      </c>
      <c r="C214" s="8">
        <v>36.2</v>
      </c>
      <c r="D214" s="8">
        <v>593.93</v>
      </c>
      <c r="E214" s="8">
        <v>54.5</v>
      </c>
      <c r="F214" s="9">
        <v>0.33577981651376143</v>
      </c>
      <c r="G214" s="8">
        <v>18.7</v>
      </c>
      <c r="H214" s="9">
        <v>0.9358288770053478</v>
      </c>
      <c r="I214" s="8">
        <v>36.05</v>
      </c>
      <c r="J214" s="9">
        <v>0.004160887656033445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5" t="s">
        <v>225</v>
      </c>
      <c r="B215" s="6">
        <v>22166.9</v>
      </c>
      <c r="C215" s="8">
        <v>3020.0</v>
      </c>
      <c r="D215" s="8">
        <v>38.36</v>
      </c>
      <c r="E215" s="8">
        <v>3863.55</v>
      </c>
      <c r="F215" s="9">
        <v>0.2183354686751822</v>
      </c>
      <c r="G215" s="8">
        <v>2540.0</v>
      </c>
      <c r="H215" s="9">
        <v>0.1889763779527559</v>
      </c>
      <c r="I215" s="8">
        <v>3044.5</v>
      </c>
      <c r="J215" s="9">
        <v>-0.008047298406963376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>
      <c r="A216" s="5" t="s">
        <v>226</v>
      </c>
      <c r="B216" s="6">
        <v>4564.43</v>
      </c>
      <c r="C216" s="8">
        <v>1524.7</v>
      </c>
      <c r="D216" s="8">
        <v>17.12</v>
      </c>
      <c r="E216" s="8">
        <v>3925.0</v>
      </c>
      <c r="F216" s="9">
        <v>0.6115414012738853</v>
      </c>
      <c r="G216" s="8">
        <v>1515.1</v>
      </c>
      <c r="H216" s="9">
        <v>0.0063362154313247555</v>
      </c>
      <c r="I216" s="8">
        <v>1526.65</v>
      </c>
      <c r="J216" s="9">
        <v>-0.0012773065208135756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5" t="s">
        <v>227</v>
      </c>
      <c r="B217" s="6">
        <v>450686.7570293</v>
      </c>
      <c r="C217" s="8">
        <v>712.7</v>
      </c>
      <c r="D217" s="8">
        <v>23.63</v>
      </c>
      <c r="E217" s="8">
        <v>920.0</v>
      </c>
      <c r="F217" s="9">
        <v>0.22532608695652168</v>
      </c>
      <c r="G217" s="8">
        <v>588.0</v>
      </c>
      <c r="H217" s="9">
        <v>0.21207482993197288</v>
      </c>
      <c r="I217" s="8">
        <v>705.55</v>
      </c>
      <c r="J217" s="9">
        <v>0.01013393806250456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>
      <c r="A408" s="15"/>
      <c r="B408" s="16"/>
      <c r="C408" s="17"/>
      <c r="D408" s="17"/>
      <c r="E408" s="17"/>
      <c r="F408" s="10"/>
      <c r="G408" s="17"/>
      <c r="H408" s="10"/>
      <c r="I408" s="17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15"/>
      <c r="B409" s="16"/>
      <c r="C409" s="17"/>
      <c r="D409" s="17"/>
      <c r="E409" s="17"/>
      <c r="F409" s="10"/>
      <c r="G409" s="17"/>
      <c r="H409" s="10"/>
      <c r="I409" s="17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>
      <c r="A410" s="15"/>
      <c r="B410" s="16"/>
      <c r="C410" s="17"/>
      <c r="D410" s="17"/>
      <c r="E410" s="17"/>
      <c r="F410" s="10"/>
      <c r="G410" s="17"/>
      <c r="H410" s="10"/>
      <c r="I410" s="17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15"/>
      <c r="B411" s="16"/>
      <c r="C411" s="17"/>
      <c r="D411" s="17"/>
      <c r="E411" s="17"/>
      <c r="F411" s="10"/>
      <c r="G411" s="17"/>
      <c r="H411" s="10"/>
      <c r="I411" s="17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>
      <c r="A412" s="15"/>
      <c r="B412" s="16"/>
      <c r="C412" s="17"/>
      <c r="D412" s="17"/>
      <c r="E412" s="17"/>
      <c r="F412" s="10"/>
      <c r="G412" s="17"/>
      <c r="H412" s="10"/>
      <c r="I412" s="17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15"/>
      <c r="B413" s="16"/>
      <c r="C413" s="17"/>
      <c r="D413" s="17"/>
      <c r="E413" s="17"/>
      <c r="F413" s="10"/>
      <c r="G413" s="17"/>
      <c r="H413" s="10"/>
      <c r="I413" s="17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>
      <c r="A414" s="15"/>
      <c r="B414" s="16"/>
      <c r="C414" s="17"/>
      <c r="D414" s="17"/>
      <c r="E414" s="17"/>
      <c r="F414" s="10"/>
      <c r="G414" s="17"/>
      <c r="H414" s="10"/>
      <c r="I414" s="17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15"/>
      <c r="B415" s="16"/>
      <c r="C415" s="17"/>
      <c r="D415" s="17"/>
      <c r="E415" s="17"/>
      <c r="F415" s="10"/>
      <c r="G415" s="17"/>
      <c r="H415" s="10"/>
      <c r="I415" s="17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>
      <c r="A416" s="15"/>
      <c r="B416" s="16"/>
      <c r="C416" s="17"/>
      <c r="D416" s="17"/>
      <c r="E416" s="17"/>
      <c r="F416" s="10"/>
      <c r="G416" s="17"/>
      <c r="H416" s="10"/>
      <c r="I416" s="17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15"/>
      <c r="B417" s="16"/>
      <c r="C417" s="17"/>
      <c r="D417" s="17"/>
      <c r="E417" s="17"/>
      <c r="F417" s="10"/>
      <c r="G417" s="17"/>
      <c r="H417" s="10"/>
      <c r="I417" s="17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>
      <c r="A418" s="15"/>
      <c r="B418" s="16"/>
      <c r="C418" s="17"/>
      <c r="D418" s="17"/>
      <c r="E418" s="17"/>
      <c r="F418" s="10"/>
      <c r="G418" s="17"/>
      <c r="H418" s="10"/>
      <c r="I418" s="17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15"/>
      <c r="B419" s="16"/>
      <c r="C419" s="17"/>
      <c r="D419" s="17"/>
      <c r="E419" s="17"/>
      <c r="F419" s="10"/>
      <c r="G419" s="17"/>
      <c r="H419" s="10"/>
      <c r="I419" s="17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>
      <c r="A420" s="15"/>
      <c r="B420" s="16"/>
      <c r="C420" s="17"/>
      <c r="D420" s="17"/>
      <c r="E420" s="17"/>
      <c r="F420" s="10"/>
      <c r="G420" s="17"/>
      <c r="H420" s="10"/>
      <c r="I420" s="17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15"/>
      <c r="B421" s="16"/>
      <c r="C421" s="17"/>
      <c r="D421" s="17"/>
      <c r="E421" s="17"/>
      <c r="F421" s="10"/>
      <c r="G421" s="17"/>
      <c r="H421" s="10"/>
      <c r="I421" s="17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>
      <c r="A422" s="15"/>
      <c r="B422" s="16"/>
      <c r="C422" s="17"/>
      <c r="D422" s="17"/>
      <c r="E422" s="17"/>
      <c r="F422" s="10"/>
      <c r="G422" s="17"/>
      <c r="H422" s="10"/>
      <c r="I422" s="17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15"/>
      <c r="B423" s="16"/>
      <c r="C423" s="17"/>
      <c r="D423" s="17"/>
      <c r="E423" s="17"/>
      <c r="F423" s="10"/>
      <c r="G423" s="17"/>
      <c r="H423" s="10"/>
      <c r="I423" s="17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>
      <c r="A424" s="15"/>
      <c r="B424" s="16"/>
      <c r="C424" s="17"/>
      <c r="D424" s="17"/>
      <c r="E424" s="17"/>
      <c r="F424" s="10"/>
      <c r="G424" s="17"/>
      <c r="H424" s="10"/>
      <c r="I424" s="17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15"/>
      <c r="B425" s="16"/>
      <c r="C425" s="17"/>
      <c r="D425" s="17"/>
      <c r="E425" s="17"/>
      <c r="F425" s="10"/>
      <c r="G425" s="17"/>
      <c r="H425" s="10"/>
      <c r="I425" s="17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>
      <c r="A426" s="15"/>
      <c r="B426" s="16"/>
      <c r="C426" s="17"/>
      <c r="D426" s="17"/>
      <c r="E426" s="17"/>
      <c r="F426" s="10"/>
      <c r="G426" s="17"/>
      <c r="H426" s="10"/>
      <c r="I426" s="17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15"/>
      <c r="B427" s="16"/>
      <c r="C427" s="17"/>
      <c r="D427" s="17"/>
      <c r="E427" s="17"/>
      <c r="F427" s="10"/>
      <c r="G427" s="17"/>
      <c r="H427" s="10"/>
      <c r="I427" s="17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>
      <c r="A428" s="15"/>
      <c r="B428" s="16"/>
      <c r="C428" s="17"/>
      <c r="D428" s="17"/>
      <c r="E428" s="17"/>
      <c r="F428" s="10"/>
      <c r="G428" s="17"/>
      <c r="H428" s="10"/>
      <c r="I428" s="17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15"/>
      <c r="B429" s="16"/>
      <c r="C429" s="17"/>
      <c r="D429" s="17"/>
      <c r="E429" s="17"/>
      <c r="F429" s="10"/>
      <c r="G429" s="17"/>
      <c r="H429" s="10"/>
      <c r="I429" s="17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>
      <c r="A430" s="15"/>
      <c r="B430" s="16"/>
      <c r="C430" s="17"/>
      <c r="D430" s="17"/>
      <c r="E430" s="17"/>
      <c r="F430" s="10"/>
      <c r="G430" s="17"/>
      <c r="H430" s="10"/>
      <c r="I430" s="17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15"/>
      <c r="B431" s="16"/>
      <c r="C431" s="17"/>
      <c r="D431" s="17"/>
      <c r="E431" s="17"/>
      <c r="F431" s="10"/>
      <c r="G431" s="17"/>
      <c r="H431" s="10"/>
      <c r="I431" s="17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>
      <c r="A432" s="15"/>
      <c r="B432" s="16"/>
      <c r="C432" s="17"/>
      <c r="D432" s="17"/>
      <c r="E432" s="17"/>
      <c r="F432" s="10"/>
      <c r="G432" s="17"/>
      <c r="H432" s="10"/>
      <c r="I432" s="17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15"/>
      <c r="B433" s="16"/>
      <c r="C433" s="17"/>
      <c r="D433" s="17"/>
      <c r="E433" s="17"/>
      <c r="F433" s="10"/>
      <c r="G433" s="17"/>
      <c r="H433" s="10"/>
      <c r="I433" s="17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>
      <c r="A434" s="15"/>
      <c r="B434" s="16"/>
      <c r="C434" s="17"/>
      <c r="D434" s="17"/>
      <c r="E434" s="17"/>
      <c r="F434" s="10"/>
      <c r="G434" s="17"/>
      <c r="H434" s="10"/>
      <c r="I434" s="17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15"/>
      <c r="B435" s="16"/>
      <c r="C435" s="17"/>
      <c r="D435" s="17"/>
      <c r="E435" s="17"/>
      <c r="F435" s="10"/>
      <c r="G435" s="17"/>
      <c r="H435" s="10"/>
      <c r="I435" s="17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>
      <c r="A436" s="15"/>
      <c r="B436" s="16"/>
      <c r="C436" s="17"/>
      <c r="D436" s="17"/>
      <c r="E436" s="17"/>
      <c r="F436" s="10"/>
      <c r="G436" s="17"/>
      <c r="H436" s="10"/>
      <c r="I436" s="17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15"/>
      <c r="B437" s="16"/>
      <c r="C437" s="17"/>
      <c r="D437" s="17"/>
      <c r="E437" s="17"/>
      <c r="F437" s="10"/>
      <c r="G437" s="17"/>
      <c r="H437" s="10"/>
      <c r="I437" s="17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>
      <c r="A438" s="15"/>
      <c r="B438" s="16"/>
      <c r="C438" s="17"/>
      <c r="D438" s="17"/>
      <c r="E438" s="17"/>
      <c r="F438" s="10"/>
      <c r="G438" s="17"/>
      <c r="H438" s="10"/>
      <c r="I438" s="17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15"/>
      <c r="B439" s="16"/>
      <c r="C439" s="17"/>
      <c r="D439" s="17"/>
      <c r="E439" s="17"/>
      <c r="F439" s="10"/>
      <c r="G439" s="17"/>
      <c r="H439" s="10"/>
      <c r="I439" s="17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>
      <c r="A440" s="15"/>
      <c r="B440" s="16"/>
      <c r="C440" s="17"/>
      <c r="D440" s="17"/>
      <c r="E440" s="17"/>
      <c r="F440" s="10"/>
      <c r="G440" s="17"/>
      <c r="H440" s="10"/>
      <c r="I440" s="17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15"/>
      <c r="B441" s="16"/>
      <c r="C441" s="17"/>
      <c r="D441" s="17"/>
      <c r="E441" s="17"/>
      <c r="F441" s="10"/>
      <c r="G441" s="17"/>
      <c r="H441" s="10"/>
      <c r="I441" s="17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>
      <c r="A442" s="15"/>
      <c r="B442" s="16"/>
      <c r="C442" s="17"/>
      <c r="D442" s="17"/>
      <c r="E442" s="17"/>
      <c r="F442" s="10"/>
      <c r="G442" s="17"/>
      <c r="H442" s="10"/>
      <c r="I442" s="17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15"/>
      <c r="B443" s="16"/>
      <c r="C443" s="17"/>
      <c r="D443" s="17"/>
      <c r="E443" s="17"/>
      <c r="F443" s="10"/>
      <c r="G443" s="17"/>
      <c r="H443" s="10"/>
      <c r="I443" s="17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>
      <c r="A444" s="15"/>
      <c r="B444" s="16"/>
      <c r="C444" s="17"/>
      <c r="D444" s="17"/>
      <c r="E444" s="17"/>
      <c r="F444" s="10"/>
      <c r="G444" s="17"/>
      <c r="H444" s="10"/>
      <c r="I444" s="17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15"/>
      <c r="B445" s="16"/>
      <c r="C445" s="17"/>
      <c r="D445" s="17"/>
      <c r="E445" s="17"/>
      <c r="F445" s="10"/>
      <c r="G445" s="17"/>
      <c r="H445" s="10"/>
      <c r="I445" s="17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>
      <c r="A446" s="15"/>
      <c r="B446" s="16"/>
      <c r="C446" s="17"/>
      <c r="D446" s="17"/>
      <c r="E446" s="17"/>
      <c r="F446" s="10"/>
      <c r="G446" s="17"/>
      <c r="H446" s="10"/>
      <c r="I446" s="17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15"/>
      <c r="B447" s="16"/>
      <c r="C447" s="17"/>
      <c r="D447" s="17"/>
      <c r="E447" s="17"/>
      <c r="F447" s="10"/>
      <c r="G447" s="17"/>
      <c r="H447" s="10"/>
      <c r="I447" s="17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>
      <c r="A448" s="15"/>
      <c r="B448" s="16"/>
      <c r="C448" s="17"/>
      <c r="D448" s="17"/>
      <c r="E448" s="17"/>
      <c r="F448" s="10"/>
      <c r="G448" s="17"/>
      <c r="H448" s="10"/>
      <c r="I448" s="17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15"/>
      <c r="B449" s="16"/>
      <c r="C449" s="17"/>
      <c r="D449" s="17"/>
      <c r="E449" s="17"/>
      <c r="F449" s="10"/>
      <c r="G449" s="17"/>
      <c r="H449" s="10"/>
      <c r="I449" s="17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>
      <c r="A450" s="15"/>
      <c r="B450" s="16"/>
      <c r="C450" s="17"/>
      <c r="D450" s="17"/>
      <c r="E450" s="17"/>
      <c r="F450" s="10"/>
      <c r="G450" s="17"/>
      <c r="H450" s="10"/>
      <c r="I450" s="17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15"/>
      <c r="B451" s="16"/>
      <c r="C451" s="17"/>
      <c r="D451" s="17"/>
      <c r="E451" s="17"/>
      <c r="F451" s="10"/>
      <c r="G451" s="17"/>
      <c r="H451" s="10"/>
      <c r="I451" s="17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>
      <c r="A452" s="15"/>
      <c r="B452" s="16"/>
      <c r="C452" s="17"/>
      <c r="D452" s="17"/>
      <c r="E452" s="17"/>
      <c r="F452" s="10"/>
      <c r="G452" s="17"/>
      <c r="H452" s="10"/>
      <c r="I452" s="17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15"/>
      <c r="B453" s="16"/>
      <c r="C453" s="17"/>
      <c r="D453" s="17"/>
      <c r="E453" s="17"/>
      <c r="F453" s="10"/>
      <c r="G453" s="17"/>
      <c r="H453" s="10"/>
      <c r="I453" s="17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>
      <c r="A454" s="15"/>
      <c r="B454" s="16"/>
      <c r="C454" s="17"/>
      <c r="D454" s="17"/>
      <c r="E454" s="17"/>
      <c r="F454" s="10"/>
      <c r="G454" s="17"/>
      <c r="H454" s="10"/>
      <c r="I454" s="17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15"/>
      <c r="B455" s="16"/>
      <c r="C455" s="17"/>
      <c r="D455" s="17"/>
      <c r="E455" s="17"/>
      <c r="F455" s="10"/>
      <c r="G455" s="17"/>
      <c r="H455" s="10"/>
      <c r="I455" s="17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>
      <c r="A456" s="15"/>
      <c r="B456" s="16"/>
      <c r="C456" s="17"/>
      <c r="D456" s="17"/>
      <c r="E456" s="17"/>
      <c r="F456" s="10"/>
      <c r="G456" s="17"/>
      <c r="H456" s="10"/>
      <c r="I456" s="17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15"/>
      <c r="B457" s="16"/>
      <c r="C457" s="17"/>
      <c r="D457" s="17"/>
      <c r="E457" s="17"/>
      <c r="F457" s="10"/>
      <c r="G457" s="17"/>
      <c r="H457" s="10"/>
      <c r="I457" s="17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>
      <c r="A458" s="15"/>
      <c r="B458" s="16"/>
      <c r="C458" s="17"/>
      <c r="D458" s="17"/>
      <c r="E458" s="17"/>
      <c r="F458" s="10"/>
      <c r="G458" s="17"/>
      <c r="H458" s="10"/>
      <c r="I458" s="17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15"/>
      <c r="B459" s="16"/>
      <c r="C459" s="17"/>
      <c r="D459" s="17"/>
      <c r="E459" s="17"/>
      <c r="F459" s="10"/>
      <c r="G459" s="17"/>
      <c r="H459" s="10"/>
      <c r="I459" s="17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>
      <c r="A460" s="15"/>
      <c r="B460" s="16"/>
      <c r="C460" s="17"/>
      <c r="D460" s="17"/>
      <c r="E460" s="17"/>
      <c r="F460" s="10"/>
      <c r="G460" s="17"/>
      <c r="H460" s="10"/>
      <c r="I460" s="17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15"/>
      <c r="B461" s="16"/>
      <c r="C461" s="17"/>
      <c r="D461" s="17"/>
      <c r="E461" s="17"/>
      <c r="F461" s="10"/>
      <c r="G461" s="17"/>
      <c r="H461" s="10"/>
      <c r="I461" s="17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>
      <c r="A462" s="15"/>
      <c r="B462" s="16"/>
      <c r="C462" s="17"/>
      <c r="D462" s="17"/>
      <c r="E462" s="17"/>
      <c r="F462" s="10"/>
      <c r="G462" s="17"/>
      <c r="H462" s="10"/>
      <c r="I462" s="17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15"/>
      <c r="B463" s="16"/>
      <c r="C463" s="17"/>
      <c r="D463" s="17"/>
      <c r="E463" s="17"/>
      <c r="F463" s="10"/>
      <c r="G463" s="17"/>
      <c r="H463" s="10"/>
      <c r="I463" s="17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>
      <c r="A464" s="15"/>
      <c r="B464" s="16"/>
      <c r="C464" s="17"/>
      <c r="D464" s="17"/>
      <c r="E464" s="17"/>
      <c r="F464" s="10"/>
      <c r="G464" s="17"/>
      <c r="H464" s="10"/>
      <c r="I464" s="17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15"/>
      <c r="B465" s="16"/>
      <c r="C465" s="17"/>
      <c r="D465" s="17"/>
      <c r="E465" s="17"/>
      <c r="F465" s="10"/>
      <c r="G465" s="17"/>
      <c r="H465" s="10"/>
      <c r="I465" s="17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>
      <c r="A466" s="15"/>
      <c r="B466" s="16"/>
      <c r="C466" s="17"/>
      <c r="D466" s="17"/>
      <c r="E466" s="17"/>
      <c r="F466" s="10"/>
      <c r="G466" s="17"/>
      <c r="H466" s="10"/>
      <c r="I466" s="17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15"/>
      <c r="B467" s="16"/>
      <c r="C467" s="17"/>
      <c r="D467" s="17"/>
      <c r="E467" s="17"/>
      <c r="F467" s="10"/>
      <c r="G467" s="17"/>
      <c r="H467" s="10"/>
      <c r="I467" s="17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>
      <c r="A468" s="15"/>
      <c r="B468" s="16"/>
      <c r="C468" s="17"/>
      <c r="D468" s="17"/>
      <c r="E468" s="17"/>
      <c r="F468" s="10"/>
      <c r="G468" s="17"/>
      <c r="H468" s="10"/>
      <c r="I468" s="17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15"/>
      <c r="B469" s="16"/>
      <c r="C469" s="17"/>
      <c r="D469" s="17"/>
      <c r="E469" s="17"/>
      <c r="F469" s="10"/>
      <c r="G469" s="17"/>
      <c r="H469" s="10"/>
      <c r="I469" s="17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>
      <c r="A470" s="15"/>
      <c r="B470" s="16"/>
      <c r="C470" s="17"/>
      <c r="D470" s="17"/>
      <c r="E470" s="17"/>
      <c r="F470" s="10"/>
      <c r="G470" s="17"/>
      <c r="H470" s="10"/>
      <c r="I470" s="17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15"/>
      <c r="B471" s="16"/>
      <c r="C471" s="17"/>
      <c r="D471" s="17"/>
      <c r="E471" s="17"/>
      <c r="F471" s="10"/>
      <c r="G471" s="17"/>
      <c r="H471" s="10"/>
      <c r="I471" s="17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>
      <c r="A472" s="15"/>
      <c r="B472" s="16"/>
      <c r="C472" s="17"/>
      <c r="D472" s="17"/>
      <c r="E472" s="17"/>
      <c r="F472" s="10"/>
      <c r="G472" s="17"/>
      <c r="H472" s="10"/>
      <c r="I472" s="17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15"/>
      <c r="B473" s="16"/>
      <c r="C473" s="17"/>
      <c r="D473" s="17"/>
      <c r="E473" s="17"/>
      <c r="F473" s="10"/>
      <c r="G473" s="17"/>
      <c r="H473" s="10"/>
      <c r="I473" s="17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>
      <c r="A474" s="15"/>
      <c r="B474" s="16"/>
      <c r="C474" s="17"/>
      <c r="D474" s="17"/>
      <c r="E474" s="17"/>
      <c r="F474" s="10"/>
      <c r="G474" s="17"/>
      <c r="H474" s="10"/>
      <c r="I474" s="17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15"/>
      <c r="B475" s="16"/>
      <c r="C475" s="17"/>
      <c r="D475" s="17"/>
      <c r="E475" s="17"/>
      <c r="F475" s="10"/>
      <c r="G475" s="17"/>
      <c r="H475" s="10"/>
      <c r="I475" s="17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>
      <c r="A476" s="15"/>
      <c r="B476" s="16"/>
      <c r="C476" s="17"/>
      <c r="D476" s="17"/>
      <c r="E476" s="17"/>
      <c r="F476" s="10"/>
      <c r="G476" s="17"/>
      <c r="H476" s="10"/>
      <c r="I476" s="17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15"/>
      <c r="B477" s="16"/>
      <c r="C477" s="17"/>
      <c r="D477" s="17"/>
      <c r="E477" s="17"/>
      <c r="F477" s="10"/>
      <c r="G477" s="17"/>
      <c r="H477" s="10"/>
      <c r="I477" s="17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>
      <c r="A478" s="15"/>
      <c r="B478" s="16"/>
      <c r="C478" s="17"/>
      <c r="D478" s="17"/>
      <c r="E478" s="17"/>
      <c r="F478" s="10"/>
      <c r="G478" s="17"/>
      <c r="H478" s="10"/>
      <c r="I478" s="17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15"/>
      <c r="B479" s="16"/>
      <c r="C479" s="17"/>
      <c r="D479" s="17"/>
      <c r="E479" s="17"/>
      <c r="F479" s="10"/>
      <c r="G479" s="17"/>
      <c r="H479" s="10"/>
      <c r="I479" s="17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>
      <c r="A480" s="15"/>
      <c r="B480" s="16"/>
      <c r="C480" s="17"/>
      <c r="D480" s="17"/>
      <c r="E480" s="17"/>
      <c r="F480" s="10"/>
      <c r="G480" s="17"/>
      <c r="H480" s="10"/>
      <c r="I480" s="17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15"/>
      <c r="B481" s="16"/>
      <c r="C481" s="17"/>
      <c r="D481" s="17"/>
      <c r="E481" s="17"/>
      <c r="F481" s="10"/>
      <c r="G481" s="17"/>
      <c r="H481" s="10"/>
      <c r="I481" s="17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>
      <c r="A482" s="15"/>
      <c r="B482" s="16"/>
      <c r="C482" s="17"/>
      <c r="D482" s="17"/>
      <c r="E482" s="17"/>
      <c r="F482" s="10"/>
      <c r="G482" s="17"/>
      <c r="H482" s="10"/>
      <c r="I482" s="17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15"/>
      <c r="B483" s="16"/>
      <c r="C483" s="17"/>
      <c r="D483" s="17"/>
      <c r="E483" s="17"/>
      <c r="F483" s="10"/>
      <c r="G483" s="17"/>
      <c r="H483" s="10"/>
      <c r="I483" s="17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>
      <c r="A484" s="15"/>
      <c r="B484" s="16"/>
      <c r="C484" s="17"/>
      <c r="D484" s="17"/>
      <c r="E484" s="17"/>
      <c r="F484" s="10"/>
      <c r="G484" s="17"/>
      <c r="H484" s="10"/>
      <c r="I484" s="17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15"/>
      <c r="B485" s="16"/>
      <c r="C485" s="17"/>
      <c r="D485" s="17"/>
      <c r="E485" s="17"/>
      <c r="F485" s="10"/>
      <c r="G485" s="17"/>
      <c r="H485" s="10"/>
      <c r="I485" s="17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>
      <c r="A486" s="15"/>
      <c r="B486" s="16"/>
      <c r="C486" s="17"/>
      <c r="D486" s="17"/>
      <c r="E486" s="17"/>
      <c r="F486" s="10"/>
      <c r="G486" s="17"/>
      <c r="H486" s="10"/>
      <c r="I486" s="17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15"/>
      <c r="B487" s="16"/>
      <c r="C487" s="17"/>
      <c r="D487" s="17"/>
      <c r="E487" s="17"/>
      <c r="F487" s="10"/>
      <c r="G487" s="17"/>
      <c r="H487" s="10"/>
      <c r="I487" s="17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>
      <c r="A488" s="15"/>
      <c r="B488" s="16"/>
      <c r="C488" s="17"/>
      <c r="D488" s="17"/>
      <c r="E488" s="17"/>
      <c r="F488" s="10"/>
      <c r="G488" s="17"/>
      <c r="H488" s="10"/>
      <c r="I488" s="17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15"/>
      <c r="B489" s="16"/>
      <c r="C489" s="17"/>
      <c r="D489" s="17"/>
      <c r="E489" s="17"/>
      <c r="F489" s="10"/>
      <c r="G489" s="17"/>
      <c r="H489" s="10"/>
      <c r="I489" s="17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>
      <c r="A490" s="15"/>
      <c r="B490" s="16"/>
      <c r="C490" s="17"/>
      <c r="D490" s="17"/>
      <c r="E490" s="17"/>
      <c r="F490" s="10"/>
      <c r="G490" s="17"/>
      <c r="H490" s="10"/>
      <c r="I490" s="17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15"/>
      <c r="B491" s="16"/>
      <c r="C491" s="17"/>
      <c r="D491" s="17"/>
      <c r="E491" s="17"/>
      <c r="F491" s="10"/>
      <c r="G491" s="17"/>
      <c r="H491" s="10"/>
      <c r="I491" s="17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>
      <c r="A492" s="15"/>
      <c r="B492" s="16"/>
      <c r="C492" s="17"/>
      <c r="D492" s="17"/>
      <c r="E492" s="17"/>
      <c r="F492" s="10"/>
      <c r="G492" s="17"/>
      <c r="H492" s="10"/>
      <c r="I492" s="17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15"/>
      <c r="B493" s="16"/>
      <c r="C493" s="17"/>
      <c r="D493" s="17"/>
      <c r="E493" s="17"/>
      <c r="F493" s="10"/>
      <c r="G493" s="17"/>
      <c r="H493" s="10"/>
      <c r="I493" s="17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>
      <c r="A494" s="15"/>
      <c r="B494" s="16"/>
      <c r="C494" s="17"/>
      <c r="D494" s="17"/>
      <c r="E494" s="17"/>
      <c r="F494" s="10"/>
      <c r="G494" s="17"/>
      <c r="H494" s="10"/>
      <c r="I494" s="17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15"/>
      <c r="B495" s="16"/>
      <c r="C495" s="17"/>
      <c r="D495" s="17"/>
      <c r="E495" s="17"/>
      <c r="F495" s="10"/>
      <c r="G495" s="17"/>
      <c r="H495" s="10"/>
      <c r="I495" s="17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>
      <c r="A496" s="15"/>
      <c r="B496" s="16"/>
      <c r="C496" s="17"/>
      <c r="D496" s="17"/>
      <c r="E496" s="17"/>
      <c r="F496" s="10"/>
      <c r="G496" s="17"/>
      <c r="H496" s="10"/>
      <c r="I496" s="17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15"/>
      <c r="B497" s="16"/>
      <c r="C497" s="17"/>
      <c r="D497" s="17"/>
      <c r="E497" s="17"/>
      <c r="F497" s="10"/>
      <c r="G497" s="17"/>
      <c r="H497" s="10"/>
      <c r="I497" s="17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>
      <c r="A498" s="15"/>
      <c r="B498" s="16"/>
      <c r="C498" s="17"/>
      <c r="D498" s="17"/>
      <c r="E498" s="17"/>
      <c r="F498" s="10"/>
      <c r="G498" s="17"/>
      <c r="H498" s="10"/>
      <c r="I498" s="17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15"/>
      <c r="B499" s="16"/>
      <c r="C499" s="17"/>
      <c r="D499" s="17"/>
      <c r="E499" s="17"/>
      <c r="F499" s="10"/>
      <c r="G499" s="17"/>
      <c r="H499" s="10"/>
      <c r="I499" s="17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>
      <c r="A500" s="15"/>
      <c r="B500" s="16"/>
      <c r="C500" s="17"/>
      <c r="D500" s="17"/>
      <c r="E500" s="17"/>
      <c r="F500" s="10"/>
      <c r="G500" s="17"/>
      <c r="H500" s="10"/>
      <c r="I500" s="17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15"/>
      <c r="B501" s="16"/>
      <c r="C501" s="17"/>
      <c r="D501" s="17"/>
      <c r="E501" s="17"/>
      <c r="F501" s="10"/>
      <c r="G501" s="17"/>
      <c r="H501" s="10"/>
      <c r="I501" s="17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>
      <c r="A502" s="15"/>
      <c r="B502" s="16"/>
      <c r="C502" s="17"/>
      <c r="D502" s="17"/>
      <c r="E502" s="17"/>
      <c r="F502" s="10"/>
      <c r="G502" s="17"/>
      <c r="H502" s="10"/>
      <c r="I502" s="17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15"/>
      <c r="B503" s="16"/>
      <c r="C503" s="17"/>
      <c r="D503" s="17"/>
      <c r="E503" s="17"/>
      <c r="F503" s="10"/>
      <c r="G503" s="17"/>
      <c r="H503" s="10"/>
      <c r="I503" s="17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>
      <c r="A504" s="15"/>
      <c r="B504" s="16"/>
      <c r="C504" s="17"/>
      <c r="D504" s="17"/>
      <c r="E504" s="17"/>
      <c r="F504" s="10"/>
      <c r="G504" s="17"/>
      <c r="H504" s="10"/>
      <c r="I504" s="17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15"/>
      <c r="B505" s="16"/>
      <c r="C505" s="17"/>
      <c r="D505" s="17"/>
      <c r="E505" s="17"/>
      <c r="F505" s="10"/>
      <c r="G505" s="17"/>
      <c r="H505" s="10"/>
      <c r="I505" s="17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>
      <c r="A506" s="15"/>
      <c r="B506" s="16"/>
      <c r="C506" s="17"/>
      <c r="D506" s="17"/>
      <c r="E506" s="17"/>
      <c r="F506" s="10"/>
      <c r="G506" s="17"/>
      <c r="H506" s="10"/>
      <c r="I506" s="17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15"/>
      <c r="B507" s="16"/>
      <c r="C507" s="17"/>
      <c r="D507" s="17"/>
      <c r="E507" s="17"/>
      <c r="F507" s="10"/>
      <c r="G507" s="17"/>
      <c r="H507" s="10"/>
      <c r="I507" s="17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>
      <c r="A508" s="15"/>
      <c r="B508" s="16"/>
      <c r="C508" s="17"/>
      <c r="D508" s="17"/>
      <c r="E508" s="17"/>
      <c r="F508" s="10"/>
      <c r="G508" s="17"/>
      <c r="H508" s="10"/>
      <c r="I508" s="17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15"/>
      <c r="B509" s="16"/>
      <c r="C509" s="17"/>
      <c r="D509" s="17"/>
      <c r="E509" s="17"/>
      <c r="F509" s="10"/>
      <c r="G509" s="17"/>
      <c r="H509" s="10"/>
      <c r="I509" s="17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>
      <c r="A510" s="15"/>
      <c r="B510" s="16"/>
      <c r="C510" s="17"/>
      <c r="D510" s="17"/>
      <c r="E510" s="17"/>
      <c r="F510" s="10"/>
      <c r="G510" s="17"/>
      <c r="H510" s="10"/>
      <c r="I510" s="17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15"/>
      <c r="B511" s="16"/>
      <c r="C511" s="17"/>
      <c r="D511" s="17"/>
      <c r="E511" s="17"/>
      <c r="F511" s="10"/>
      <c r="G511" s="17"/>
      <c r="H511" s="10"/>
      <c r="I511" s="17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>
      <c r="A512" s="15"/>
      <c r="B512" s="16"/>
      <c r="C512" s="17"/>
      <c r="D512" s="17"/>
      <c r="E512" s="17"/>
      <c r="F512" s="10"/>
      <c r="G512" s="17"/>
      <c r="H512" s="10"/>
      <c r="I512" s="17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15"/>
      <c r="B513" s="16"/>
      <c r="C513" s="17"/>
      <c r="D513" s="17"/>
      <c r="E513" s="17"/>
      <c r="F513" s="10"/>
      <c r="G513" s="17"/>
      <c r="H513" s="10"/>
      <c r="I513" s="17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>
      <c r="A514" s="15"/>
      <c r="B514" s="16"/>
      <c r="C514" s="17"/>
      <c r="D514" s="17"/>
      <c r="E514" s="17"/>
      <c r="F514" s="10"/>
      <c r="G514" s="17"/>
      <c r="H514" s="10"/>
      <c r="I514" s="17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15"/>
      <c r="B515" s="16"/>
      <c r="C515" s="17"/>
      <c r="D515" s="17"/>
      <c r="E515" s="17"/>
      <c r="F515" s="10"/>
      <c r="G515" s="17"/>
      <c r="H515" s="10"/>
      <c r="I515" s="17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>
      <c r="A516" s="15"/>
      <c r="B516" s="16"/>
      <c r="C516" s="17"/>
      <c r="D516" s="17"/>
      <c r="E516" s="17"/>
      <c r="F516" s="10"/>
      <c r="G516" s="17"/>
      <c r="H516" s="10"/>
      <c r="I516" s="17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15"/>
      <c r="B517" s="16"/>
      <c r="C517" s="17"/>
      <c r="D517" s="17"/>
      <c r="E517" s="17"/>
      <c r="F517" s="10"/>
      <c r="G517" s="17"/>
      <c r="H517" s="10"/>
      <c r="I517" s="17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>
      <c r="A518" s="15"/>
      <c r="B518" s="16"/>
      <c r="C518" s="17"/>
      <c r="D518" s="17"/>
      <c r="E518" s="17"/>
      <c r="F518" s="10"/>
      <c r="G518" s="17"/>
      <c r="H518" s="10"/>
      <c r="I518" s="17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15"/>
      <c r="B519" s="16"/>
      <c r="C519" s="17"/>
      <c r="D519" s="17"/>
      <c r="E519" s="17"/>
      <c r="F519" s="10"/>
      <c r="G519" s="17"/>
      <c r="H519" s="10"/>
      <c r="I519" s="17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>
      <c r="A520" s="15"/>
      <c r="B520" s="16"/>
      <c r="C520" s="17"/>
      <c r="D520" s="17"/>
      <c r="E520" s="17"/>
      <c r="F520" s="10"/>
      <c r="G520" s="17"/>
      <c r="H520" s="10"/>
      <c r="I520" s="17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15"/>
      <c r="B521" s="16"/>
      <c r="C521" s="17"/>
      <c r="D521" s="17"/>
      <c r="E521" s="17"/>
      <c r="F521" s="10"/>
      <c r="G521" s="17"/>
      <c r="H521" s="10"/>
      <c r="I521" s="17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>
      <c r="A522" s="15"/>
      <c r="B522" s="16"/>
      <c r="C522" s="17"/>
      <c r="D522" s="17"/>
      <c r="E522" s="17"/>
      <c r="F522" s="10"/>
      <c r="G522" s="17"/>
      <c r="H522" s="10"/>
      <c r="I522" s="17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15"/>
      <c r="B523" s="16"/>
      <c r="C523" s="17"/>
      <c r="D523" s="17"/>
      <c r="E523" s="17"/>
      <c r="F523" s="10"/>
      <c r="G523" s="17"/>
      <c r="H523" s="10"/>
      <c r="I523" s="17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>
      <c r="A524" s="15"/>
      <c r="B524" s="16"/>
      <c r="C524" s="17"/>
      <c r="D524" s="17"/>
      <c r="E524" s="17"/>
      <c r="F524" s="10"/>
      <c r="G524" s="17"/>
      <c r="H524" s="10"/>
      <c r="I524" s="17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15"/>
      <c r="B525" s="16"/>
      <c r="C525" s="17"/>
      <c r="D525" s="17"/>
      <c r="E525" s="17"/>
      <c r="F525" s="10"/>
      <c r="G525" s="17"/>
      <c r="H525" s="10"/>
      <c r="I525" s="17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>
      <c r="A526" s="15"/>
      <c r="B526" s="16"/>
      <c r="C526" s="17"/>
      <c r="D526" s="17"/>
      <c r="E526" s="17"/>
      <c r="F526" s="10"/>
      <c r="G526" s="17"/>
      <c r="H526" s="10"/>
      <c r="I526" s="17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15"/>
      <c r="B527" s="16"/>
      <c r="C527" s="17"/>
      <c r="D527" s="17"/>
      <c r="E527" s="17"/>
      <c r="F527" s="10"/>
      <c r="G527" s="17"/>
      <c r="H527" s="10"/>
      <c r="I527" s="17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>
      <c r="A528" s="15"/>
      <c r="B528" s="16"/>
      <c r="C528" s="17"/>
      <c r="D528" s="17"/>
      <c r="E528" s="17"/>
      <c r="F528" s="10"/>
      <c r="G528" s="17"/>
      <c r="H528" s="10"/>
      <c r="I528" s="17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15"/>
      <c r="B529" s="16"/>
      <c r="C529" s="17"/>
      <c r="D529" s="17"/>
      <c r="E529" s="17"/>
      <c r="F529" s="10"/>
      <c r="G529" s="17"/>
      <c r="H529" s="10"/>
      <c r="I529" s="17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>
      <c r="A530" s="15"/>
      <c r="B530" s="16"/>
      <c r="C530" s="17"/>
      <c r="D530" s="17"/>
      <c r="E530" s="17"/>
      <c r="F530" s="10"/>
      <c r="G530" s="17"/>
      <c r="H530" s="10"/>
      <c r="I530" s="17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15"/>
      <c r="B531" s="16"/>
      <c r="C531" s="17"/>
      <c r="D531" s="17"/>
      <c r="E531" s="17"/>
      <c r="F531" s="10"/>
      <c r="G531" s="17"/>
      <c r="H531" s="10"/>
      <c r="I531" s="17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>
      <c r="A532" s="15"/>
      <c r="B532" s="16"/>
      <c r="C532" s="17"/>
      <c r="D532" s="17"/>
      <c r="E532" s="17"/>
      <c r="F532" s="10"/>
      <c r="G532" s="17"/>
      <c r="H532" s="10"/>
      <c r="I532" s="17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15"/>
      <c r="B533" s="16"/>
      <c r="C533" s="17"/>
      <c r="D533" s="17"/>
      <c r="E533" s="17"/>
      <c r="F533" s="10"/>
      <c r="G533" s="17"/>
      <c r="H533" s="10"/>
      <c r="I533" s="17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>
      <c r="A534" s="15"/>
      <c r="B534" s="16"/>
      <c r="C534" s="17"/>
      <c r="D534" s="17"/>
      <c r="E534" s="17"/>
      <c r="F534" s="10"/>
      <c r="G534" s="17"/>
      <c r="H534" s="10"/>
      <c r="I534" s="17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15"/>
      <c r="B535" s="16"/>
      <c r="C535" s="17"/>
      <c r="D535" s="17"/>
      <c r="E535" s="17"/>
      <c r="F535" s="10"/>
      <c r="G535" s="17"/>
      <c r="H535" s="10"/>
      <c r="I535" s="17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>
      <c r="A536" s="15"/>
      <c r="B536" s="16"/>
      <c r="C536" s="17"/>
      <c r="D536" s="17"/>
      <c r="E536" s="17"/>
      <c r="F536" s="10"/>
      <c r="G536" s="17"/>
      <c r="H536" s="10"/>
      <c r="I536" s="17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15"/>
      <c r="B537" s="16"/>
      <c r="C537" s="17"/>
      <c r="D537" s="17"/>
      <c r="E537" s="17"/>
      <c r="F537" s="10"/>
      <c r="G537" s="17"/>
      <c r="H537" s="10"/>
      <c r="I537" s="17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>
      <c r="A538" s="15"/>
      <c r="B538" s="16"/>
      <c r="C538" s="17"/>
      <c r="D538" s="17"/>
      <c r="E538" s="17"/>
      <c r="F538" s="10"/>
      <c r="G538" s="17"/>
      <c r="H538" s="10"/>
      <c r="I538" s="17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15"/>
      <c r="B539" s="16"/>
      <c r="C539" s="17"/>
      <c r="D539" s="17"/>
      <c r="E539" s="17"/>
      <c r="F539" s="10"/>
      <c r="G539" s="17"/>
      <c r="H539" s="10"/>
      <c r="I539" s="17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>
      <c r="A540" s="15"/>
      <c r="B540" s="16"/>
      <c r="C540" s="17"/>
      <c r="D540" s="17"/>
      <c r="E540" s="17"/>
      <c r="F540" s="10"/>
      <c r="G540" s="17"/>
      <c r="H540" s="10"/>
      <c r="I540" s="17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15"/>
      <c r="B541" s="16"/>
      <c r="C541" s="17"/>
      <c r="D541" s="17"/>
      <c r="E541" s="17"/>
      <c r="F541" s="10"/>
      <c r="G541" s="17"/>
      <c r="H541" s="10"/>
      <c r="I541" s="17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>
      <c r="A542" s="15"/>
      <c r="B542" s="16"/>
      <c r="C542" s="17"/>
      <c r="D542" s="17"/>
      <c r="E542" s="17"/>
      <c r="F542" s="10"/>
      <c r="G542" s="17"/>
      <c r="H542" s="10"/>
      <c r="I542" s="17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15"/>
      <c r="B543" s="16"/>
      <c r="C543" s="17"/>
      <c r="D543" s="17"/>
      <c r="E543" s="17"/>
      <c r="F543" s="10"/>
      <c r="G543" s="17"/>
      <c r="H543" s="10"/>
      <c r="I543" s="17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>
      <c r="A544" s="15"/>
      <c r="B544" s="16"/>
      <c r="C544" s="17"/>
      <c r="D544" s="17"/>
      <c r="E544" s="17"/>
      <c r="F544" s="10"/>
      <c r="G544" s="17"/>
      <c r="H544" s="10"/>
      <c r="I544" s="17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15"/>
      <c r="B545" s="16"/>
      <c r="C545" s="17"/>
      <c r="D545" s="17"/>
      <c r="E545" s="17"/>
      <c r="F545" s="10"/>
      <c r="G545" s="17"/>
      <c r="H545" s="10"/>
      <c r="I545" s="17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>
      <c r="A546" s="15"/>
      <c r="B546" s="16"/>
      <c r="C546" s="17"/>
      <c r="D546" s="17"/>
      <c r="E546" s="17"/>
      <c r="F546" s="10"/>
      <c r="G546" s="17"/>
      <c r="H546" s="10"/>
      <c r="I546" s="17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15"/>
      <c r="B547" s="16"/>
      <c r="C547" s="17"/>
      <c r="D547" s="17"/>
      <c r="E547" s="17"/>
      <c r="F547" s="10"/>
      <c r="G547" s="17"/>
      <c r="H547" s="10"/>
      <c r="I547" s="17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>
      <c r="A548" s="15"/>
      <c r="B548" s="16"/>
      <c r="C548" s="17"/>
      <c r="D548" s="17"/>
      <c r="E548" s="17"/>
      <c r="F548" s="10"/>
      <c r="G548" s="17"/>
      <c r="H548" s="10"/>
      <c r="I548" s="17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15"/>
      <c r="B549" s="16"/>
      <c r="C549" s="17"/>
      <c r="D549" s="17"/>
      <c r="E549" s="17"/>
      <c r="F549" s="10"/>
      <c r="G549" s="17"/>
      <c r="H549" s="10"/>
      <c r="I549" s="17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>
      <c r="A550" s="15"/>
      <c r="B550" s="16"/>
      <c r="C550" s="17"/>
      <c r="D550" s="17"/>
      <c r="E550" s="17"/>
      <c r="F550" s="10"/>
      <c r="G550" s="17"/>
      <c r="H550" s="10"/>
      <c r="I550" s="17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15"/>
      <c r="B551" s="16"/>
      <c r="C551" s="17"/>
      <c r="D551" s="17"/>
      <c r="E551" s="17"/>
      <c r="F551" s="10"/>
      <c r="G551" s="17"/>
      <c r="H551" s="10"/>
      <c r="I551" s="17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>
      <c r="A552" s="15"/>
      <c r="B552" s="16"/>
      <c r="C552" s="17"/>
      <c r="D552" s="17"/>
      <c r="E552" s="17"/>
      <c r="F552" s="10"/>
      <c r="G552" s="17"/>
      <c r="H552" s="10"/>
      <c r="I552" s="17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15"/>
      <c r="B553" s="16"/>
      <c r="C553" s="17"/>
      <c r="D553" s="17"/>
      <c r="E553" s="17"/>
      <c r="F553" s="10"/>
      <c r="G553" s="17"/>
      <c r="H553" s="10"/>
      <c r="I553" s="17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>
      <c r="A554" s="15"/>
      <c r="B554" s="16"/>
      <c r="C554" s="17"/>
      <c r="D554" s="17"/>
      <c r="E554" s="17"/>
      <c r="F554" s="10"/>
      <c r="G554" s="17"/>
      <c r="H554" s="10"/>
      <c r="I554" s="17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15"/>
      <c r="B555" s="16"/>
      <c r="C555" s="17"/>
      <c r="D555" s="17"/>
      <c r="E555" s="17"/>
      <c r="F555" s="10"/>
      <c r="G555" s="17"/>
      <c r="H555" s="10"/>
      <c r="I555" s="17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>
      <c r="A556" s="15"/>
      <c r="B556" s="16"/>
      <c r="C556" s="17"/>
      <c r="D556" s="17"/>
      <c r="E556" s="17"/>
      <c r="F556" s="10"/>
      <c r="G556" s="17"/>
      <c r="H556" s="10"/>
      <c r="I556" s="17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15"/>
      <c r="B557" s="16"/>
      <c r="C557" s="17"/>
      <c r="D557" s="17"/>
      <c r="E557" s="17"/>
      <c r="F557" s="10"/>
      <c r="G557" s="17"/>
      <c r="H557" s="10"/>
      <c r="I557" s="17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>
      <c r="A558" s="15"/>
      <c r="B558" s="16"/>
      <c r="C558" s="17"/>
      <c r="D558" s="17"/>
      <c r="E558" s="17"/>
      <c r="F558" s="10"/>
      <c r="G558" s="17"/>
      <c r="H558" s="10"/>
      <c r="I558" s="17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15"/>
      <c r="B559" s="16"/>
      <c r="C559" s="17"/>
      <c r="D559" s="17"/>
      <c r="E559" s="17"/>
      <c r="F559" s="10"/>
      <c r="G559" s="17"/>
      <c r="H559" s="10"/>
      <c r="I559" s="17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>
      <c r="A560" s="15"/>
      <c r="B560" s="16"/>
      <c r="C560" s="17"/>
      <c r="D560" s="17"/>
      <c r="E560" s="17"/>
      <c r="F560" s="10"/>
      <c r="G560" s="17"/>
      <c r="H560" s="10"/>
      <c r="I560" s="17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15"/>
      <c r="B561" s="16"/>
      <c r="C561" s="17"/>
      <c r="D561" s="17"/>
      <c r="E561" s="17"/>
      <c r="F561" s="10"/>
      <c r="G561" s="17"/>
      <c r="H561" s="10"/>
      <c r="I561" s="17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>
      <c r="A562" s="15"/>
      <c r="B562" s="16"/>
      <c r="C562" s="17"/>
      <c r="D562" s="17"/>
      <c r="E562" s="17"/>
      <c r="F562" s="10"/>
      <c r="G562" s="17"/>
      <c r="H562" s="10"/>
      <c r="I562" s="17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15"/>
      <c r="B563" s="16"/>
      <c r="C563" s="17"/>
      <c r="D563" s="17"/>
      <c r="E563" s="17"/>
      <c r="F563" s="10"/>
      <c r="G563" s="17"/>
      <c r="H563" s="10"/>
      <c r="I563" s="17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>
      <c r="A564" s="15"/>
      <c r="B564" s="16"/>
      <c r="C564" s="17"/>
      <c r="D564" s="17"/>
      <c r="E564" s="17"/>
      <c r="F564" s="10"/>
      <c r="G564" s="17"/>
      <c r="H564" s="10"/>
      <c r="I564" s="17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15"/>
      <c r="B565" s="16"/>
      <c r="C565" s="17"/>
      <c r="D565" s="17"/>
      <c r="E565" s="17"/>
      <c r="F565" s="10"/>
      <c r="G565" s="17"/>
      <c r="H565" s="10"/>
      <c r="I565" s="17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>
      <c r="A566" s="15"/>
      <c r="B566" s="16"/>
      <c r="C566" s="17"/>
      <c r="D566" s="17"/>
      <c r="E566" s="17"/>
      <c r="F566" s="10"/>
      <c r="G566" s="17"/>
      <c r="H566" s="10"/>
      <c r="I566" s="17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15"/>
      <c r="B567" s="16"/>
      <c r="C567" s="17"/>
      <c r="D567" s="17"/>
      <c r="E567" s="17"/>
      <c r="F567" s="10"/>
      <c r="G567" s="17"/>
      <c r="H567" s="10"/>
      <c r="I567" s="17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>
      <c r="A568" s="15"/>
      <c r="B568" s="16"/>
      <c r="C568" s="17"/>
      <c r="D568" s="17"/>
      <c r="E568" s="17"/>
      <c r="F568" s="10"/>
      <c r="G568" s="17"/>
      <c r="H568" s="10"/>
      <c r="I568" s="17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15"/>
      <c r="B569" s="16"/>
      <c r="C569" s="17"/>
      <c r="D569" s="17"/>
      <c r="E569" s="17"/>
      <c r="F569" s="10"/>
      <c r="G569" s="17"/>
      <c r="H569" s="10"/>
      <c r="I569" s="17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>
      <c r="A570" s="15"/>
      <c r="B570" s="16"/>
      <c r="C570" s="17"/>
      <c r="D570" s="17"/>
      <c r="E570" s="17"/>
      <c r="F570" s="10"/>
      <c r="G570" s="17"/>
      <c r="H570" s="10"/>
      <c r="I570" s="17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15"/>
      <c r="B571" s="16"/>
      <c r="C571" s="17"/>
      <c r="D571" s="17"/>
      <c r="E571" s="17"/>
      <c r="F571" s="10"/>
      <c r="G571" s="17"/>
      <c r="H571" s="10"/>
      <c r="I571" s="17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>
      <c r="A572" s="15"/>
      <c r="B572" s="16"/>
      <c r="C572" s="17"/>
      <c r="D572" s="17"/>
      <c r="E572" s="17"/>
      <c r="F572" s="10"/>
      <c r="G572" s="17"/>
      <c r="H572" s="10"/>
      <c r="I572" s="17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15"/>
      <c r="B573" s="16"/>
      <c r="C573" s="17"/>
      <c r="D573" s="17"/>
      <c r="E573" s="17"/>
      <c r="F573" s="10"/>
      <c r="G573" s="17"/>
      <c r="H573" s="10"/>
      <c r="I573" s="17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>
      <c r="A574" s="15"/>
      <c r="B574" s="16"/>
      <c r="C574" s="17"/>
      <c r="D574" s="17"/>
      <c r="E574" s="17"/>
      <c r="F574" s="10"/>
      <c r="G574" s="17"/>
      <c r="H574" s="10"/>
      <c r="I574" s="17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15"/>
      <c r="B575" s="16"/>
      <c r="C575" s="17"/>
      <c r="D575" s="17"/>
      <c r="E575" s="17"/>
      <c r="F575" s="10"/>
      <c r="G575" s="17"/>
      <c r="H575" s="10"/>
      <c r="I575" s="17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>
      <c r="A576" s="15"/>
      <c r="B576" s="16"/>
      <c r="C576" s="17"/>
      <c r="D576" s="17"/>
      <c r="E576" s="17"/>
      <c r="F576" s="10"/>
      <c r="G576" s="17"/>
      <c r="H576" s="10"/>
      <c r="I576" s="17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15"/>
      <c r="B577" s="16"/>
      <c r="C577" s="17"/>
      <c r="D577" s="17"/>
      <c r="E577" s="17"/>
      <c r="F577" s="10"/>
      <c r="G577" s="17"/>
      <c r="H577" s="10"/>
      <c r="I577" s="17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>
      <c r="A578" s="15"/>
      <c r="B578" s="16"/>
      <c r="C578" s="17"/>
      <c r="D578" s="17"/>
      <c r="E578" s="17"/>
      <c r="F578" s="10"/>
      <c r="G578" s="17"/>
      <c r="H578" s="10"/>
      <c r="I578" s="17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15"/>
      <c r="B579" s="16"/>
      <c r="C579" s="17"/>
      <c r="D579" s="17"/>
      <c r="E579" s="17"/>
      <c r="F579" s="10"/>
      <c r="G579" s="17"/>
      <c r="H579" s="10"/>
      <c r="I579" s="17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>
      <c r="A580" s="15"/>
      <c r="B580" s="16"/>
      <c r="C580" s="17"/>
      <c r="D580" s="17"/>
      <c r="E580" s="17"/>
      <c r="F580" s="10"/>
      <c r="G580" s="17"/>
      <c r="H580" s="10"/>
      <c r="I580" s="17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15"/>
      <c r="B581" s="16"/>
      <c r="C581" s="17"/>
      <c r="D581" s="17"/>
      <c r="E581" s="17"/>
      <c r="F581" s="10"/>
      <c r="G581" s="17"/>
      <c r="H581" s="10"/>
      <c r="I581" s="17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>
      <c r="A582" s="15"/>
      <c r="B582" s="16"/>
      <c r="C582" s="17"/>
      <c r="D582" s="17"/>
      <c r="E582" s="17"/>
      <c r="F582" s="10"/>
      <c r="G582" s="17"/>
      <c r="H582" s="10"/>
      <c r="I582" s="17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15"/>
      <c r="B583" s="16"/>
      <c r="C583" s="17"/>
      <c r="D583" s="17"/>
      <c r="E583" s="17"/>
      <c r="F583" s="10"/>
      <c r="G583" s="17"/>
      <c r="H583" s="10"/>
      <c r="I583" s="17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>
      <c r="A584" s="15"/>
      <c r="B584" s="16"/>
      <c r="C584" s="17"/>
      <c r="D584" s="17"/>
      <c r="E584" s="17"/>
      <c r="F584" s="10"/>
      <c r="G584" s="17"/>
      <c r="H584" s="10"/>
      <c r="I584" s="17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15"/>
      <c r="B585" s="16"/>
      <c r="C585" s="17"/>
      <c r="D585" s="17"/>
      <c r="E585" s="17"/>
      <c r="F585" s="10"/>
      <c r="G585" s="17"/>
      <c r="H585" s="10"/>
      <c r="I585" s="17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>
      <c r="A586" s="15"/>
      <c r="B586" s="16"/>
      <c r="C586" s="17"/>
      <c r="D586" s="17"/>
      <c r="E586" s="17"/>
      <c r="F586" s="10"/>
      <c r="G586" s="17"/>
      <c r="H586" s="10"/>
      <c r="I586" s="17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15"/>
      <c r="B587" s="16"/>
      <c r="C587" s="17"/>
      <c r="D587" s="17"/>
      <c r="E587" s="17"/>
      <c r="F587" s="10"/>
      <c r="G587" s="17"/>
      <c r="H587" s="10"/>
      <c r="I587" s="17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>
      <c r="A588" s="15"/>
      <c r="B588" s="16"/>
      <c r="C588" s="17"/>
      <c r="D588" s="17"/>
      <c r="E588" s="17"/>
      <c r="F588" s="10"/>
      <c r="G588" s="17"/>
      <c r="H588" s="10"/>
      <c r="I588" s="17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15"/>
      <c r="B589" s="16"/>
      <c r="C589" s="17"/>
      <c r="D589" s="17"/>
      <c r="E589" s="17"/>
      <c r="F589" s="10"/>
      <c r="G589" s="17"/>
      <c r="H589" s="10"/>
      <c r="I589" s="17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>
      <c r="A590" s="15"/>
      <c r="B590" s="16"/>
      <c r="C590" s="17"/>
      <c r="D590" s="17"/>
      <c r="E590" s="17"/>
      <c r="F590" s="10"/>
      <c r="G590" s="17"/>
      <c r="H590" s="10"/>
      <c r="I590" s="17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15"/>
      <c r="B591" s="16"/>
      <c r="C591" s="17"/>
      <c r="D591" s="17"/>
      <c r="E591" s="17"/>
      <c r="F591" s="10"/>
      <c r="G591" s="17"/>
      <c r="H591" s="10"/>
      <c r="I591" s="17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>
      <c r="A592" s="15"/>
      <c r="B592" s="16"/>
      <c r="C592" s="17"/>
      <c r="D592" s="17"/>
      <c r="E592" s="17"/>
      <c r="F592" s="10"/>
      <c r="G592" s="17"/>
      <c r="H592" s="10"/>
      <c r="I592" s="17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15"/>
      <c r="B593" s="16"/>
      <c r="C593" s="17"/>
      <c r="D593" s="17"/>
      <c r="E593" s="17"/>
      <c r="F593" s="10"/>
      <c r="G593" s="17"/>
      <c r="H593" s="10"/>
      <c r="I593" s="17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>
      <c r="A594" s="15"/>
      <c r="B594" s="16"/>
      <c r="C594" s="17"/>
      <c r="D594" s="17"/>
      <c r="E594" s="17"/>
      <c r="F594" s="10"/>
      <c r="G594" s="17"/>
      <c r="H594" s="10"/>
      <c r="I594" s="17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15"/>
      <c r="B595" s="16"/>
      <c r="C595" s="17"/>
      <c r="D595" s="17"/>
      <c r="E595" s="17"/>
      <c r="F595" s="10"/>
      <c r="G595" s="17"/>
      <c r="H595" s="10"/>
      <c r="I595" s="17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>
      <c r="A596" s="15"/>
      <c r="B596" s="16"/>
      <c r="C596" s="17"/>
      <c r="D596" s="17"/>
      <c r="E596" s="17"/>
      <c r="F596" s="10"/>
      <c r="G596" s="17"/>
      <c r="H596" s="10"/>
      <c r="I596" s="17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15"/>
      <c r="B597" s="16"/>
      <c r="C597" s="17"/>
      <c r="D597" s="17"/>
      <c r="E597" s="17"/>
      <c r="F597" s="10"/>
      <c r="G597" s="17"/>
      <c r="H597" s="10"/>
      <c r="I597" s="17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>
      <c r="A598" s="15"/>
      <c r="B598" s="16"/>
      <c r="C598" s="17"/>
      <c r="D598" s="17"/>
      <c r="E598" s="17"/>
      <c r="F598" s="10"/>
      <c r="G598" s="17"/>
      <c r="H598" s="10"/>
      <c r="I598" s="17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15"/>
      <c r="B599" s="16"/>
      <c r="C599" s="17"/>
      <c r="D599" s="17"/>
      <c r="E599" s="17"/>
      <c r="F599" s="10"/>
      <c r="G599" s="17"/>
      <c r="H599" s="10"/>
      <c r="I599" s="17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>
      <c r="A600" s="15"/>
      <c r="B600" s="16"/>
      <c r="C600" s="17"/>
      <c r="D600" s="17"/>
      <c r="E600" s="17"/>
      <c r="F600" s="10"/>
      <c r="G600" s="17"/>
      <c r="H600" s="10"/>
      <c r="I600" s="17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15"/>
      <c r="B601" s="16"/>
      <c r="C601" s="17"/>
      <c r="D601" s="17"/>
      <c r="E601" s="17"/>
      <c r="F601" s="10"/>
      <c r="G601" s="17"/>
      <c r="H601" s="10"/>
      <c r="I601" s="17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>
      <c r="A602" s="15"/>
      <c r="B602" s="16"/>
      <c r="C602" s="17"/>
      <c r="D602" s="17"/>
      <c r="E602" s="17"/>
      <c r="F602" s="10"/>
      <c r="G602" s="17"/>
      <c r="H602" s="10"/>
      <c r="I602" s="17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15"/>
      <c r="B603" s="16"/>
      <c r="C603" s="17"/>
      <c r="D603" s="17"/>
      <c r="E603" s="17"/>
      <c r="F603" s="10"/>
      <c r="G603" s="17"/>
      <c r="H603" s="10"/>
      <c r="I603" s="17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>
      <c r="A604" s="15"/>
      <c r="B604" s="16"/>
      <c r="C604" s="17"/>
      <c r="D604" s="17"/>
      <c r="E604" s="17"/>
      <c r="F604" s="10"/>
      <c r="G604" s="17"/>
      <c r="H604" s="10"/>
      <c r="I604" s="17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15"/>
      <c r="B605" s="16"/>
      <c r="C605" s="17"/>
      <c r="D605" s="17"/>
      <c r="E605" s="17"/>
      <c r="F605" s="10"/>
      <c r="G605" s="17"/>
      <c r="H605" s="10"/>
      <c r="I605" s="17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>
      <c r="A606" s="15"/>
      <c r="B606" s="16"/>
      <c r="C606" s="17"/>
      <c r="D606" s="17"/>
      <c r="E606" s="17"/>
      <c r="F606" s="10"/>
      <c r="G606" s="17"/>
      <c r="H606" s="10"/>
      <c r="I606" s="17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15"/>
      <c r="B607" s="16"/>
      <c r="C607" s="17"/>
      <c r="D607" s="17"/>
      <c r="E607" s="17"/>
      <c r="F607" s="10"/>
      <c r="G607" s="17"/>
      <c r="H607" s="10"/>
      <c r="I607" s="17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>
      <c r="A608" s="15"/>
      <c r="B608" s="16"/>
      <c r="C608" s="17"/>
      <c r="D608" s="17"/>
      <c r="E608" s="17"/>
      <c r="F608" s="10"/>
      <c r="G608" s="17"/>
      <c r="H608" s="10"/>
      <c r="I608" s="17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15"/>
      <c r="B609" s="16"/>
      <c r="C609" s="17"/>
      <c r="D609" s="17"/>
      <c r="E609" s="17"/>
      <c r="F609" s="10"/>
      <c r="G609" s="17"/>
      <c r="H609" s="10"/>
      <c r="I609" s="17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>
      <c r="A610" s="15"/>
      <c r="B610" s="16"/>
      <c r="C610" s="17"/>
      <c r="D610" s="17"/>
      <c r="E610" s="17"/>
      <c r="F610" s="10"/>
      <c r="G610" s="17"/>
      <c r="H610" s="10"/>
      <c r="I610" s="17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15"/>
      <c r="B611" s="16"/>
      <c r="C611" s="17"/>
      <c r="D611" s="17"/>
      <c r="E611" s="17"/>
      <c r="F611" s="10"/>
      <c r="G611" s="17"/>
      <c r="H611" s="10"/>
      <c r="I611" s="17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>
      <c r="A612" s="15"/>
      <c r="B612" s="16"/>
      <c r="C612" s="17"/>
      <c r="D612" s="17"/>
      <c r="E612" s="17"/>
      <c r="F612" s="10"/>
      <c r="G612" s="17"/>
      <c r="H612" s="10"/>
      <c r="I612" s="17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15"/>
      <c r="B613" s="16"/>
      <c r="C613" s="17"/>
      <c r="D613" s="17"/>
      <c r="E613" s="17"/>
      <c r="F613" s="10"/>
      <c r="G613" s="17"/>
      <c r="H613" s="10"/>
      <c r="I613" s="17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>
      <c r="A614" s="15"/>
      <c r="B614" s="16"/>
      <c r="C614" s="17"/>
      <c r="D614" s="17"/>
      <c r="E614" s="17"/>
      <c r="F614" s="10"/>
      <c r="G614" s="17"/>
      <c r="H614" s="10"/>
      <c r="I614" s="17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15"/>
      <c r="B615" s="16"/>
      <c r="C615" s="17"/>
      <c r="D615" s="17"/>
      <c r="E615" s="17"/>
      <c r="F615" s="10"/>
      <c r="G615" s="17"/>
      <c r="H615" s="10"/>
      <c r="I615" s="17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>
      <c r="A616" s="15"/>
      <c r="B616" s="16"/>
      <c r="C616" s="17"/>
      <c r="D616" s="17"/>
      <c r="E616" s="17"/>
      <c r="F616" s="10"/>
      <c r="G616" s="17"/>
      <c r="H616" s="10"/>
      <c r="I616" s="17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15"/>
      <c r="B617" s="16"/>
      <c r="C617" s="17"/>
      <c r="D617" s="17"/>
      <c r="E617" s="17"/>
      <c r="F617" s="10"/>
      <c r="G617" s="17"/>
      <c r="H617" s="10"/>
      <c r="I617" s="17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>
      <c r="A618" s="15"/>
      <c r="B618" s="16"/>
      <c r="C618" s="17"/>
      <c r="D618" s="17"/>
      <c r="E618" s="17"/>
      <c r="F618" s="10"/>
      <c r="G618" s="17"/>
      <c r="H618" s="10"/>
      <c r="I618" s="17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15"/>
      <c r="B619" s="16"/>
      <c r="C619" s="17"/>
      <c r="D619" s="17"/>
      <c r="E619" s="17"/>
      <c r="F619" s="10"/>
      <c r="G619" s="17"/>
      <c r="H619" s="10"/>
      <c r="I619" s="17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>
      <c r="A620" s="15"/>
      <c r="B620" s="16"/>
      <c r="C620" s="17"/>
      <c r="D620" s="17"/>
      <c r="E620" s="17"/>
      <c r="F620" s="10"/>
      <c r="G620" s="17"/>
      <c r="H620" s="10"/>
      <c r="I620" s="17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15"/>
      <c r="B621" s="16"/>
      <c r="C621" s="17"/>
      <c r="D621" s="17"/>
      <c r="E621" s="17"/>
      <c r="F621" s="10"/>
      <c r="G621" s="17"/>
      <c r="H621" s="10"/>
      <c r="I621" s="17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>
      <c r="A622" s="15"/>
      <c r="B622" s="16"/>
      <c r="C622" s="17"/>
      <c r="D622" s="17"/>
      <c r="E622" s="17"/>
      <c r="F622" s="10"/>
      <c r="G622" s="17"/>
      <c r="H622" s="10"/>
      <c r="I622" s="17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15"/>
      <c r="B623" s="16"/>
      <c r="C623" s="17"/>
      <c r="D623" s="17"/>
      <c r="E623" s="17"/>
      <c r="F623" s="10"/>
      <c r="G623" s="17"/>
      <c r="H623" s="10"/>
      <c r="I623" s="17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>
      <c r="A624" s="15"/>
      <c r="B624" s="16"/>
      <c r="C624" s="17"/>
      <c r="D624" s="17"/>
      <c r="E624" s="17"/>
      <c r="F624" s="10"/>
      <c r="G624" s="17"/>
      <c r="H624" s="10"/>
      <c r="I624" s="17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15"/>
      <c r="B625" s="16"/>
      <c r="C625" s="17"/>
      <c r="D625" s="17"/>
      <c r="E625" s="17"/>
      <c r="F625" s="10"/>
      <c r="G625" s="17"/>
      <c r="H625" s="10"/>
      <c r="I625" s="17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>
      <c r="A626" s="15"/>
      <c r="B626" s="16"/>
      <c r="C626" s="17"/>
      <c r="D626" s="17"/>
      <c r="E626" s="17"/>
      <c r="F626" s="10"/>
      <c r="G626" s="17"/>
      <c r="H626" s="10"/>
      <c r="I626" s="17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15"/>
      <c r="B627" s="16"/>
      <c r="C627" s="17"/>
      <c r="D627" s="17"/>
      <c r="E627" s="17"/>
      <c r="F627" s="10"/>
      <c r="G627" s="17"/>
      <c r="H627" s="10"/>
      <c r="I627" s="17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>
      <c r="A628" s="15"/>
      <c r="B628" s="16"/>
      <c r="C628" s="17"/>
      <c r="D628" s="17"/>
      <c r="E628" s="17"/>
      <c r="F628" s="10"/>
      <c r="G628" s="17"/>
      <c r="H628" s="10"/>
      <c r="I628" s="17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15"/>
      <c r="B629" s="16"/>
      <c r="C629" s="17"/>
      <c r="D629" s="17"/>
      <c r="E629" s="17"/>
      <c r="F629" s="10"/>
      <c r="G629" s="17"/>
      <c r="H629" s="10"/>
      <c r="I629" s="17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>
      <c r="A630" s="15"/>
      <c r="B630" s="16"/>
      <c r="C630" s="17"/>
      <c r="D630" s="17"/>
      <c r="E630" s="17"/>
      <c r="F630" s="10"/>
      <c r="G630" s="17"/>
      <c r="H630" s="10"/>
      <c r="I630" s="17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15"/>
      <c r="B631" s="16"/>
      <c r="C631" s="17"/>
      <c r="D631" s="17"/>
      <c r="E631" s="17"/>
      <c r="F631" s="10"/>
      <c r="G631" s="17"/>
      <c r="H631" s="10"/>
      <c r="I631" s="17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>
      <c r="A632" s="15"/>
      <c r="B632" s="16"/>
      <c r="C632" s="17"/>
      <c r="D632" s="17"/>
      <c r="E632" s="17"/>
      <c r="F632" s="10"/>
      <c r="G632" s="17"/>
      <c r="H632" s="10"/>
      <c r="I632" s="17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15"/>
      <c r="B633" s="16"/>
      <c r="C633" s="17"/>
      <c r="D633" s="17"/>
      <c r="E633" s="17"/>
      <c r="F633" s="10"/>
      <c r="G633" s="17"/>
      <c r="H633" s="10"/>
      <c r="I633" s="17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>
      <c r="A634" s="15"/>
      <c r="B634" s="16"/>
      <c r="C634" s="17"/>
      <c r="D634" s="17"/>
      <c r="E634" s="17"/>
      <c r="F634" s="10"/>
      <c r="G634" s="17"/>
      <c r="H634" s="10"/>
      <c r="I634" s="17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15"/>
      <c r="B635" s="16"/>
      <c r="C635" s="17"/>
      <c r="D635" s="17"/>
      <c r="E635" s="17"/>
      <c r="F635" s="10"/>
      <c r="G635" s="17"/>
      <c r="H635" s="10"/>
      <c r="I635" s="17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>
      <c r="A636" s="15"/>
      <c r="B636" s="16"/>
      <c r="C636" s="17"/>
      <c r="D636" s="17"/>
      <c r="E636" s="17"/>
      <c r="F636" s="10"/>
      <c r="G636" s="17"/>
      <c r="H636" s="10"/>
      <c r="I636" s="17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15"/>
      <c r="B637" s="16"/>
      <c r="C637" s="17"/>
      <c r="D637" s="17"/>
      <c r="E637" s="17"/>
      <c r="F637" s="10"/>
      <c r="G637" s="17"/>
      <c r="H637" s="10"/>
      <c r="I637" s="17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>
      <c r="A638" s="15"/>
      <c r="B638" s="16"/>
      <c r="C638" s="17"/>
      <c r="D638" s="17"/>
      <c r="E638" s="17"/>
      <c r="F638" s="10"/>
      <c r="G638" s="17"/>
      <c r="H638" s="10"/>
      <c r="I638" s="17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15"/>
      <c r="B639" s="16"/>
      <c r="C639" s="17"/>
      <c r="D639" s="17"/>
      <c r="E639" s="17"/>
      <c r="F639" s="10"/>
      <c r="G639" s="17"/>
      <c r="H639" s="10"/>
      <c r="I639" s="17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>
      <c r="A640" s="15"/>
      <c r="B640" s="16"/>
      <c r="C640" s="17"/>
      <c r="D640" s="17"/>
      <c r="E640" s="17"/>
      <c r="F640" s="10"/>
      <c r="G640" s="17"/>
      <c r="H640" s="10"/>
      <c r="I640" s="17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15"/>
      <c r="B641" s="16"/>
      <c r="C641" s="17"/>
      <c r="D641" s="17"/>
      <c r="E641" s="17"/>
      <c r="F641" s="10"/>
      <c r="G641" s="17"/>
      <c r="H641" s="10"/>
      <c r="I641" s="17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>
      <c r="A642" s="15"/>
      <c r="B642" s="16"/>
      <c r="C642" s="17"/>
      <c r="D642" s="17"/>
      <c r="E642" s="17"/>
      <c r="F642" s="10"/>
      <c r="G642" s="17"/>
      <c r="H642" s="10"/>
      <c r="I642" s="17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15"/>
      <c r="B643" s="16"/>
      <c r="C643" s="17"/>
      <c r="D643" s="17"/>
      <c r="E643" s="17"/>
      <c r="F643" s="10"/>
      <c r="G643" s="17"/>
      <c r="H643" s="10"/>
      <c r="I643" s="17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>
      <c r="A644" s="15"/>
      <c r="B644" s="16"/>
      <c r="C644" s="17"/>
      <c r="D644" s="17"/>
      <c r="E644" s="17"/>
      <c r="F644" s="10"/>
      <c r="G644" s="17"/>
      <c r="H644" s="10"/>
      <c r="I644" s="17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15"/>
      <c r="B645" s="16"/>
      <c r="C645" s="17"/>
      <c r="D645" s="17"/>
      <c r="E645" s="17"/>
      <c r="F645" s="10"/>
      <c r="G645" s="17"/>
      <c r="H645" s="10"/>
      <c r="I645" s="17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>
      <c r="A646" s="15"/>
      <c r="B646" s="16"/>
      <c r="C646" s="17"/>
      <c r="D646" s="17"/>
      <c r="E646" s="17"/>
      <c r="F646" s="10"/>
      <c r="G646" s="17"/>
      <c r="H646" s="10"/>
      <c r="I646" s="17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15"/>
      <c r="B647" s="16"/>
      <c r="C647" s="17"/>
      <c r="D647" s="17"/>
      <c r="E647" s="17"/>
      <c r="F647" s="10"/>
      <c r="G647" s="17"/>
      <c r="H647" s="10"/>
      <c r="I647" s="17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>
      <c r="A648" s="15"/>
      <c r="B648" s="16"/>
      <c r="C648" s="17"/>
      <c r="D648" s="17"/>
      <c r="E648" s="17"/>
      <c r="F648" s="10"/>
      <c r="G648" s="17"/>
      <c r="H648" s="10"/>
      <c r="I648" s="17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15"/>
      <c r="B649" s="16"/>
      <c r="C649" s="17"/>
      <c r="D649" s="17"/>
      <c r="E649" s="17"/>
      <c r="F649" s="10"/>
      <c r="G649" s="17"/>
      <c r="H649" s="10"/>
      <c r="I649" s="17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>
      <c r="A650" s="15"/>
      <c r="B650" s="16"/>
      <c r="C650" s="17"/>
      <c r="D650" s="17"/>
      <c r="E650" s="17"/>
      <c r="F650" s="10"/>
      <c r="G650" s="17"/>
      <c r="H650" s="10"/>
      <c r="I650" s="17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15"/>
      <c r="B651" s="16"/>
      <c r="C651" s="17"/>
      <c r="D651" s="17"/>
      <c r="E651" s="17"/>
      <c r="F651" s="10"/>
      <c r="G651" s="17"/>
      <c r="H651" s="10"/>
      <c r="I651" s="17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>
      <c r="A652" s="15"/>
      <c r="B652" s="16"/>
      <c r="C652" s="17"/>
      <c r="D652" s="17"/>
      <c r="E652" s="17"/>
      <c r="F652" s="10"/>
      <c r="G652" s="17"/>
      <c r="H652" s="10"/>
      <c r="I652" s="17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15"/>
      <c r="B653" s="16"/>
      <c r="C653" s="17"/>
      <c r="D653" s="17"/>
      <c r="E653" s="17"/>
      <c r="F653" s="10"/>
      <c r="G653" s="17"/>
      <c r="H653" s="10"/>
      <c r="I653" s="17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>
      <c r="A654" s="15"/>
      <c r="B654" s="16"/>
      <c r="C654" s="17"/>
      <c r="D654" s="17"/>
      <c r="E654" s="17"/>
      <c r="F654" s="10"/>
      <c r="G654" s="17"/>
      <c r="H654" s="10"/>
      <c r="I654" s="17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15"/>
      <c r="B655" s="16"/>
      <c r="C655" s="17"/>
      <c r="D655" s="17"/>
      <c r="E655" s="17"/>
      <c r="F655" s="10"/>
      <c r="G655" s="17"/>
      <c r="H655" s="10"/>
      <c r="I655" s="17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>
      <c r="A656" s="15"/>
      <c r="B656" s="16"/>
      <c r="C656" s="17"/>
      <c r="D656" s="17"/>
      <c r="E656" s="17"/>
      <c r="F656" s="10"/>
      <c r="G656" s="17"/>
      <c r="H656" s="10"/>
      <c r="I656" s="17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15"/>
      <c r="B657" s="16"/>
      <c r="C657" s="17"/>
      <c r="D657" s="17"/>
      <c r="E657" s="17"/>
      <c r="F657" s="10"/>
      <c r="G657" s="17"/>
      <c r="H657" s="10"/>
      <c r="I657" s="17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>
      <c r="A658" s="15"/>
      <c r="B658" s="16"/>
      <c r="C658" s="17"/>
      <c r="D658" s="17"/>
      <c r="E658" s="17"/>
      <c r="F658" s="10"/>
      <c r="G658" s="17"/>
      <c r="H658" s="10"/>
      <c r="I658" s="17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15"/>
      <c r="B659" s="16"/>
      <c r="C659" s="17"/>
      <c r="D659" s="17"/>
      <c r="E659" s="17"/>
      <c r="F659" s="10"/>
      <c r="G659" s="17"/>
      <c r="H659" s="10"/>
      <c r="I659" s="17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>
      <c r="A660" s="15"/>
      <c r="B660" s="16"/>
      <c r="C660" s="17"/>
      <c r="D660" s="17"/>
      <c r="E660" s="17"/>
      <c r="F660" s="10"/>
      <c r="G660" s="17"/>
      <c r="H660" s="10"/>
      <c r="I660" s="17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15"/>
      <c r="B661" s="16"/>
      <c r="C661" s="17"/>
      <c r="D661" s="17"/>
      <c r="E661" s="17"/>
      <c r="F661" s="10"/>
      <c r="G661" s="17"/>
      <c r="H661" s="10"/>
      <c r="I661" s="17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>
      <c r="A662" s="15"/>
      <c r="B662" s="16"/>
      <c r="C662" s="17"/>
      <c r="D662" s="17"/>
      <c r="E662" s="17"/>
      <c r="F662" s="10"/>
      <c r="G662" s="17"/>
      <c r="H662" s="10"/>
      <c r="I662" s="17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15"/>
      <c r="B663" s="16"/>
      <c r="C663" s="17"/>
      <c r="D663" s="17"/>
      <c r="E663" s="17"/>
      <c r="F663" s="10"/>
      <c r="G663" s="17"/>
      <c r="H663" s="10"/>
      <c r="I663" s="17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>
      <c r="A664" s="15"/>
      <c r="B664" s="16"/>
      <c r="C664" s="17"/>
      <c r="D664" s="17"/>
      <c r="E664" s="17"/>
      <c r="F664" s="10"/>
      <c r="G664" s="17"/>
      <c r="H664" s="10"/>
      <c r="I664" s="17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15"/>
      <c r="B665" s="16"/>
      <c r="C665" s="17"/>
      <c r="D665" s="17"/>
      <c r="E665" s="17"/>
      <c r="F665" s="10"/>
      <c r="G665" s="17"/>
      <c r="H665" s="10"/>
      <c r="I665" s="17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>
      <c r="A666" s="15"/>
      <c r="B666" s="16"/>
      <c r="C666" s="17"/>
      <c r="D666" s="17"/>
      <c r="E666" s="17"/>
      <c r="F666" s="10"/>
      <c r="G666" s="17"/>
      <c r="H666" s="10"/>
      <c r="I666" s="17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15"/>
      <c r="B667" s="16"/>
      <c r="C667" s="17"/>
      <c r="D667" s="17"/>
      <c r="E667" s="17"/>
      <c r="F667" s="10"/>
      <c r="G667" s="17"/>
      <c r="H667" s="10"/>
      <c r="I667" s="17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>
      <c r="A668" s="15"/>
      <c r="B668" s="16"/>
      <c r="C668" s="17"/>
      <c r="D668" s="17"/>
      <c r="E668" s="17"/>
      <c r="F668" s="10"/>
      <c r="G668" s="17"/>
      <c r="H668" s="10"/>
      <c r="I668" s="17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15"/>
      <c r="B669" s="16"/>
      <c r="C669" s="17"/>
      <c r="D669" s="17"/>
      <c r="E669" s="17"/>
      <c r="F669" s="10"/>
      <c r="G669" s="17"/>
      <c r="H669" s="10"/>
      <c r="I669" s="17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>
      <c r="A670" s="15"/>
      <c r="B670" s="16"/>
      <c r="C670" s="17"/>
      <c r="D670" s="17"/>
      <c r="E670" s="17"/>
      <c r="F670" s="10"/>
      <c r="G670" s="17"/>
      <c r="H670" s="10"/>
      <c r="I670" s="17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15"/>
      <c r="B671" s="16"/>
      <c r="C671" s="17"/>
      <c r="D671" s="17"/>
      <c r="E671" s="17"/>
      <c r="F671" s="10"/>
      <c r="G671" s="17"/>
      <c r="H671" s="10"/>
      <c r="I671" s="17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>
      <c r="A672" s="15"/>
      <c r="B672" s="16"/>
      <c r="C672" s="17"/>
      <c r="D672" s="17"/>
      <c r="E672" s="17"/>
      <c r="F672" s="10"/>
      <c r="G672" s="17"/>
      <c r="H672" s="10"/>
      <c r="I672" s="17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15"/>
      <c r="B673" s="16"/>
      <c r="C673" s="17"/>
      <c r="D673" s="17"/>
      <c r="E673" s="17"/>
      <c r="F673" s="10"/>
      <c r="G673" s="17"/>
      <c r="H673" s="10"/>
      <c r="I673" s="17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>
      <c r="A674" s="15"/>
      <c r="B674" s="16"/>
      <c r="C674" s="17"/>
      <c r="D674" s="17"/>
      <c r="E674" s="17"/>
      <c r="F674" s="10"/>
      <c r="G674" s="17"/>
      <c r="H674" s="10"/>
      <c r="I674" s="17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15"/>
      <c r="B675" s="16"/>
      <c r="C675" s="17"/>
      <c r="D675" s="17"/>
      <c r="E675" s="17"/>
      <c r="F675" s="10"/>
      <c r="G675" s="17"/>
      <c r="H675" s="10"/>
      <c r="I675" s="17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>
      <c r="A676" s="15"/>
      <c r="B676" s="16"/>
      <c r="C676" s="17"/>
      <c r="D676" s="17"/>
      <c r="E676" s="17"/>
      <c r="F676" s="10"/>
      <c r="G676" s="17"/>
      <c r="H676" s="10"/>
      <c r="I676" s="17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15"/>
      <c r="B677" s="16"/>
      <c r="C677" s="17"/>
      <c r="D677" s="17"/>
      <c r="E677" s="17"/>
      <c r="F677" s="10"/>
      <c r="G677" s="17"/>
      <c r="H677" s="10"/>
      <c r="I677" s="17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>
      <c r="A678" s="15"/>
      <c r="B678" s="16"/>
      <c r="C678" s="17"/>
      <c r="D678" s="17"/>
      <c r="E678" s="17"/>
      <c r="F678" s="10"/>
      <c r="G678" s="17"/>
      <c r="H678" s="10"/>
      <c r="I678" s="17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15"/>
      <c r="B679" s="16"/>
      <c r="C679" s="17"/>
      <c r="D679" s="17"/>
      <c r="E679" s="17"/>
      <c r="F679" s="10"/>
      <c r="G679" s="17"/>
      <c r="H679" s="10"/>
      <c r="I679" s="17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>
      <c r="A680" s="15"/>
      <c r="B680" s="16"/>
      <c r="C680" s="17"/>
      <c r="D680" s="17"/>
      <c r="E680" s="17"/>
      <c r="F680" s="10"/>
      <c r="G680" s="17"/>
      <c r="H680" s="10"/>
      <c r="I680" s="17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15"/>
      <c r="B681" s="16"/>
      <c r="C681" s="17"/>
      <c r="D681" s="17"/>
      <c r="E681" s="17"/>
      <c r="F681" s="10"/>
      <c r="G681" s="17"/>
      <c r="H681" s="10"/>
      <c r="I681" s="17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>
      <c r="A682" s="15"/>
      <c r="B682" s="16"/>
      <c r="C682" s="17"/>
      <c r="D682" s="17"/>
      <c r="E682" s="17"/>
      <c r="F682" s="10"/>
      <c r="G682" s="17"/>
      <c r="H682" s="10"/>
      <c r="I682" s="17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15"/>
      <c r="B683" s="16"/>
      <c r="C683" s="17"/>
      <c r="D683" s="17"/>
      <c r="E683" s="17"/>
      <c r="F683" s="10"/>
      <c r="G683" s="17"/>
      <c r="H683" s="10"/>
      <c r="I683" s="17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>
      <c r="A684" s="15"/>
      <c r="B684" s="16"/>
      <c r="C684" s="17"/>
      <c r="D684" s="17"/>
      <c r="E684" s="17"/>
      <c r="F684" s="10"/>
      <c r="G684" s="17"/>
      <c r="H684" s="10"/>
      <c r="I684" s="17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15"/>
      <c r="B685" s="16"/>
      <c r="C685" s="17"/>
      <c r="D685" s="17"/>
      <c r="E685" s="17"/>
      <c r="F685" s="10"/>
      <c r="G685" s="17"/>
      <c r="H685" s="10"/>
      <c r="I685" s="17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>
      <c r="A686" s="15"/>
      <c r="B686" s="16"/>
      <c r="C686" s="17"/>
      <c r="D686" s="17"/>
      <c r="E686" s="17"/>
      <c r="F686" s="10"/>
      <c r="G686" s="17"/>
      <c r="H686" s="10"/>
      <c r="I686" s="17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15"/>
      <c r="B687" s="16"/>
      <c r="C687" s="17"/>
      <c r="D687" s="17"/>
      <c r="E687" s="17"/>
      <c r="F687" s="10"/>
      <c r="G687" s="17"/>
      <c r="H687" s="10"/>
      <c r="I687" s="17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>
      <c r="A688" s="15"/>
      <c r="B688" s="16"/>
      <c r="C688" s="17"/>
      <c r="D688" s="17"/>
      <c r="E688" s="17"/>
      <c r="F688" s="10"/>
      <c r="G688" s="17"/>
      <c r="H688" s="10"/>
      <c r="I688" s="17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15"/>
      <c r="B689" s="16"/>
      <c r="C689" s="17"/>
      <c r="D689" s="17"/>
      <c r="E689" s="17"/>
      <c r="F689" s="10"/>
      <c r="G689" s="17"/>
      <c r="H689" s="10"/>
      <c r="I689" s="17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>
      <c r="A690" s="15"/>
      <c r="B690" s="16"/>
      <c r="C690" s="17"/>
      <c r="D690" s="17"/>
      <c r="E690" s="17"/>
      <c r="F690" s="10"/>
      <c r="G690" s="17"/>
      <c r="H690" s="10"/>
      <c r="I690" s="17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15"/>
      <c r="B691" s="16"/>
      <c r="C691" s="17"/>
      <c r="D691" s="17"/>
      <c r="E691" s="17"/>
      <c r="F691" s="10"/>
      <c r="G691" s="17"/>
      <c r="H691" s="10"/>
      <c r="I691" s="17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>
      <c r="A692" s="15"/>
      <c r="B692" s="16"/>
      <c r="C692" s="17"/>
      <c r="D692" s="17"/>
      <c r="E692" s="17"/>
      <c r="F692" s="10"/>
      <c r="G692" s="17"/>
      <c r="H692" s="10"/>
      <c r="I692" s="17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15"/>
      <c r="B693" s="16"/>
      <c r="C693" s="17"/>
      <c r="D693" s="17"/>
      <c r="E693" s="17"/>
      <c r="F693" s="10"/>
      <c r="G693" s="17"/>
      <c r="H693" s="10"/>
      <c r="I693" s="17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>
      <c r="A694" s="15"/>
      <c r="B694" s="16"/>
      <c r="C694" s="17"/>
      <c r="D694" s="17"/>
      <c r="E694" s="17"/>
      <c r="F694" s="10"/>
      <c r="G694" s="17"/>
      <c r="H694" s="10"/>
      <c r="I694" s="17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15"/>
      <c r="B695" s="16"/>
      <c r="C695" s="17"/>
      <c r="D695" s="17"/>
      <c r="E695" s="17"/>
      <c r="F695" s="10"/>
      <c r="G695" s="17"/>
      <c r="H695" s="10"/>
      <c r="I695" s="17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>
      <c r="A696" s="15"/>
      <c r="B696" s="16"/>
      <c r="C696" s="17"/>
      <c r="D696" s="17"/>
      <c r="E696" s="17"/>
      <c r="F696" s="10"/>
      <c r="G696" s="17"/>
      <c r="H696" s="10"/>
      <c r="I696" s="17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15"/>
      <c r="B697" s="16"/>
      <c r="C697" s="17"/>
      <c r="D697" s="17"/>
      <c r="E697" s="17"/>
      <c r="F697" s="10"/>
      <c r="G697" s="17"/>
      <c r="H697" s="10"/>
      <c r="I697" s="17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>
      <c r="A698" s="15"/>
      <c r="B698" s="16"/>
      <c r="C698" s="17"/>
      <c r="D698" s="17"/>
      <c r="E698" s="17"/>
      <c r="F698" s="10"/>
      <c r="G698" s="17"/>
      <c r="H698" s="10"/>
      <c r="I698" s="17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15"/>
      <c r="B699" s="16"/>
      <c r="C699" s="17"/>
      <c r="D699" s="17"/>
      <c r="E699" s="17"/>
      <c r="F699" s="10"/>
      <c r="G699" s="17"/>
      <c r="H699" s="10"/>
      <c r="I699" s="17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>
      <c r="A700" s="15"/>
      <c r="B700" s="16"/>
      <c r="C700" s="17"/>
      <c r="D700" s="17"/>
      <c r="E700" s="17"/>
      <c r="F700" s="10"/>
      <c r="G700" s="17"/>
      <c r="H700" s="10"/>
      <c r="I700" s="17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15"/>
      <c r="B701" s="16"/>
      <c r="C701" s="17"/>
      <c r="D701" s="17"/>
      <c r="E701" s="17"/>
      <c r="F701" s="10"/>
      <c r="G701" s="17"/>
      <c r="H701" s="10"/>
      <c r="I701" s="17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>
      <c r="A702" s="15"/>
      <c r="B702" s="16"/>
      <c r="C702" s="17"/>
      <c r="D702" s="17"/>
      <c r="E702" s="17"/>
      <c r="F702" s="10"/>
      <c r="G702" s="17"/>
      <c r="H702" s="10"/>
      <c r="I702" s="17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15"/>
      <c r="B703" s="16"/>
      <c r="C703" s="17"/>
      <c r="D703" s="17"/>
      <c r="E703" s="17"/>
      <c r="F703" s="10"/>
      <c r="G703" s="17"/>
      <c r="H703" s="10"/>
      <c r="I703" s="17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>
      <c r="A704" s="15"/>
      <c r="B704" s="16"/>
      <c r="C704" s="17"/>
      <c r="D704" s="17"/>
      <c r="E704" s="17"/>
      <c r="F704" s="10"/>
      <c r="G704" s="17"/>
      <c r="H704" s="10"/>
      <c r="I704" s="17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15"/>
      <c r="B705" s="16"/>
      <c r="C705" s="17"/>
      <c r="D705" s="17"/>
      <c r="E705" s="17"/>
      <c r="F705" s="10"/>
      <c r="G705" s="17"/>
      <c r="H705" s="10"/>
      <c r="I705" s="17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>
      <c r="A706" s="15"/>
      <c r="B706" s="16"/>
      <c r="C706" s="17"/>
      <c r="D706" s="17"/>
      <c r="E706" s="17"/>
      <c r="F706" s="10"/>
      <c r="G706" s="17"/>
      <c r="H706" s="10"/>
      <c r="I706" s="17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15"/>
      <c r="B707" s="16"/>
      <c r="C707" s="17"/>
      <c r="D707" s="17"/>
      <c r="E707" s="17"/>
      <c r="F707" s="10"/>
      <c r="G707" s="17"/>
      <c r="H707" s="10"/>
      <c r="I707" s="17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>
      <c r="A708" s="15"/>
      <c r="B708" s="16"/>
      <c r="C708" s="17"/>
      <c r="D708" s="17"/>
      <c r="E708" s="17"/>
      <c r="F708" s="10"/>
      <c r="G708" s="17"/>
      <c r="H708" s="10"/>
      <c r="I708" s="17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15"/>
      <c r="B709" s="16"/>
      <c r="C709" s="17"/>
      <c r="D709" s="17"/>
      <c r="E709" s="17"/>
      <c r="F709" s="10"/>
      <c r="G709" s="17"/>
      <c r="H709" s="10"/>
      <c r="I709" s="17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>
      <c r="A710" s="15"/>
      <c r="B710" s="16"/>
      <c r="C710" s="17"/>
      <c r="D710" s="17"/>
      <c r="E710" s="17"/>
      <c r="F710" s="10"/>
      <c r="G710" s="17"/>
      <c r="H710" s="10"/>
      <c r="I710" s="17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15"/>
      <c r="B711" s="16"/>
      <c r="C711" s="17"/>
      <c r="D711" s="17"/>
      <c r="E711" s="17"/>
      <c r="F711" s="10"/>
      <c r="G711" s="17"/>
      <c r="H711" s="10"/>
      <c r="I711" s="17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>
      <c r="A712" s="15"/>
      <c r="B712" s="16"/>
      <c r="C712" s="17"/>
      <c r="D712" s="17"/>
      <c r="E712" s="17"/>
      <c r="F712" s="10"/>
      <c r="G712" s="17"/>
      <c r="H712" s="10"/>
      <c r="I712" s="17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15"/>
      <c r="B713" s="16"/>
      <c r="C713" s="17"/>
      <c r="D713" s="17"/>
      <c r="E713" s="17"/>
      <c r="F713" s="10"/>
      <c r="G713" s="17"/>
      <c r="H713" s="10"/>
      <c r="I713" s="17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>
      <c r="A714" s="15"/>
      <c r="B714" s="16"/>
      <c r="C714" s="17"/>
      <c r="D714" s="17"/>
      <c r="E714" s="17"/>
      <c r="F714" s="10"/>
      <c r="G714" s="17"/>
      <c r="H714" s="10"/>
      <c r="I714" s="17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15"/>
      <c r="B715" s="16"/>
      <c r="C715" s="17"/>
      <c r="D715" s="17"/>
      <c r="E715" s="17"/>
      <c r="F715" s="10"/>
      <c r="G715" s="17"/>
      <c r="H715" s="10"/>
      <c r="I715" s="17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>
      <c r="A716" s="15"/>
      <c r="B716" s="16"/>
      <c r="C716" s="17"/>
      <c r="D716" s="17"/>
      <c r="E716" s="17"/>
      <c r="F716" s="10"/>
      <c r="G716" s="17"/>
      <c r="H716" s="10"/>
      <c r="I716" s="17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15"/>
      <c r="B717" s="16"/>
      <c r="C717" s="17"/>
      <c r="D717" s="17"/>
      <c r="E717" s="17"/>
      <c r="F717" s="10"/>
      <c r="G717" s="17"/>
      <c r="H717" s="10"/>
      <c r="I717" s="17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>
      <c r="A718" s="15"/>
      <c r="B718" s="16"/>
      <c r="C718" s="17"/>
      <c r="D718" s="17"/>
      <c r="E718" s="17"/>
      <c r="F718" s="10"/>
      <c r="G718" s="17"/>
      <c r="H718" s="10"/>
      <c r="I718" s="17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15"/>
      <c r="B719" s="16"/>
      <c r="C719" s="17"/>
      <c r="D719" s="17"/>
      <c r="E719" s="17"/>
      <c r="F719" s="10"/>
      <c r="G719" s="17"/>
      <c r="H719" s="10"/>
      <c r="I719" s="17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>
      <c r="A720" s="15"/>
      <c r="B720" s="16"/>
      <c r="C720" s="17"/>
      <c r="D720" s="17"/>
      <c r="E720" s="17"/>
      <c r="F720" s="10"/>
      <c r="G720" s="17"/>
      <c r="H720" s="10"/>
      <c r="I720" s="17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15"/>
      <c r="B721" s="16"/>
      <c r="C721" s="17"/>
      <c r="D721" s="17"/>
      <c r="E721" s="17"/>
      <c r="F721" s="10"/>
      <c r="G721" s="17"/>
      <c r="H721" s="10"/>
      <c r="I721" s="17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>
      <c r="A722" s="15"/>
      <c r="B722" s="16"/>
      <c r="C722" s="17"/>
      <c r="D722" s="17"/>
      <c r="E722" s="17"/>
      <c r="F722" s="10"/>
      <c r="G722" s="17"/>
      <c r="H722" s="10"/>
      <c r="I722" s="17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15"/>
      <c r="B723" s="16"/>
      <c r="C723" s="17"/>
      <c r="D723" s="17"/>
      <c r="E723" s="17"/>
      <c r="F723" s="10"/>
      <c r="G723" s="17"/>
      <c r="H723" s="10"/>
      <c r="I723" s="17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>
      <c r="A724" s="15"/>
      <c r="B724" s="16"/>
      <c r="C724" s="17"/>
      <c r="D724" s="17"/>
      <c r="E724" s="17"/>
      <c r="F724" s="10"/>
      <c r="G724" s="17"/>
      <c r="H724" s="10"/>
      <c r="I724" s="17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15"/>
      <c r="B725" s="16"/>
      <c r="C725" s="17"/>
      <c r="D725" s="17"/>
      <c r="E725" s="17"/>
      <c r="F725" s="10"/>
      <c r="G725" s="17"/>
      <c r="H725" s="10"/>
      <c r="I725" s="17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>
      <c r="A726" s="15"/>
      <c r="B726" s="16"/>
      <c r="C726" s="17"/>
      <c r="D726" s="17"/>
      <c r="E726" s="17"/>
      <c r="F726" s="10"/>
      <c r="G726" s="17"/>
      <c r="H726" s="10"/>
      <c r="I726" s="17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15"/>
      <c r="B727" s="16"/>
      <c r="C727" s="17"/>
      <c r="D727" s="17"/>
      <c r="E727" s="17"/>
      <c r="F727" s="10"/>
      <c r="G727" s="17"/>
      <c r="H727" s="10"/>
      <c r="I727" s="17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>
      <c r="A728" s="15"/>
      <c r="B728" s="16"/>
      <c r="C728" s="17"/>
      <c r="D728" s="17"/>
      <c r="E728" s="17"/>
      <c r="F728" s="10"/>
      <c r="G728" s="17"/>
      <c r="H728" s="10"/>
      <c r="I728" s="17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15"/>
      <c r="B729" s="16"/>
      <c r="C729" s="17"/>
      <c r="D729" s="17"/>
      <c r="E729" s="17"/>
      <c r="F729" s="10"/>
      <c r="G729" s="17"/>
      <c r="H729" s="10"/>
      <c r="I729" s="17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>
      <c r="A730" s="15"/>
      <c r="B730" s="16"/>
      <c r="C730" s="17"/>
      <c r="D730" s="17"/>
      <c r="E730" s="17"/>
      <c r="F730" s="10"/>
      <c r="G730" s="17"/>
      <c r="H730" s="10"/>
      <c r="I730" s="17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15"/>
      <c r="B731" s="16"/>
      <c r="C731" s="17"/>
      <c r="D731" s="17"/>
      <c r="E731" s="17"/>
      <c r="F731" s="10"/>
      <c r="G731" s="17"/>
      <c r="H731" s="10"/>
      <c r="I731" s="17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>
      <c r="A732" s="15"/>
      <c r="B732" s="16"/>
      <c r="C732" s="17"/>
      <c r="D732" s="17"/>
      <c r="E732" s="17"/>
      <c r="F732" s="10"/>
      <c r="G732" s="17"/>
      <c r="H732" s="10"/>
      <c r="I732" s="17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15"/>
      <c r="B733" s="16"/>
      <c r="C733" s="17"/>
      <c r="D733" s="17"/>
      <c r="E733" s="17"/>
      <c r="F733" s="10"/>
      <c r="G733" s="17"/>
      <c r="H733" s="10"/>
      <c r="I733" s="17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>
      <c r="A734" s="15"/>
      <c r="B734" s="16"/>
      <c r="C734" s="17"/>
      <c r="D734" s="17"/>
      <c r="E734" s="17"/>
      <c r="F734" s="10"/>
      <c r="G734" s="17"/>
      <c r="H734" s="10"/>
      <c r="I734" s="17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15"/>
      <c r="B735" s="16"/>
      <c r="C735" s="17"/>
      <c r="D735" s="17"/>
      <c r="E735" s="17"/>
      <c r="F735" s="10"/>
      <c r="G735" s="17"/>
      <c r="H735" s="10"/>
      <c r="I735" s="17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>
      <c r="A736" s="15"/>
      <c r="B736" s="16"/>
      <c r="C736" s="17"/>
      <c r="D736" s="17"/>
      <c r="E736" s="17"/>
      <c r="F736" s="10"/>
      <c r="G736" s="17"/>
      <c r="H736" s="10"/>
      <c r="I736" s="17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15"/>
      <c r="B737" s="16"/>
      <c r="C737" s="17"/>
      <c r="D737" s="17"/>
      <c r="E737" s="17"/>
      <c r="F737" s="10"/>
      <c r="G737" s="17"/>
      <c r="H737" s="10"/>
      <c r="I737" s="17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>
      <c r="A738" s="15"/>
      <c r="B738" s="16"/>
      <c r="C738" s="17"/>
      <c r="D738" s="17"/>
      <c r="E738" s="17"/>
      <c r="F738" s="10"/>
      <c r="G738" s="17"/>
      <c r="H738" s="10"/>
      <c r="I738" s="17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15"/>
      <c r="B739" s="16"/>
      <c r="C739" s="17"/>
      <c r="D739" s="17"/>
      <c r="E739" s="17"/>
      <c r="F739" s="10"/>
      <c r="G739" s="17"/>
      <c r="H739" s="10"/>
      <c r="I739" s="17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>
      <c r="A740" s="15"/>
      <c r="B740" s="16"/>
      <c r="C740" s="17"/>
      <c r="D740" s="17"/>
      <c r="E740" s="17"/>
      <c r="F740" s="10"/>
      <c r="G740" s="17"/>
      <c r="H740" s="10"/>
      <c r="I740" s="17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15"/>
      <c r="B741" s="16"/>
      <c r="C741" s="17"/>
      <c r="D741" s="17"/>
      <c r="E741" s="17"/>
      <c r="F741" s="10"/>
      <c r="G741" s="17"/>
      <c r="H741" s="10"/>
      <c r="I741" s="17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>
      <c r="A742" s="15"/>
      <c r="B742" s="16"/>
      <c r="C742" s="17"/>
      <c r="D742" s="17"/>
      <c r="E742" s="17"/>
      <c r="F742" s="10"/>
      <c r="G742" s="17"/>
      <c r="H742" s="10"/>
      <c r="I742" s="17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15"/>
      <c r="B743" s="16"/>
      <c r="C743" s="17"/>
      <c r="D743" s="17"/>
      <c r="E743" s="17"/>
      <c r="F743" s="10"/>
      <c r="G743" s="17"/>
      <c r="H743" s="10"/>
      <c r="I743" s="17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>
      <c r="A744" s="15"/>
      <c r="B744" s="16"/>
      <c r="C744" s="17"/>
      <c r="D744" s="17"/>
      <c r="E744" s="17"/>
      <c r="F744" s="10"/>
      <c r="G744" s="17"/>
      <c r="H744" s="10"/>
      <c r="I744" s="17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15"/>
      <c r="B745" s="16"/>
      <c r="C745" s="17"/>
      <c r="D745" s="17"/>
      <c r="E745" s="17"/>
      <c r="F745" s="10"/>
      <c r="G745" s="17"/>
      <c r="H745" s="10"/>
      <c r="I745" s="17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>
      <c r="A746" s="15"/>
      <c r="B746" s="16"/>
      <c r="C746" s="17"/>
      <c r="D746" s="17"/>
      <c r="E746" s="17"/>
      <c r="F746" s="10"/>
      <c r="G746" s="17"/>
      <c r="H746" s="10"/>
      <c r="I746" s="17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15"/>
      <c r="B747" s="16"/>
      <c r="C747" s="17"/>
      <c r="D747" s="17"/>
      <c r="E747" s="17"/>
      <c r="F747" s="10"/>
      <c r="G747" s="17"/>
      <c r="H747" s="10"/>
      <c r="I747" s="17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>
      <c r="A748" s="15"/>
      <c r="B748" s="16"/>
      <c r="C748" s="17"/>
      <c r="D748" s="17"/>
      <c r="E748" s="17"/>
      <c r="F748" s="10"/>
      <c r="G748" s="17"/>
      <c r="H748" s="10"/>
      <c r="I748" s="17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15"/>
      <c r="B749" s="16"/>
      <c r="C749" s="17"/>
      <c r="D749" s="17"/>
      <c r="E749" s="17"/>
      <c r="F749" s="10"/>
      <c r="G749" s="17"/>
      <c r="H749" s="10"/>
      <c r="I749" s="17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>
      <c r="A750" s="15"/>
      <c r="B750" s="16"/>
      <c r="C750" s="17"/>
      <c r="D750" s="17"/>
      <c r="E750" s="17"/>
      <c r="F750" s="10"/>
      <c r="G750" s="17"/>
      <c r="H750" s="10"/>
      <c r="I750" s="17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15"/>
      <c r="B751" s="16"/>
      <c r="C751" s="17"/>
      <c r="D751" s="17"/>
      <c r="E751" s="17"/>
      <c r="F751" s="10"/>
      <c r="G751" s="17"/>
      <c r="H751" s="10"/>
      <c r="I751" s="17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>
      <c r="A752" s="15"/>
      <c r="B752" s="16"/>
      <c r="C752" s="17"/>
      <c r="D752" s="17"/>
      <c r="E752" s="17"/>
      <c r="F752" s="10"/>
      <c r="G752" s="17"/>
      <c r="H752" s="10"/>
      <c r="I752" s="17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15"/>
      <c r="B753" s="16"/>
      <c r="C753" s="17"/>
      <c r="D753" s="17"/>
      <c r="E753" s="17"/>
      <c r="F753" s="10"/>
      <c r="G753" s="17"/>
      <c r="H753" s="10"/>
      <c r="I753" s="17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>
      <c r="A754" s="15"/>
      <c r="B754" s="16"/>
      <c r="C754" s="17"/>
      <c r="D754" s="17"/>
      <c r="E754" s="17"/>
      <c r="F754" s="10"/>
      <c r="G754" s="17"/>
      <c r="H754" s="10"/>
      <c r="I754" s="17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15"/>
      <c r="B755" s="16"/>
      <c r="C755" s="17"/>
      <c r="D755" s="17"/>
      <c r="E755" s="17"/>
      <c r="F755" s="10"/>
      <c r="G755" s="17"/>
      <c r="H755" s="10"/>
      <c r="I755" s="17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>
      <c r="A756" s="15"/>
      <c r="B756" s="16"/>
      <c r="C756" s="17"/>
      <c r="D756" s="17"/>
      <c r="E756" s="17"/>
      <c r="F756" s="10"/>
      <c r="G756" s="17"/>
      <c r="H756" s="10"/>
      <c r="I756" s="17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15"/>
      <c r="B757" s="16"/>
      <c r="C757" s="17"/>
      <c r="D757" s="17"/>
      <c r="E757" s="17"/>
      <c r="F757" s="10"/>
      <c r="G757" s="17"/>
      <c r="H757" s="10"/>
      <c r="I757" s="17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>
      <c r="A758" s="15"/>
      <c r="B758" s="16"/>
      <c r="C758" s="17"/>
      <c r="D758" s="17"/>
      <c r="E758" s="17"/>
      <c r="F758" s="10"/>
      <c r="G758" s="17"/>
      <c r="H758" s="10"/>
      <c r="I758" s="17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15"/>
      <c r="B759" s="16"/>
      <c r="C759" s="17"/>
      <c r="D759" s="17"/>
      <c r="E759" s="17"/>
      <c r="F759" s="10"/>
      <c r="G759" s="17"/>
      <c r="H759" s="10"/>
      <c r="I759" s="17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>
      <c r="A760" s="15"/>
      <c r="B760" s="16"/>
      <c r="C760" s="17"/>
      <c r="D760" s="17"/>
      <c r="E760" s="17"/>
      <c r="F760" s="10"/>
      <c r="G760" s="17"/>
      <c r="H760" s="10"/>
      <c r="I760" s="17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15"/>
      <c r="B761" s="16"/>
      <c r="C761" s="17"/>
      <c r="D761" s="17"/>
      <c r="E761" s="17"/>
      <c r="F761" s="10"/>
      <c r="G761" s="17"/>
      <c r="H761" s="10"/>
      <c r="I761" s="17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>
      <c r="A762" s="15"/>
      <c r="B762" s="16"/>
      <c r="C762" s="17"/>
      <c r="D762" s="17"/>
      <c r="E762" s="17"/>
      <c r="F762" s="10"/>
      <c r="G762" s="17"/>
      <c r="H762" s="10"/>
      <c r="I762" s="17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15"/>
      <c r="B763" s="16"/>
      <c r="C763" s="17"/>
      <c r="D763" s="17"/>
      <c r="E763" s="17"/>
      <c r="F763" s="10"/>
      <c r="G763" s="17"/>
      <c r="H763" s="10"/>
      <c r="I763" s="17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>
      <c r="A764" s="15"/>
      <c r="B764" s="16"/>
      <c r="C764" s="17"/>
      <c r="D764" s="17"/>
      <c r="E764" s="17"/>
      <c r="F764" s="10"/>
      <c r="G764" s="17"/>
      <c r="H764" s="10"/>
      <c r="I764" s="17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15"/>
      <c r="B765" s="16"/>
      <c r="C765" s="17"/>
      <c r="D765" s="17"/>
      <c r="E765" s="17"/>
      <c r="F765" s="10"/>
      <c r="G765" s="17"/>
      <c r="H765" s="10"/>
      <c r="I765" s="17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>
      <c r="A766" s="15"/>
      <c r="B766" s="16"/>
      <c r="C766" s="17"/>
      <c r="D766" s="17"/>
      <c r="E766" s="17"/>
      <c r="F766" s="10"/>
      <c r="G766" s="17"/>
      <c r="H766" s="10"/>
      <c r="I766" s="17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15"/>
      <c r="B767" s="16"/>
      <c r="C767" s="17"/>
      <c r="D767" s="17"/>
      <c r="E767" s="17"/>
      <c r="F767" s="10"/>
      <c r="G767" s="17"/>
      <c r="H767" s="10"/>
      <c r="I767" s="17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>
      <c r="A768" s="15"/>
      <c r="B768" s="16"/>
      <c r="C768" s="17"/>
      <c r="D768" s="17"/>
      <c r="E768" s="17"/>
      <c r="F768" s="10"/>
      <c r="G768" s="17"/>
      <c r="H768" s="10"/>
      <c r="I768" s="17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15"/>
      <c r="B769" s="16"/>
      <c r="C769" s="17"/>
      <c r="D769" s="17"/>
      <c r="E769" s="17"/>
      <c r="F769" s="10"/>
      <c r="G769" s="17"/>
      <c r="H769" s="10"/>
      <c r="I769" s="17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>
      <c r="A770" s="15"/>
      <c r="B770" s="16"/>
      <c r="C770" s="17"/>
      <c r="D770" s="17"/>
      <c r="E770" s="17"/>
      <c r="F770" s="10"/>
      <c r="G770" s="17"/>
      <c r="H770" s="10"/>
      <c r="I770" s="17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15"/>
      <c r="B771" s="16"/>
      <c r="C771" s="17"/>
      <c r="D771" s="17"/>
      <c r="E771" s="17"/>
      <c r="F771" s="10"/>
      <c r="G771" s="17"/>
      <c r="H771" s="10"/>
      <c r="I771" s="17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>
      <c r="A772" s="15"/>
      <c r="B772" s="16"/>
      <c r="C772" s="17"/>
      <c r="D772" s="17"/>
      <c r="E772" s="17"/>
      <c r="F772" s="10"/>
      <c r="G772" s="17"/>
      <c r="H772" s="10"/>
      <c r="I772" s="17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15"/>
      <c r="B773" s="16"/>
      <c r="C773" s="17"/>
      <c r="D773" s="17"/>
      <c r="E773" s="17"/>
      <c r="F773" s="10"/>
      <c r="G773" s="17"/>
      <c r="H773" s="10"/>
      <c r="I773" s="17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>
      <c r="A774" s="15"/>
      <c r="B774" s="16"/>
      <c r="C774" s="17"/>
      <c r="D774" s="17"/>
      <c r="E774" s="17"/>
      <c r="F774" s="10"/>
      <c r="G774" s="17"/>
      <c r="H774" s="10"/>
      <c r="I774" s="17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15"/>
      <c r="B775" s="16"/>
      <c r="C775" s="17"/>
      <c r="D775" s="17"/>
      <c r="E775" s="17"/>
      <c r="F775" s="10"/>
      <c r="G775" s="17"/>
      <c r="H775" s="10"/>
      <c r="I775" s="17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>
      <c r="A776" s="15"/>
      <c r="B776" s="16"/>
      <c r="C776" s="17"/>
      <c r="D776" s="17"/>
      <c r="E776" s="17"/>
      <c r="F776" s="10"/>
      <c r="G776" s="17"/>
      <c r="H776" s="10"/>
      <c r="I776" s="17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15"/>
      <c r="B777" s="16"/>
      <c r="C777" s="17"/>
      <c r="D777" s="17"/>
      <c r="E777" s="17"/>
      <c r="F777" s="10"/>
      <c r="G777" s="17"/>
      <c r="H777" s="10"/>
      <c r="I777" s="17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>
      <c r="A778" s="15"/>
      <c r="B778" s="16"/>
      <c r="C778" s="17"/>
      <c r="D778" s="17"/>
      <c r="E778" s="17"/>
      <c r="F778" s="10"/>
      <c r="G778" s="17"/>
      <c r="H778" s="10"/>
      <c r="I778" s="17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15"/>
      <c r="B779" s="16"/>
      <c r="C779" s="17"/>
      <c r="D779" s="17"/>
      <c r="E779" s="17"/>
      <c r="F779" s="10"/>
      <c r="G779" s="17"/>
      <c r="H779" s="10"/>
      <c r="I779" s="17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>
      <c r="A780" s="15"/>
      <c r="B780" s="16"/>
      <c r="C780" s="17"/>
      <c r="D780" s="17"/>
      <c r="E780" s="17"/>
      <c r="F780" s="10"/>
      <c r="G780" s="17"/>
      <c r="H780" s="10"/>
      <c r="I780" s="17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15"/>
      <c r="B781" s="16"/>
      <c r="C781" s="17"/>
      <c r="D781" s="17"/>
      <c r="E781" s="17"/>
      <c r="F781" s="10"/>
      <c r="G781" s="17"/>
      <c r="H781" s="10"/>
      <c r="I781" s="17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>
      <c r="A782" s="15"/>
      <c r="B782" s="16"/>
      <c r="C782" s="17"/>
      <c r="D782" s="17"/>
      <c r="E782" s="17"/>
      <c r="F782" s="10"/>
      <c r="G782" s="17"/>
      <c r="H782" s="10"/>
      <c r="I782" s="17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15"/>
      <c r="B783" s="16"/>
      <c r="C783" s="17"/>
      <c r="D783" s="17"/>
      <c r="E783" s="17"/>
      <c r="F783" s="10"/>
      <c r="G783" s="17"/>
      <c r="H783" s="10"/>
      <c r="I783" s="17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>
      <c r="A784" s="15"/>
      <c r="B784" s="16"/>
      <c r="C784" s="17"/>
      <c r="D784" s="17"/>
      <c r="E784" s="17"/>
      <c r="F784" s="10"/>
      <c r="G784" s="17"/>
      <c r="H784" s="10"/>
      <c r="I784" s="17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15"/>
      <c r="B785" s="16"/>
      <c r="C785" s="17"/>
      <c r="D785" s="17"/>
      <c r="E785" s="17"/>
      <c r="F785" s="10"/>
      <c r="G785" s="17"/>
      <c r="H785" s="10"/>
      <c r="I785" s="17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>
      <c r="A786" s="15"/>
      <c r="B786" s="16"/>
      <c r="C786" s="17"/>
      <c r="D786" s="17"/>
      <c r="E786" s="17"/>
      <c r="F786" s="10"/>
      <c r="G786" s="17"/>
      <c r="H786" s="10"/>
      <c r="I786" s="17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15"/>
      <c r="B787" s="16"/>
      <c r="C787" s="17"/>
      <c r="D787" s="17"/>
      <c r="E787" s="17"/>
      <c r="F787" s="10"/>
      <c r="G787" s="17"/>
      <c r="H787" s="10"/>
      <c r="I787" s="17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>
      <c r="A788" s="15"/>
      <c r="B788" s="16"/>
      <c r="C788" s="17"/>
      <c r="D788" s="17"/>
      <c r="E788" s="17"/>
      <c r="F788" s="10"/>
      <c r="G788" s="17"/>
      <c r="H788" s="10"/>
      <c r="I788" s="17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15"/>
      <c r="B789" s="16"/>
      <c r="C789" s="17"/>
      <c r="D789" s="17"/>
      <c r="E789" s="17"/>
      <c r="F789" s="10"/>
      <c r="G789" s="17"/>
      <c r="H789" s="10"/>
      <c r="I789" s="17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>
      <c r="A790" s="15"/>
      <c r="B790" s="16"/>
      <c r="C790" s="17"/>
      <c r="D790" s="17"/>
      <c r="E790" s="17"/>
      <c r="F790" s="10"/>
      <c r="G790" s="17"/>
      <c r="H790" s="10"/>
      <c r="I790" s="17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15"/>
      <c r="B791" s="16"/>
      <c r="C791" s="17"/>
      <c r="D791" s="17"/>
      <c r="E791" s="17"/>
      <c r="F791" s="10"/>
      <c r="G791" s="17"/>
      <c r="H791" s="10"/>
      <c r="I791" s="17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>
      <c r="A792" s="15"/>
      <c r="B792" s="16"/>
      <c r="C792" s="17"/>
      <c r="D792" s="17"/>
      <c r="E792" s="17"/>
      <c r="F792" s="10"/>
      <c r="G792" s="17"/>
      <c r="H792" s="10"/>
      <c r="I792" s="17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15"/>
      <c r="B793" s="16"/>
      <c r="C793" s="17"/>
      <c r="D793" s="17"/>
      <c r="E793" s="17"/>
      <c r="F793" s="10"/>
      <c r="G793" s="17"/>
      <c r="H793" s="10"/>
      <c r="I793" s="17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>
      <c r="A794" s="15"/>
      <c r="B794" s="16"/>
      <c r="C794" s="17"/>
      <c r="D794" s="17"/>
      <c r="E794" s="17"/>
      <c r="F794" s="10"/>
      <c r="G794" s="17"/>
      <c r="H794" s="10"/>
      <c r="I794" s="17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15"/>
      <c r="B795" s="16"/>
      <c r="C795" s="17"/>
      <c r="D795" s="17"/>
      <c r="E795" s="17"/>
      <c r="F795" s="10"/>
      <c r="G795" s="17"/>
      <c r="H795" s="10"/>
      <c r="I795" s="17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>
      <c r="A796" s="15"/>
      <c r="B796" s="16"/>
      <c r="C796" s="17"/>
      <c r="D796" s="17"/>
      <c r="E796" s="17"/>
      <c r="F796" s="10"/>
      <c r="G796" s="17"/>
      <c r="H796" s="10"/>
      <c r="I796" s="17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15"/>
      <c r="B797" s="16"/>
      <c r="C797" s="17"/>
      <c r="D797" s="17"/>
      <c r="E797" s="17"/>
      <c r="F797" s="10"/>
      <c r="G797" s="17"/>
      <c r="H797" s="10"/>
      <c r="I797" s="17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>
      <c r="A798" s="15"/>
      <c r="B798" s="16"/>
      <c r="C798" s="17"/>
      <c r="D798" s="17"/>
      <c r="E798" s="17"/>
      <c r="F798" s="10"/>
      <c r="G798" s="17"/>
      <c r="H798" s="10"/>
      <c r="I798" s="17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15"/>
      <c r="B799" s="16"/>
      <c r="C799" s="17"/>
      <c r="D799" s="17"/>
      <c r="E799" s="17"/>
      <c r="F799" s="10"/>
      <c r="G799" s="17"/>
      <c r="H799" s="10"/>
      <c r="I799" s="17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>
      <c r="A800" s="15"/>
      <c r="B800" s="16"/>
      <c r="C800" s="17"/>
      <c r="D800" s="17"/>
      <c r="E800" s="17"/>
      <c r="F800" s="10"/>
      <c r="G800" s="17"/>
      <c r="H800" s="10"/>
      <c r="I800" s="17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15"/>
      <c r="B801" s="16"/>
      <c r="C801" s="17"/>
      <c r="D801" s="17"/>
      <c r="E801" s="17"/>
      <c r="F801" s="10"/>
      <c r="G801" s="17"/>
      <c r="H801" s="10"/>
      <c r="I801" s="17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>
      <c r="A802" s="15"/>
      <c r="B802" s="16"/>
      <c r="C802" s="17"/>
      <c r="D802" s="17"/>
      <c r="E802" s="17"/>
      <c r="F802" s="10"/>
      <c r="G802" s="17"/>
      <c r="H802" s="10"/>
      <c r="I802" s="17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15"/>
      <c r="B803" s="16"/>
      <c r="C803" s="17"/>
      <c r="D803" s="17"/>
      <c r="E803" s="17"/>
      <c r="F803" s="10"/>
      <c r="G803" s="17"/>
      <c r="H803" s="10"/>
      <c r="I803" s="17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>
      <c r="A804" s="15"/>
      <c r="B804" s="16"/>
      <c r="C804" s="17"/>
      <c r="D804" s="17"/>
      <c r="E804" s="17"/>
      <c r="F804" s="10"/>
      <c r="G804" s="17"/>
      <c r="H804" s="10"/>
      <c r="I804" s="17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15"/>
      <c r="B805" s="16"/>
      <c r="C805" s="17"/>
      <c r="D805" s="17"/>
      <c r="E805" s="17"/>
      <c r="F805" s="10"/>
      <c r="G805" s="17"/>
      <c r="H805" s="10"/>
      <c r="I805" s="17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>
      <c r="A806" s="15"/>
      <c r="B806" s="16"/>
      <c r="C806" s="17"/>
      <c r="D806" s="17"/>
      <c r="E806" s="17"/>
      <c r="F806" s="10"/>
      <c r="G806" s="17"/>
      <c r="H806" s="10"/>
      <c r="I806" s="17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15"/>
      <c r="B807" s="16"/>
      <c r="C807" s="17"/>
      <c r="D807" s="17"/>
      <c r="E807" s="17"/>
      <c r="F807" s="10"/>
      <c r="G807" s="17"/>
      <c r="H807" s="10"/>
      <c r="I807" s="17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>
      <c r="A808" s="15"/>
      <c r="B808" s="16"/>
      <c r="C808" s="17"/>
      <c r="D808" s="17"/>
      <c r="E808" s="17"/>
      <c r="F808" s="10"/>
      <c r="G808" s="17"/>
      <c r="H808" s="10"/>
      <c r="I808" s="17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15"/>
      <c r="B809" s="16"/>
      <c r="C809" s="17"/>
      <c r="D809" s="17"/>
      <c r="E809" s="17"/>
      <c r="F809" s="10"/>
      <c r="G809" s="17"/>
      <c r="H809" s="10"/>
      <c r="I809" s="17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>
      <c r="A810" s="15"/>
      <c r="B810" s="16"/>
      <c r="C810" s="17"/>
      <c r="D810" s="17"/>
      <c r="E810" s="17"/>
      <c r="F810" s="10"/>
      <c r="G810" s="17"/>
      <c r="H810" s="10"/>
      <c r="I810" s="17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15"/>
      <c r="B811" s="16"/>
      <c r="C811" s="17"/>
      <c r="D811" s="17"/>
      <c r="E811" s="17"/>
      <c r="F811" s="10"/>
      <c r="G811" s="17"/>
      <c r="H811" s="10"/>
      <c r="I811" s="17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>
      <c r="A812" s="15"/>
      <c r="B812" s="16"/>
      <c r="C812" s="17"/>
      <c r="D812" s="17"/>
      <c r="E812" s="17"/>
      <c r="F812" s="10"/>
      <c r="G812" s="17"/>
      <c r="H812" s="10"/>
      <c r="I812" s="17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15"/>
      <c r="B813" s="16"/>
      <c r="C813" s="17"/>
      <c r="D813" s="17"/>
      <c r="E813" s="17"/>
      <c r="F813" s="10"/>
      <c r="G813" s="17"/>
      <c r="H813" s="10"/>
      <c r="I813" s="17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>
      <c r="A814" s="15"/>
      <c r="B814" s="16"/>
      <c r="C814" s="17"/>
      <c r="D814" s="17"/>
      <c r="E814" s="17"/>
      <c r="F814" s="10"/>
      <c r="G814" s="17"/>
      <c r="H814" s="10"/>
      <c r="I814" s="17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15"/>
      <c r="B815" s="16"/>
      <c r="C815" s="17"/>
      <c r="D815" s="17"/>
      <c r="E815" s="17"/>
      <c r="F815" s="10"/>
      <c r="G815" s="17"/>
      <c r="H815" s="10"/>
      <c r="I815" s="17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>
      <c r="A816" s="15"/>
      <c r="B816" s="16"/>
      <c r="C816" s="17"/>
      <c r="D816" s="17"/>
      <c r="E816" s="17"/>
      <c r="F816" s="10"/>
      <c r="G816" s="17"/>
      <c r="H816" s="10"/>
      <c r="I816" s="17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15"/>
      <c r="B817" s="16"/>
      <c r="C817" s="17"/>
      <c r="D817" s="17"/>
      <c r="E817" s="17"/>
      <c r="F817" s="10"/>
      <c r="G817" s="17"/>
      <c r="H817" s="10"/>
      <c r="I817" s="17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>
      <c r="A818" s="15"/>
      <c r="B818" s="16"/>
      <c r="C818" s="17"/>
      <c r="D818" s="17"/>
      <c r="E818" s="17"/>
      <c r="F818" s="10"/>
      <c r="G818" s="17"/>
      <c r="H818" s="10"/>
      <c r="I818" s="17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15"/>
      <c r="B819" s="16"/>
      <c r="C819" s="17"/>
      <c r="D819" s="17"/>
      <c r="E819" s="17"/>
      <c r="F819" s="10"/>
      <c r="G819" s="17"/>
      <c r="H819" s="10"/>
      <c r="I819" s="17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>
      <c r="A820" s="15"/>
      <c r="B820" s="16"/>
      <c r="C820" s="17"/>
      <c r="D820" s="17"/>
      <c r="E820" s="17"/>
      <c r="F820" s="10"/>
      <c r="G820" s="17"/>
      <c r="H820" s="10"/>
      <c r="I820" s="17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15"/>
      <c r="B821" s="16"/>
      <c r="C821" s="17"/>
      <c r="D821" s="17"/>
      <c r="E821" s="17"/>
      <c r="F821" s="10"/>
      <c r="G821" s="17"/>
      <c r="H821" s="10"/>
      <c r="I821" s="17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>
      <c r="A822" s="15"/>
      <c r="B822" s="16"/>
      <c r="C822" s="17"/>
      <c r="D822" s="17"/>
      <c r="E822" s="17"/>
      <c r="F822" s="10"/>
      <c r="G822" s="17"/>
      <c r="H822" s="10"/>
      <c r="I822" s="17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15"/>
      <c r="B823" s="16"/>
      <c r="C823" s="17"/>
      <c r="D823" s="17"/>
      <c r="E823" s="17"/>
      <c r="F823" s="10"/>
      <c r="G823" s="17"/>
      <c r="H823" s="10"/>
      <c r="I823" s="17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>
      <c r="A824" s="15"/>
      <c r="B824" s="16"/>
      <c r="C824" s="17"/>
      <c r="D824" s="17"/>
      <c r="E824" s="17"/>
      <c r="F824" s="10"/>
      <c r="G824" s="17"/>
      <c r="H824" s="10"/>
      <c r="I824" s="17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15"/>
      <c r="B825" s="16"/>
      <c r="C825" s="17"/>
      <c r="D825" s="17"/>
      <c r="E825" s="17"/>
      <c r="F825" s="10"/>
      <c r="G825" s="17"/>
      <c r="H825" s="10"/>
      <c r="I825" s="17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>
      <c r="A826" s="15"/>
      <c r="B826" s="16"/>
      <c r="C826" s="17"/>
      <c r="D826" s="17"/>
      <c r="E826" s="17"/>
      <c r="F826" s="10"/>
      <c r="G826" s="17"/>
      <c r="H826" s="10"/>
      <c r="I826" s="17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15"/>
      <c r="B827" s="16"/>
      <c r="C827" s="17"/>
      <c r="D827" s="17"/>
      <c r="E827" s="17"/>
      <c r="F827" s="10"/>
      <c r="G827" s="17"/>
      <c r="H827" s="10"/>
      <c r="I827" s="17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>
      <c r="A828" s="15"/>
      <c r="B828" s="16"/>
      <c r="C828" s="17"/>
      <c r="D828" s="17"/>
      <c r="E828" s="17"/>
      <c r="F828" s="10"/>
      <c r="G828" s="17"/>
      <c r="H828" s="10"/>
      <c r="I828" s="17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15"/>
      <c r="B829" s="16"/>
      <c r="C829" s="17"/>
      <c r="D829" s="17"/>
      <c r="E829" s="17"/>
      <c r="F829" s="10"/>
      <c r="G829" s="17"/>
      <c r="H829" s="10"/>
      <c r="I829" s="17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>
      <c r="A830" s="15"/>
      <c r="B830" s="16"/>
      <c r="C830" s="17"/>
      <c r="D830" s="17"/>
      <c r="E830" s="17"/>
      <c r="F830" s="10"/>
      <c r="G830" s="17"/>
      <c r="H830" s="10"/>
      <c r="I830" s="17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15"/>
      <c r="B831" s="16"/>
      <c r="C831" s="17"/>
      <c r="D831" s="17"/>
      <c r="E831" s="17"/>
      <c r="F831" s="10"/>
      <c r="G831" s="17"/>
      <c r="H831" s="10"/>
      <c r="I831" s="17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>
      <c r="A832" s="15"/>
      <c r="B832" s="16"/>
      <c r="C832" s="17"/>
      <c r="D832" s="17"/>
      <c r="E832" s="17"/>
      <c r="F832" s="10"/>
      <c r="G832" s="17"/>
      <c r="H832" s="10"/>
      <c r="I832" s="17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15"/>
      <c r="B833" s="16"/>
      <c r="C833" s="17"/>
      <c r="D833" s="17"/>
      <c r="E833" s="17"/>
      <c r="F833" s="10"/>
      <c r="G833" s="17"/>
      <c r="H833" s="10"/>
      <c r="I833" s="17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>
      <c r="A834" s="15"/>
      <c r="B834" s="16"/>
      <c r="C834" s="17"/>
      <c r="D834" s="17"/>
      <c r="E834" s="17"/>
      <c r="F834" s="10"/>
      <c r="G834" s="17"/>
      <c r="H834" s="10"/>
      <c r="I834" s="17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15"/>
      <c r="B835" s="16"/>
      <c r="C835" s="17"/>
      <c r="D835" s="17"/>
      <c r="E835" s="17"/>
      <c r="F835" s="10"/>
      <c r="G835" s="17"/>
      <c r="H835" s="10"/>
      <c r="I835" s="17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>
      <c r="A836" s="15"/>
      <c r="B836" s="16"/>
      <c r="C836" s="17"/>
      <c r="D836" s="17"/>
      <c r="E836" s="17"/>
      <c r="F836" s="10"/>
      <c r="G836" s="17"/>
      <c r="H836" s="10"/>
      <c r="I836" s="17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15"/>
      <c r="B837" s="16"/>
      <c r="C837" s="17"/>
      <c r="D837" s="17"/>
      <c r="E837" s="17"/>
      <c r="F837" s="10"/>
      <c r="G837" s="17"/>
      <c r="H837" s="10"/>
      <c r="I837" s="17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>
      <c r="A838" s="15"/>
      <c r="B838" s="16"/>
      <c r="C838" s="17"/>
      <c r="D838" s="17"/>
      <c r="E838" s="17"/>
      <c r="F838" s="10"/>
      <c r="G838" s="17"/>
      <c r="H838" s="10"/>
      <c r="I838" s="17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15"/>
      <c r="B839" s="16"/>
      <c r="C839" s="17"/>
      <c r="D839" s="17"/>
      <c r="E839" s="17"/>
      <c r="F839" s="10"/>
      <c r="G839" s="17"/>
      <c r="H839" s="10"/>
      <c r="I839" s="17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>
      <c r="A840" s="15"/>
      <c r="B840" s="16"/>
      <c r="C840" s="17"/>
      <c r="D840" s="17"/>
      <c r="E840" s="17"/>
      <c r="F840" s="10"/>
      <c r="G840" s="17"/>
      <c r="H840" s="10"/>
      <c r="I840" s="17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15"/>
      <c r="B841" s="16"/>
      <c r="C841" s="17"/>
      <c r="D841" s="17"/>
      <c r="E841" s="17"/>
      <c r="F841" s="10"/>
      <c r="G841" s="17"/>
      <c r="H841" s="10"/>
      <c r="I841" s="17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>
      <c r="A842" s="15"/>
      <c r="B842" s="16"/>
      <c r="C842" s="17"/>
      <c r="D842" s="17"/>
      <c r="E842" s="17"/>
      <c r="F842" s="10"/>
      <c r="G842" s="17"/>
      <c r="H842" s="10"/>
      <c r="I842" s="17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15"/>
      <c r="B843" s="16"/>
      <c r="C843" s="17"/>
      <c r="D843" s="17"/>
      <c r="E843" s="17"/>
      <c r="F843" s="10"/>
      <c r="G843" s="17"/>
      <c r="H843" s="10"/>
      <c r="I843" s="17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>
      <c r="A844" s="15"/>
      <c r="B844" s="16"/>
      <c r="C844" s="17"/>
      <c r="D844" s="17"/>
      <c r="E844" s="17"/>
      <c r="F844" s="10"/>
      <c r="G844" s="17"/>
      <c r="H844" s="10"/>
      <c r="I844" s="17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15"/>
      <c r="B845" s="16"/>
      <c r="C845" s="17"/>
      <c r="D845" s="17"/>
      <c r="E845" s="17"/>
      <c r="F845" s="10"/>
      <c r="G845" s="17"/>
      <c r="H845" s="10"/>
      <c r="I845" s="17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>
      <c r="A846" s="15"/>
      <c r="B846" s="16"/>
      <c r="C846" s="17"/>
      <c r="D846" s="17"/>
      <c r="E846" s="17"/>
      <c r="F846" s="10"/>
      <c r="G846" s="17"/>
      <c r="H846" s="10"/>
      <c r="I846" s="17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15"/>
      <c r="B847" s="16"/>
      <c r="C847" s="17"/>
      <c r="D847" s="17"/>
      <c r="E847" s="17"/>
      <c r="F847" s="10"/>
      <c r="G847" s="17"/>
      <c r="H847" s="10"/>
      <c r="I847" s="17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>
      <c r="A848" s="15"/>
      <c r="B848" s="16"/>
      <c r="C848" s="17"/>
      <c r="D848" s="17"/>
      <c r="E848" s="17"/>
      <c r="F848" s="10"/>
      <c r="G848" s="17"/>
      <c r="H848" s="10"/>
      <c r="I848" s="17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15"/>
      <c r="B849" s="16"/>
      <c r="C849" s="17"/>
      <c r="D849" s="17"/>
      <c r="E849" s="17"/>
      <c r="F849" s="10"/>
      <c r="G849" s="17"/>
      <c r="H849" s="10"/>
      <c r="I849" s="17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>
      <c r="A850" s="15"/>
      <c r="B850" s="16"/>
      <c r="C850" s="17"/>
      <c r="D850" s="17"/>
      <c r="E850" s="17"/>
      <c r="F850" s="10"/>
      <c r="G850" s="17"/>
      <c r="H850" s="10"/>
      <c r="I850" s="17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15"/>
      <c r="B851" s="16"/>
      <c r="C851" s="17"/>
      <c r="D851" s="17"/>
      <c r="E851" s="17"/>
      <c r="F851" s="10"/>
      <c r="G851" s="17"/>
      <c r="H851" s="10"/>
      <c r="I851" s="17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>
      <c r="A852" s="15"/>
      <c r="B852" s="16"/>
      <c r="C852" s="17"/>
      <c r="D852" s="17"/>
      <c r="E852" s="17"/>
      <c r="F852" s="10"/>
      <c r="G852" s="17"/>
      <c r="H852" s="10"/>
      <c r="I852" s="17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15"/>
      <c r="B853" s="16"/>
      <c r="C853" s="17"/>
      <c r="D853" s="17"/>
      <c r="E853" s="17"/>
      <c r="F853" s="10"/>
      <c r="G853" s="17"/>
      <c r="H853" s="10"/>
      <c r="I853" s="17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>
      <c r="A854" s="15"/>
      <c r="B854" s="16"/>
      <c r="C854" s="17"/>
      <c r="D854" s="17"/>
      <c r="E854" s="17"/>
      <c r="F854" s="10"/>
      <c r="G854" s="17"/>
      <c r="H854" s="10"/>
      <c r="I854" s="17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15"/>
      <c r="B855" s="16"/>
      <c r="C855" s="17"/>
      <c r="D855" s="17"/>
      <c r="E855" s="17"/>
      <c r="F855" s="10"/>
      <c r="G855" s="17"/>
      <c r="H855" s="10"/>
      <c r="I855" s="17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>
      <c r="A856" s="15"/>
      <c r="B856" s="16"/>
      <c r="C856" s="17"/>
      <c r="D856" s="17"/>
      <c r="E856" s="17"/>
      <c r="F856" s="10"/>
      <c r="G856" s="17"/>
      <c r="H856" s="10"/>
      <c r="I856" s="17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15"/>
      <c r="B857" s="16"/>
      <c r="C857" s="17"/>
      <c r="D857" s="17"/>
      <c r="E857" s="17"/>
      <c r="F857" s="10"/>
      <c r="G857" s="17"/>
      <c r="H857" s="10"/>
      <c r="I857" s="17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>
      <c r="A858" s="15"/>
      <c r="B858" s="16"/>
      <c r="C858" s="17"/>
      <c r="D858" s="17"/>
      <c r="E858" s="17"/>
      <c r="F858" s="10"/>
      <c r="G858" s="17"/>
      <c r="H858" s="10"/>
      <c r="I858" s="17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15"/>
      <c r="B859" s="16"/>
      <c r="C859" s="17"/>
      <c r="D859" s="17"/>
      <c r="E859" s="17"/>
      <c r="F859" s="10"/>
      <c r="G859" s="17"/>
      <c r="H859" s="10"/>
      <c r="I859" s="17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>
      <c r="A860" s="15"/>
      <c r="B860" s="16"/>
      <c r="C860" s="17"/>
      <c r="D860" s="17"/>
      <c r="E860" s="17"/>
      <c r="F860" s="10"/>
      <c r="G860" s="17"/>
      <c r="H860" s="10"/>
      <c r="I860" s="17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15"/>
      <c r="B861" s="16"/>
      <c r="C861" s="17"/>
      <c r="D861" s="17"/>
      <c r="E861" s="17"/>
      <c r="F861" s="10"/>
      <c r="G861" s="17"/>
      <c r="H861" s="10"/>
      <c r="I861" s="17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>
      <c r="A862" s="15"/>
      <c r="B862" s="16"/>
      <c r="C862" s="17"/>
      <c r="D862" s="17"/>
      <c r="E862" s="17"/>
      <c r="F862" s="10"/>
      <c r="G862" s="17"/>
      <c r="H862" s="10"/>
      <c r="I862" s="17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15"/>
      <c r="B863" s="16"/>
      <c r="C863" s="17"/>
      <c r="D863" s="17"/>
      <c r="E863" s="17"/>
      <c r="F863" s="10"/>
      <c r="G863" s="17"/>
      <c r="H863" s="10"/>
      <c r="I863" s="17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>
      <c r="A864" s="15"/>
      <c r="B864" s="16"/>
      <c r="C864" s="17"/>
      <c r="D864" s="17"/>
      <c r="E864" s="17"/>
      <c r="F864" s="10"/>
      <c r="G864" s="17"/>
      <c r="H864" s="10"/>
      <c r="I864" s="17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15"/>
      <c r="B865" s="16"/>
      <c r="C865" s="17"/>
      <c r="D865" s="17"/>
      <c r="E865" s="17"/>
      <c r="F865" s="10"/>
      <c r="G865" s="17"/>
      <c r="H865" s="10"/>
      <c r="I865" s="17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>
      <c r="A866" s="15"/>
      <c r="B866" s="16"/>
      <c r="C866" s="17"/>
      <c r="D866" s="17"/>
      <c r="E866" s="17"/>
      <c r="F866" s="10"/>
      <c r="G866" s="17"/>
      <c r="H866" s="10"/>
      <c r="I866" s="17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15"/>
      <c r="B867" s="16"/>
      <c r="C867" s="17"/>
      <c r="D867" s="17"/>
      <c r="E867" s="17"/>
      <c r="F867" s="10"/>
      <c r="G867" s="17"/>
      <c r="H867" s="10"/>
      <c r="I867" s="17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>
      <c r="A868" s="15"/>
      <c r="B868" s="16"/>
      <c r="C868" s="17"/>
      <c r="D868" s="17"/>
      <c r="E868" s="17"/>
      <c r="F868" s="10"/>
      <c r="G868" s="17"/>
      <c r="H868" s="10"/>
      <c r="I868" s="17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15"/>
      <c r="B869" s="16"/>
      <c r="C869" s="17"/>
      <c r="D869" s="17"/>
      <c r="E869" s="17"/>
      <c r="F869" s="10"/>
      <c r="G869" s="17"/>
      <c r="H869" s="10"/>
      <c r="I869" s="17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>
      <c r="A870" s="15"/>
      <c r="B870" s="16"/>
      <c r="C870" s="17"/>
      <c r="D870" s="17"/>
      <c r="E870" s="17"/>
      <c r="F870" s="10"/>
      <c r="G870" s="17"/>
      <c r="H870" s="10"/>
      <c r="I870" s="17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15"/>
      <c r="B871" s="16"/>
      <c r="C871" s="17"/>
      <c r="D871" s="17"/>
      <c r="E871" s="17"/>
      <c r="F871" s="10"/>
      <c r="G871" s="17"/>
      <c r="H871" s="10"/>
      <c r="I871" s="17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>
      <c r="A872" s="15"/>
      <c r="B872" s="16"/>
      <c r="C872" s="17"/>
      <c r="D872" s="17"/>
      <c r="E872" s="17"/>
      <c r="F872" s="10"/>
      <c r="G872" s="17"/>
      <c r="H872" s="10"/>
      <c r="I872" s="17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15"/>
      <c r="B873" s="16"/>
      <c r="C873" s="17"/>
      <c r="D873" s="17"/>
      <c r="E873" s="17"/>
      <c r="F873" s="10"/>
      <c r="G873" s="17"/>
      <c r="H873" s="10"/>
      <c r="I873" s="17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>
      <c r="A874" s="15"/>
      <c r="B874" s="16"/>
      <c r="C874" s="17"/>
      <c r="D874" s="17"/>
      <c r="E874" s="17"/>
      <c r="F874" s="10"/>
      <c r="G874" s="17"/>
      <c r="H874" s="10"/>
      <c r="I874" s="17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15"/>
      <c r="B875" s="16"/>
      <c r="C875" s="17"/>
      <c r="D875" s="17"/>
      <c r="E875" s="17"/>
      <c r="F875" s="10"/>
      <c r="G875" s="17"/>
      <c r="H875" s="10"/>
      <c r="I875" s="17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>
      <c r="A876" s="15"/>
      <c r="B876" s="16"/>
      <c r="C876" s="17"/>
      <c r="D876" s="17"/>
      <c r="E876" s="17"/>
      <c r="F876" s="10"/>
      <c r="G876" s="17"/>
      <c r="H876" s="10"/>
      <c r="I876" s="17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15"/>
      <c r="B877" s="16"/>
      <c r="C877" s="17"/>
      <c r="D877" s="17"/>
      <c r="E877" s="17"/>
      <c r="F877" s="10"/>
      <c r="G877" s="17"/>
      <c r="H877" s="10"/>
      <c r="I877" s="17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>
      <c r="A878" s="15"/>
      <c r="B878" s="16"/>
      <c r="C878" s="17"/>
      <c r="D878" s="17"/>
      <c r="E878" s="17"/>
      <c r="F878" s="10"/>
      <c r="G878" s="17"/>
      <c r="H878" s="10"/>
      <c r="I878" s="17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15"/>
      <c r="B879" s="16"/>
      <c r="C879" s="17"/>
      <c r="D879" s="17"/>
      <c r="E879" s="17"/>
      <c r="F879" s="10"/>
      <c r="G879" s="17"/>
      <c r="H879" s="10"/>
      <c r="I879" s="17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>
      <c r="A880" s="15"/>
      <c r="B880" s="16"/>
      <c r="C880" s="17"/>
      <c r="D880" s="17"/>
      <c r="E880" s="17"/>
      <c r="F880" s="10"/>
      <c r="G880" s="17"/>
      <c r="H880" s="10"/>
      <c r="I880" s="17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15"/>
      <c r="B881" s="16"/>
      <c r="C881" s="17"/>
      <c r="D881" s="17"/>
      <c r="E881" s="17"/>
      <c r="F881" s="10"/>
      <c r="G881" s="17"/>
      <c r="H881" s="10"/>
      <c r="I881" s="17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>
      <c r="A882" s="15"/>
      <c r="B882" s="16"/>
      <c r="C882" s="17"/>
      <c r="D882" s="17"/>
      <c r="E882" s="17"/>
      <c r="F882" s="10"/>
      <c r="G882" s="17"/>
      <c r="H882" s="10"/>
      <c r="I882" s="17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15"/>
      <c r="B883" s="16"/>
      <c r="C883" s="17"/>
      <c r="D883" s="17"/>
      <c r="E883" s="17"/>
      <c r="F883" s="10"/>
      <c r="G883" s="17"/>
      <c r="H883" s="10"/>
      <c r="I883" s="17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>
      <c r="A884" s="15"/>
      <c r="B884" s="16"/>
      <c r="C884" s="17"/>
      <c r="D884" s="17"/>
      <c r="E884" s="17"/>
      <c r="F884" s="10"/>
      <c r="G884" s="17"/>
      <c r="H884" s="10"/>
      <c r="I884" s="17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15"/>
      <c r="B885" s="16"/>
      <c r="C885" s="17"/>
      <c r="D885" s="17"/>
      <c r="E885" s="17"/>
      <c r="F885" s="10"/>
      <c r="G885" s="17"/>
      <c r="H885" s="10"/>
      <c r="I885" s="17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>
      <c r="A886" s="15"/>
      <c r="B886" s="16"/>
      <c r="C886" s="17"/>
      <c r="D886" s="17"/>
      <c r="E886" s="17"/>
      <c r="F886" s="10"/>
      <c r="G886" s="17"/>
      <c r="H886" s="10"/>
      <c r="I886" s="17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15"/>
      <c r="B887" s="16"/>
      <c r="C887" s="17"/>
      <c r="D887" s="17"/>
      <c r="E887" s="17"/>
      <c r="F887" s="10"/>
      <c r="G887" s="17"/>
      <c r="H887" s="10"/>
      <c r="I887" s="17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>
      <c r="A888" s="15"/>
      <c r="B888" s="16"/>
      <c r="C888" s="17"/>
      <c r="D888" s="17"/>
      <c r="E888" s="17"/>
      <c r="F888" s="10"/>
      <c r="G888" s="17"/>
      <c r="H888" s="10"/>
      <c r="I888" s="17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15"/>
      <c r="B889" s="16"/>
      <c r="C889" s="17"/>
      <c r="D889" s="17"/>
      <c r="E889" s="17"/>
      <c r="F889" s="10"/>
      <c r="G889" s="17"/>
      <c r="H889" s="10"/>
      <c r="I889" s="17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>
      <c r="A890" s="15"/>
      <c r="B890" s="16"/>
      <c r="C890" s="17"/>
      <c r="D890" s="17"/>
      <c r="E890" s="17"/>
      <c r="F890" s="10"/>
      <c r="G890" s="17"/>
      <c r="H890" s="10"/>
      <c r="I890" s="17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15"/>
      <c r="B891" s="16"/>
      <c r="C891" s="17"/>
      <c r="D891" s="17"/>
      <c r="E891" s="17"/>
      <c r="F891" s="10"/>
      <c r="G891" s="17"/>
      <c r="H891" s="10"/>
      <c r="I891" s="17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>
      <c r="A892" s="15"/>
      <c r="B892" s="16"/>
      <c r="C892" s="17"/>
      <c r="D892" s="17"/>
      <c r="E892" s="17"/>
      <c r="F892" s="10"/>
      <c r="G892" s="17"/>
      <c r="H892" s="10"/>
      <c r="I892" s="17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15"/>
      <c r="B893" s="16"/>
      <c r="C893" s="17"/>
      <c r="D893" s="17"/>
      <c r="E893" s="17"/>
      <c r="F893" s="10"/>
      <c r="G893" s="17"/>
      <c r="H893" s="10"/>
      <c r="I893" s="17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>
      <c r="A894" s="15"/>
      <c r="B894" s="16"/>
      <c r="C894" s="17"/>
      <c r="D894" s="17"/>
      <c r="E894" s="17"/>
      <c r="F894" s="10"/>
      <c r="G894" s="17"/>
      <c r="H894" s="10"/>
      <c r="I894" s="17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15"/>
      <c r="B895" s="16"/>
      <c r="C895" s="17"/>
      <c r="D895" s="17"/>
      <c r="E895" s="17"/>
      <c r="F895" s="10"/>
      <c r="G895" s="17"/>
      <c r="H895" s="10"/>
      <c r="I895" s="17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>
      <c r="A896" s="15"/>
      <c r="B896" s="16"/>
      <c r="C896" s="17"/>
      <c r="D896" s="17"/>
      <c r="E896" s="17"/>
      <c r="F896" s="10"/>
      <c r="G896" s="17"/>
      <c r="H896" s="10"/>
      <c r="I896" s="17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15"/>
      <c r="B897" s="16"/>
      <c r="C897" s="17"/>
      <c r="D897" s="17"/>
      <c r="E897" s="17"/>
      <c r="F897" s="10"/>
      <c r="G897" s="17"/>
      <c r="H897" s="10"/>
      <c r="I897" s="17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>
      <c r="A898" s="15"/>
      <c r="B898" s="16"/>
      <c r="C898" s="17"/>
      <c r="D898" s="17"/>
      <c r="E898" s="17"/>
      <c r="F898" s="10"/>
      <c r="G898" s="17"/>
      <c r="H898" s="10"/>
      <c r="I898" s="17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15"/>
      <c r="B899" s="16"/>
      <c r="C899" s="17"/>
      <c r="D899" s="17"/>
      <c r="E899" s="17"/>
      <c r="F899" s="10"/>
      <c r="G899" s="17"/>
      <c r="H899" s="10"/>
      <c r="I899" s="17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>
      <c r="A900" s="15"/>
      <c r="B900" s="16"/>
      <c r="C900" s="17"/>
      <c r="D900" s="17"/>
      <c r="E900" s="17"/>
      <c r="F900" s="10"/>
      <c r="G900" s="17"/>
      <c r="H900" s="10"/>
      <c r="I900" s="17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15"/>
      <c r="B901" s="16"/>
      <c r="C901" s="17"/>
      <c r="D901" s="17"/>
      <c r="E901" s="17"/>
      <c r="F901" s="10"/>
      <c r="G901" s="17"/>
      <c r="H901" s="10"/>
      <c r="I901" s="17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>
      <c r="A902" s="15"/>
      <c r="B902" s="16"/>
      <c r="C902" s="17"/>
      <c r="D902" s="17"/>
      <c r="E902" s="17"/>
      <c r="F902" s="10"/>
      <c r="G902" s="17"/>
      <c r="H902" s="10"/>
      <c r="I902" s="17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15"/>
      <c r="B903" s="16"/>
      <c r="C903" s="17"/>
      <c r="D903" s="17"/>
      <c r="E903" s="17"/>
      <c r="F903" s="10"/>
      <c r="G903" s="17"/>
      <c r="H903" s="10"/>
      <c r="I903" s="17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>
      <c r="A904" s="15"/>
      <c r="B904" s="16"/>
      <c r="C904" s="17"/>
      <c r="D904" s="17"/>
      <c r="E904" s="17"/>
      <c r="F904" s="10"/>
      <c r="G904" s="17"/>
      <c r="H904" s="10"/>
      <c r="I904" s="17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15"/>
      <c r="B905" s="16"/>
      <c r="C905" s="17"/>
      <c r="D905" s="17"/>
      <c r="E905" s="17"/>
      <c r="F905" s="10"/>
      <c r="G905" s="17"/>
      <c r="H905" s="10"/>
      <c r="I905" s="17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>
      <c r="A906" s="15"/>
      <c r="B906" s="16"/>
      <c r="C906" s="17"/>
      <c r="D906" s="17"/>
      <c r="E906" s="17"/>
      <c r="F906" s="10"/>
      <c r="G906" s="17"/>
      <c r="H906" s="10"/>
      <c r="I906" s="17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15"/>
      <c r="B907" s="16"/>
      <c r="C907" s="17"/>
      <c r="D907" s="17"/>
      <c r="E907" s="17"/>
      <c r="F907" s="10"/>
      <c r="G907" s="17"/>
      <c r="H907" s="10"/>
      <c r="I907" s="17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>
      <c r="A908" s="15"/>
      <c r="B908" s="16"/>
      <c r="C908" s="17"/>
      <c r="D908" s="17"/>
      <c r="E908" s="17"/>
      <c r="F908" s="10"/>
      <c r="G908" s="17"/>
      <c r="H908" s="10"/>
      <c r="I908" s="17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15"/>
      <c r="B909" s="16"/>
      <c r="C909" s="17"/>
      <c r="D909" s="17"/>
      <c r="E909" s="17"/>
      <c r="F909" s="10"/>
      <c r="G909" s="17"/>
      <c r="H909" s="10"/>
      <c r="I909" s="17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>
      <c r="A910" s="15"/>
      <c r="B910" s="16"/>
      <c r="C910" s="17"/>
      <c r="D910" s="17"/>
      <c r="E910" s="17"/>
      <c r="F910" s="10"/>
      <c r="G910" s="17"/>
      <c r="H910" s="10"/>
      <c r="I910" s="17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15"/>
      <c r="B911" s="16"/>
      <c r="C911" s="17"/>
      <c r="D911" s="17"/>
      <c r="E911" s="17"/>
      <c r="F911" s="10"/>
      <c r="G911" s="17"/>
      <c r="H911" s="10"/>
      <c r="I911" s="17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>
      <c r="A912" s="15"/>
      <c r="B912" s="16"/>
      <c r="C912" s="17"/>
      <c r="D912" s="17"/>
      <c r="E912" s="17"/>
      <c r="F912" s="10"/>
      <c r="G912" s="17"/>
      <c r="H912" s="10"/>
      <c r="I912" s="17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>
      <c r="A913" s="15"/>
      <c r="B913" s="16"/>
      <c r="C913" s="17"/>
      <c r="D913" s="17"/>
      <c r="E913" s="17"/>
      <c r="F913" s="10"/>
      <c r="G913" s="17"/>
      <c r="H913" s="10"/>
      <c r="I913" s="17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>
      <c r="A914" s="15"/>
      <c r="B914" s="16"/>
      <c r="C914" s="17"/>
      <c r="D914" s="17"/>
      <c r="E914" s="17"/>
      <c r="F914" s="10"/>
      <c r="G914" s="17"/>
      <c r="H914" s="10"/>
      <c r="I914" s="17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>
      <c r="A915" s="15"/>
      <c r="B915" s="16"/>
      <c r="C915" s="17"/>
      <c r="D915" s="17"/>
      <c r="E915" s="17"/>
      <c r="F915" s="10"/>
      <c r="G915" s="17"/>
      <c r="H915" s="10"/>
      <c r="I915" s="17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>
      <c r="A916" s="15"/>
      <c r="B916" s="16"/>
      <c r="C916" s="17"/>
      <c r="D916" s="17"/>
      <c r="E916" s="17"/>
      <c r="F916" s="10"/>
      <c r="G916" s="17"/>
      <c r="H916" s="10"/>
      <c r="I916" s="17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>
      <c r="A917" s="15"/>
      <c r="B917" s="16"/>
      <c r="C917" s="17"/>
      <c r="D917" s="17"/>
      <c r="E917" s="17"/>
      <c r="F917" s="10"/>
      <c r="G917" s="17"/>
      <c r="H917" s="10"/>
      <c r="I917" s="17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>
      <c r="A918" s="15"/>
      <c r="B918" s="16"/>
      <c r="C918" s="17"/>
      <c r="D918" s="17"/>
      <c r="E918" s="17"/>
      <c r="F918" s="10"/>
      <c r="G918" s="17"/>
      <c r="H918" s="10"/>
      <c r="I918" s="17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>
      <c r="A919" s="15"/>
      <c r="B919" s="16"/>
      <c r="C919" s="17"/>
      <c r="D919" s="17"/>
      <c r="E919" s="17"/>
      <c r="F919" s="10"/>
      <c r="G919" s="17"/>
      <c r="H919" s="10"/>
      <c r="I919" s="17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>
      <c r="A920" s="15"/>
      <c r="B920" s="16"/>
      <c r="C920" s="17"/>
      <c r="D920" s="17"/>
      <c r="E920" s="17"/>
      <c r="F920" s="10"/>
      <c r="G920" s="17"/>
      <c r="H920" s="10"/>
      <c r="I920" s="17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>
      <c r="A921" s="15"/>
      <c r="B921" s="16"/>
      <c r="C921" s="17"/>
      <c r="D921" s="17"/>
      <c r="E921" s="17"/>
      <c r="F921" s="10"/>
      <c r="G921" s="17"/>
      <c r="H921" s="10"/>
      <c r="I921" s="17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>
      <c r="A922" s="15"/>
      <c r="B922" s="16"/>
      <c r="C922" s="17"/>
      <c r="D922" s="17"/>
      <c r="E922" s="17"/>
      <c r="F922" s="10"/>
      <c r="G922" s="17"/>
      <c r="H922" s="10"/>
      <c r="I922" s="17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>
      <c r="A923" s="15"/>
      <c r="B923" s="16"/>
      <c r="C923" s="17"/>
      <c r="D923" s="17"/>
      <c r="E923" s="17"/>
      <c r="F923" s="10"/>
      <c r="G923" s="17"/>
      <c r="H923" s="10"/>
      <c r="I923" s="17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>
      <c r="A924" s="15"/>
      <c r="B924" s="16"/>
      <c r="C924" s="17"/>
      <c r="D924" s="17"/>
      <c r="E924" s="17"/>
      <c r="F924" s="10"/>
      <c r="G924" s="17"/>
      <c r="H924" s="10"/>
      <c r="I924" s="17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>
      <c r="A925" s="15"/>
      <c r="B925" s="16"/>
      <c r="C925" s="17"/>
      <c r="D925" s="17"/>
      <c r="E925" s="17"/>
      <c r="F925" s="10"/>
      <c r="G925" s="17"/>
      <c r="H925" s="10"/>
      <c r="I925" s="17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>
      <c r="A926" s="15"/>
      <c r="B926" s="16"/>
      <c r="C926" s="17"/>
      <c r="D926" s="17"/>
      <c r="E926" s="17"/>
      <c r="F926" s="10"/>
      <c r="G926" s="17"/>
      <c r="H926" s="10"/>
      <c r="I926" s="17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>
      <c r="A927" s="15"/>
      <c r="B927" s="16"/>
      <c r="C927" s="17"/>
      <c r="D927" s="17"/>
      <c r="E927" s="17"/>
      <c r="F927" s="10"/>
      <c r="G927" s="17"/>
      <c r="H927" s="10"/>
      <c r="I927" s="17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>
      <c r="A928" s="15"/>
      <c r="B928" s="16"/>
      <c r="C928" s="17"/>
      <c r="D928" s="17"/>
      <c r="E928" s="17"/>
      <c r="F928" s="10"/>
      <c r="G928" s="17"/>
      <c r="H928" s="10"/>
      <c r="I928" s="17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>
      <c r="A929" s="15"/>
      <c r="B929" s="16"/>
      <c r="C929" s="17"/>
      <c r="D929" s="17"/>
      <c r="E929" s="17"/>
      <c r="F929" s="10"/>
      <c r="G929" s="17"/>
      <c r="H929" s="10"/>
      <c r="I929" s="17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>
      <c r="A930" s="15"/>
      <c r="B930" s="16"/>
      <c r="C930" s="17"/>
      <c r="D930" s="17"/>
      <c r="E930" s="17"/>
      <c r="F930" s="10"/>
      <c r="G930" s="17"/>
      <c r="H930" s="10"/>
      <c r="I930" s="17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>
      <c r="A931" s="15"/>
      <c r="B931" s="16"/>
      <c r="C931" s="17"/>
      <c r="D931" s="17"/>
      <c r="E931" s="17"/>
      <c r="F931" s="10"/>
      <c r="G931" s="17"/>
      <c r="H931" s="10"/>
      <c r="I931" s="17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>
      <c r="A932" s="15"/>
      <c r="B932" s="16"/>
      <c r="C932" s="17"/>
      <c r="D932" s="17"/>
      <c r="E932" s="17"/>
      <c r="F932" s="10"/>
      <c r="G932" s="17"/>
      <c r="H932" s="10"/>
      <c r="I932" s="17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>
      <c r="A933" s="15"/>
      <c r="B933" s="16"/>
      <c r="C933" s="17"/>
      <c r="D933" s="17"/>
      <c r="E933" s="17"/>
      <c r="F933" s="10"/>
      <c r="G933" s="17"/>
      <c r="H933" s="10"/>
      <c r="I933" s="17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>
      <c r="A934" s="15"/>
      <c r="B934" s="16"/>
      <c r="C934" s="17"/>
      <c r="D934" s="17"/>
      <c r="E934" s="17"/>
      <c r="F934" s="10"/>
      <c r="G934" s="17"/>
      <c r="H934" s="10"/>
      <c r="I934" s="17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>
      <c r="A935" s="15"/>
      <c r="B935" s="16"/>
      <c r="C935" s="17"/>
      <c r="D935" s="17"/>
      <c r="E935" s="17"/>
      <c r="F935" s="10"/>
      <c r="G935" s="17"/>
      <c r="H935" s="10"/>
      <c r="I935" s="17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>
      <c r="A936" s="15"/>
      <c r="B936" s="16"/>
      <c r="C936" s="17"/>
      <c r="D936" s="17"/>
      <c r="E936" s="17"/>
      <c r="F936" s="10"/>
      <c r="G936" s="17"/>
      <c r="H936" s="10"/>
      <c r="I936" s="17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>
      <c r="A937" s="15"/>
      <c r="B937" s="16"/>
      <c r="C937" s="17"/>
      <c r="D937" s="17"/>
      <c r="E937" s="17"/>
      <c r="F937" s="10"/>
      <c r="G937" s="17"/>
      <c r="H937" s="10"/>
      <c r="I937" s="17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>
      <c r="A938" s="15"/>
      <c r="B938" s="16"/>
      <c r="C938" s="17"/>
      <c r="D938" s="17"/>
      <c r="E938" s="17"/>
      <c r="F938" s="10"/>
      <c r="G938" s="17"/>
      <c r="H938" s="10"/>
      <c r="I938" s="17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>
      <c r="A939" s="15"/>
      <c r="B939" s="16"/>
      <c r="C939" s="17"/>
      <c r="D939" s="17"/>
      <c r="E939" s="17"/>
      <c r="F939" s="10"/>
      <c r="G939" s="17"/>
      <c r="H939" s="10"/>
      <c r="I939" s="17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>
      <c r="A940" s="15"/>
      <c r="B940" s="16"/>
      <c r="C940" s="17"/>
      <c r="D940" s="17"/>
      <c r="E940" s="17"/>
      <c r="F940" s="10"/>
      <c r="G940" s="17"/>
      <c r="H940" s="10"/>
      <c r="I940" s="17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>
      <c r="A941" s="15"/>
      <c r="B941" s="16"/>
      <c r="C941" s="17"/>
      <c r="D941" s="17"/>
      <c r="E941" s="17"/>
      <c r="F941" s="10"/>
      <c r="G941" s="17"/>
      <c r="H941" s="10"/>
      <c r="I941" s="17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>
      <c r="A942" s="15"/>
      <c r="B942" s="16"/>
      <c r="C942" s="17"/>
      <c r="D942" s="17"/>
      <c r="E942" s="17"/>
      <c r="F942" s="10"/>
      <c r="G942" s="17"/>
      <c r="H942" s="10"/>
      <c r="I942" s="17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>
      <c r="A943" s="15"/>
      <c r="B943" s="16"/>
      <c r="C943" s="17"/>
      <c r="D943" s="17"/>
      <c r="E943" s="17"/>
      <c r="F943" s="10"/>
      <c r="G943" s="17"/>
      <c r="H943" s="10"/>
      <c r="I943" s="17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>
      <c r="A944" s="15"/>
      <c r="B944" s="16"/>
      <c r="C944" s="17"/>
      <c r="D944" s="17"/>
      <c r="E944" s="17"/>
      <c r="F944" s="10"/>
      <c r="G944" s="17"/>
      <c r="H944" s="10"/>
      <c r="I944" s="17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>
      <c r="A945" s="15"/>
      <c r="B945" s="16"/>
      <c r="C945" s="17"/>
      <c r="D945" s="17"/>
      <c r="E945" s="17"/>
      <c r="F945" s="10"/>
      <c r="G945" s="17"/>
      <c r="H945" s="10"/>
      <c r="I945" s="17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>
      <c r="A946" s="15"/>
      <c r="B946" s="16"/>
      <c r="C946" s="17"/>
      <c r="D946" s="17"/>
      <c r="E946" s="17"/>
      <c r="F946" s="10"/>
      <c r="G946" s="17"/>
      <c r="H946" s="10"/>
      <c r="I946" s="17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>
      <c r="A947" s="15"/>
      <c r="B947" s="16"/>
      <c r="C947" s="17"/>
      <c r="D947" s="17"/>
      <c r="E947" s="17"/>
      <c r="F947" s="10"/>
      <c r="G947" s="17"/>
      <c r="H947" s="10"/>
      <c r="I947" s="17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>
      <c r="A948" s="15"/>
      <c r="B948" s="16"/>
      <c r="C948" s="17"/>
      <c r="D948" s="17"/>
      <c r="E948" s="17"/>
      <c r="F948" s="10"/>
      <c r="G948" s="17"/>
      <c r="H948" s="10"/>
      <c r="I948" s="17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>
      <c r="A949" s="15"/>
      <c r="B949" s="16"/>
      <c r="C949" s="17"/>
      <c r="D949" s="17"/>
      <c r="E949" s="17"/>
      <c r="F949" s="10"/>
      <c r="G949" s="17"/>
      <c r="H949" s="10"/>
      <c r="I949" s="17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>
      <c r="A950" s="15"/>
      <c r="B950" s="16"/>
      <c r="C950" s="17"/>
      <c r="D950" s="17"/>
      <c r="E950" s="17"/>
      <c r="F950" s="10"/>
      <c r="G950" s="17"/>
      <c r="H950" s="10"/>
      <c r="I950" s="17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>
      <c r="A951" s="15"/>
      <c r="B951" s="16"/>
      <c r="C951" s="17"/>
      <c r="D951" s="17"/>
      <c r="E951" s="17"/>
      <c r="F951" s="10"/>
      <c r="G951" s="17"/>
      <c r="H951" s="10"/>
      <c r="I951" s="17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>
      <c r="A952" s="15"/>
      <c r="B952" s="16"/>
      <c r="C952" s="17"/>
      <c r="D952" s="17"/>
      <c r="E952" s="17"/>
      <c r="F952" s="10"/>
      <c r="G952" s="17"/>
      <c r="H952" s="10"/>
      <c r="I952" s="17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>
      <c r="A953" s="15"/>
      <c r="B953" s="16"/>
      <c r="C953" s="17"/>
      <c r="D953" s="17"/>
      <c r="E953" s="17"/>
      <c r="F953" s="10"/>
      <c r="G953" s="17"/>
      <c r="H953" s="10"/>
      <c r="I953" s="17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>
      <c r="A954" s="15"/>
      <c r="B954" s="16"/>
      <c r="C954" s="17"/>
      <c r="D954" s="17"/>
      <c r="E954" s="17"/>
      <c r="F954" s="10"/>
      <c r="G954" s="17"/>
      <c r="H954" s="10"/>
      <c r="I954" s="17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>
      <c r="A955" s="15"/>
      <c r="B955" s="16"/>
      <c r="C955" s="17"/>
      <c r="D955" s="17"/>
      <c r="E955" s="17"/>
      <c r="F955" s="10"/>
      <c r="G955" s="17"/>
      <c r="H955" s="10"/>
      <c r="I955" s="17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>
      <c r="A956" s="15"/>
      <c r="B956" s="16"/>
      <c r="C956" s="17"/>
      <c r="D956" s="17"/>
      <c r="E956" s="17"/>
      <c r="F956" s="10"/>
      <c r="G956" s="17"/>
      <c r="H956" s="10"/>
      <c r="I956" s="17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>
      <c r="A957" s="15"/>
      <c r="B957" s="16"/>
      <c r="C957" s="17"/>
      <c r="D957" s="17"/>
      <c r="E957" s="17"/>
      <c r="F957" s="10"/>
      <c r="G957" s="17"/>
      <c r="H957" s="10"/>
      <c r="I957" s="17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>
      <c r="A958" s="15"/>
      <c r="B958" s="16"/>
      <c r="C958" s="17"/>
      <c r="D958" s="17"/>
      <c r="E958" s="17"/>
      <c r="F958" s="10"/>
      <c r="G958" s="17"/>
      <c r="H958" s="10"/>
      <c r="I958" s="17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>
      <c r="A959" s="15"/>
      <c r="B959" s="16"/>
      <c r="C959" s="17"/>
      <c r="D959" s="17"/>
      <c r="E959" s="17"/>
      <c r="F959" s="10"/>
      <c r="G959" s="17"/>
      <c r="H959" s="10"/>
      <c r="I959" s="17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>
      <c r="A960" s="15"/>
      <c r="B960" s="16"/>
      <c r="C960" s="17"/>
      <c r="D960" s="17"/>
      <c r="E960" s="17"/>
      <c r="F960" s="10"/>
      <c r="G960" s="17"/>
      <c r="H960" s="10"/>
      <c r="I960" s="17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>
      <c r="A961" s="15"/>
      <c r="B961" s="16"/>
      <c r="C961" s="17"/>
      <c r="D961" s="17"/>
      <c r="E961" s="17"/>
      <c r="F961" s="10"/>
      <c r="G961" s="17"/>
      <c r="H961" s="10"/>
      <c r="I961" s="17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>
      <c r="A962" s="15"/>
      <c r="B962" s="16"/>
      <c r="C962" s="17"/>
      <c r="D962" s="17"/>
      <c r="E962" s="17"/>
      <c r="F962" s="10"/>
      <c r="G962" s="17"/>
      <c r="H962" s="10"/>
      <c r="I962" s="17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>
      <c r="A963" s="15"/>
      <c r="B963" s="16"/>
      <c r="C963" s="17"/>
      <c r="D963" s="17"/>
      <c r="E963" s="17"/>
      <c r="F963" s="10"/>
      <c r="G963" s="17"/>
      <c r="H963" s="10"/>
      <c r="I963" s="17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>
      <c r="A964" s="15"/>
      <c r="B964" s="16"/>
      <c r="C964" s="17"/>
      <c r="D964" s="17"/>
      <c r="E964" s="17"/>
      <c r="F964" s="10"/>
      <c r="G964" s="17"/>
      <c r="H964" s="10"/>
      <c r="I964" s="17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>
      <c r="A965" s="15"/>
      <c r="B965" s="16"/>
      <c r="C965" s="17"/>
      <c r="D965" s="17"/>
      <c r="E965" s="17"/>
      <c r="F965" s="10"/>
      <c r="G965" s="17"/>
      <c r="H965" s="10"/>
      <c r="I965" s="17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>
      <c r="A966" s="15"/>
      <c r="B966" s="16"/>
      <c r="C966" s="17"/>
      <c r="D966" s="17"/>
      <c r="E966" s="17"/>
      <c r="F966" s="10"/>
      <c r="G966" s="17"/>
      <c r="H966" s="10"/>
      <c r="I966" s="17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>
      <c r="A967" s="15"/>
      <c r="B967" s="16"/>
      <c r="C967" s="17"/>
      <c r="D967" s="17"/>
      <c r="E967" s="17"/>
      <c r="F967" s="10"/>
      <c r="G967" s="17"/>
      <c r="H967" s="10"/>
      <c r="I967" s="17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>
      <c r="A968" s="15"/>
      <c r="B968" s="16"/>
      <c r="C968" s="17"/>
      <c r="D968" s="17"/>
      <c r="E968" s="17"/>
      <c r="F968" s="10"/>
      <c r="G968" s="17"/>
      <c r="H968" s="10"/>
      <c r="I968" s="17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>
      <c r="A969" s="15"/>
      <c r="B969" s="16"/>
      <c r="C969" s="17"/>
      <c r="D969" s="17"/>
      <c r="E969" s="17"/>
      <c r="F969" s="10"/>
      <c r="G969" s="17"/>
      <c r="H969" s="10"/>
      <c r="I969" s="17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>
      <c r="A970" s="15"/>
      <c r="B970" s="16"/>
      <c r="C970" s="17"/>
      <c r="D970" s="17"/>
      <c r="E970" s="17"/>
      <c r="F970" s="10"/>
      <c r="G970" s="17"/>
      <c r="H970" s="10"/>
      <c r="I970" s="17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>
      <c r="A971" s="15"/>
      <c r="B971" s="16"/>
      <c r="C971" s="17"/>
      <c r="D971" s="17"/>
      <c r="E971" s="17"/>
      <c r="F971" s="10"/>
      <c r="G971" s="17"/>
      <c r="H971" s="10"/>
      <c r="I971" s="17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>
      <c r="A972" s="15"/>
      <c r="B972" s="16"/>
      <c r="C972" s="17"/>
      <c r="D972" s="17"/>
      <c r="E972" s="17"/>
      <c r="F972" s="10"/>
      <c r="G972" s="17"/>
      <c r="H972" s="10"/>
      <c r="I972" s="17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>
      <c r="A973" s="15"/>
      <c r="B973" s="16"/>
      <c r="C973" s="17"/>
      <c r="D973" s="17"/>
      <c r="E973" s="17"/>
      <c r="F973" s="10"/>
      <c r="G973" s="17"/>
      <c r="H973" s="10"/>
      <c r="I973" s="17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>
      <c r="A974" s="15"/>
      <c r="B974" s="16"/>
      <c r="C974" s="17"/>
      <c r="D974" s="17"/>
      <c r="E974" s="17"/>
      <c r="F974" s="10"/>
      <c r="G974" s="17"/>
      <c r="H974" s="10"/>
      <c r="I974" s="17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>
      <c r="A975" s="15"/>
      <c r="B975" s="16"/>
      <c r="C975" s="17"/>
      <c r="D975" s="17"/>
      <c r="E975" s="17"/>
      <c r="F975" s="10"/>
      <c r="G975" s="17"/>
      <c r="H975" s="10"/>
      <c r="I975" s="17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>
      <c r="A976" s="15"/>
      <c r="B976" s="16"/>
      <c r="C976" s="17"/>
      <c r="D976" s="17"/>
      <c r="E976" s="17"/>
      <c r="F976" s="10"/>
      <c r="G976" s="17"/>
      <c r="H976" s="10"/>
      <c r="I976" s="17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>
      <c r="A977" s="15"/>
      <c r="B977" s="16"/>
      <c r="C977" s="17"/>
      <c r="D977" s="17"/>
      <c r="E977" s="17"/>
      <c r="F977" s="10"/>
      <c r="G977" s="17"/>
      <c r="H977" s="10"/>
      <c r="I977" s="17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>
      <c r="A978" s="15"/>
      <c r="B978" s="16"/>
      <c r="C978" s="17"/>
      <c r="D978" s="17"/>
      <c r="E978" s="17"/>
      <c r="F978" s="10"/>
      <c r="G978" s="17"/>
      <c r="H978" s="10"/>
      <c r="I978" s="17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>
      <c r="A979" s="15"/>
      <c r="B979" s="16"/>
      <c r="C979" s="17"/>
      <c r="D979" s="17"/>
      <c r="E979" s="17"/>
      <c r="F979" s="10"/>
      <c r="G979" s="17"/>
      <c r="H979" s="10"/>
      <c r="I979" s="17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>
      <c r="A980" s="15"/>
      <c r="B980" s="16"/>
      <c r="C980" s="17"/>
      <c r="D980" s="17"/>
      <c r="E980" s="17"/>
      <c r="F980" s="10"/>
      <c r="G980" s="17"/>
      <c r="H980" s="10"/>
      <c r="I980" s="17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>
      <c r="A981" s="15"/>
      <c r="B981" s="16"/>
      <c r="C981" s="17"/>
      <c r="D981" s="17"/>
      <c r="E981" s="17"/>
      <c r="F981" s="10"/>
      <c r="G981" s="17"/>
      <c r="H981" s="10"/>
      <c r="I981" s="17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>
      <c r="A982" s="15"/>
      <c r="B982" s="16"/>
      <c r="C982" s="17"/>
      <c r="D982" s="17"/>
      <c r="E982" s="17"/>
      <c r="F982" s="10"/>
      <c r="G982" s="17"/>
      <c r="H982" s="10"/>
      <c r="I982" s="17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>
      <c r="A983" s="15"/>
      <c r="B983" s="16"/>
      <c r="C983" s="17"/>
      <c r="D983" s="17"/>
      <c r="E983" s="17"/>
      <c r="F983" s="10"/>
      <c r="G983" s="17"/>
      <c r="H983" s="10"/>
      <c r="I983" s="17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>
      <c r="A984" s="15"/>
      <c r="B984" s="16"/>
      <c r="C984" s="17"/>
      <c r="D984" s="17"/>
      <c r="E984" s="17"/>
      <c r="F984" s="10"/>
      <c r="G984" s="17"/>
      <c r="H984" s="10"/>
      <c r="I984" s="17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>
      <c r="A985" s="15"/>
      <c r="B985" s="16"/>
      <c r="C985" s="17"/>
      <c r="D985" s="17"/>
      <c r="E985" s="17"/>
      <c r="F985" s="10"/>
      <c r="G985" s="17"/>
      <c r="H985" s="10"/>
      <c r="I985" s="17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>
      <c r="A986" s="15"/>
      <c r="B986" s="16"/>
      <c r="C986" s="17"/>
      <c r="D986" s="17"/>
      <c r="E986" s="17"/>
      <c r="F986" s="10"/>
      <c r="G986" s="17"/>
      <c r="H986" s="10"/>
      <c r="I986" s="17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>
      <c r="A987" s="15"/>
      <c r="B987" s="16"/>
      <c r="C987" s="17"/>
      <c r="D987" s="17"/>
      <c r="E987" s="17"/>
      <c r="F987" s="10"/>
      <c r="G987" s="17"/>
      <c r="H987" s="10"/>
      <c r="I987" s="17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>
      <c r="A988" s="15"/>
      <c r="B988" s="16"/>
      <c r="C988" s="17"/>
      <c r="D988" s="17"/>
      <c r="E988" s="17"/>
      <c r="F988" s="10"/>
      <c r="G988" s="17"/>
      <c r="H988" s="10"/>
      <c r="I988" s="17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>
      <c r="A989" s="15"/>
      <c r="B989" s="16"/>
      <c r="C989" s="17"/>
      <c r="D989" s="17"/>
      <c r="E989" s="17"/>
      <c r="F989" s="10"/>
      <c r="G989" s="17"/>
      <c r="H989" s="10"/>
      <c r="I989" s="17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>
      <c r="A990" s="15"/>
      <c r="B990" s="16"/>
      <c r="C990" s="17"/>
      <c r="D990" s="17"/>
      <c r="E990" s="17"/>
      <c r="F990" s="10"/>
      <c r="G990" s="17"/>
      <c r="H990" s="10"/>
      <c r="I990" s="17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15"/>
      <c r="B991" s="16"/>
      <c r="C991" s="17"/>
      <c r="D991" s="17"/>
      <c r="E991" s="17"/>
      <c r="F991" s="10"/>
      <c r="G991" s="17"/>
      <c r="H991" s="10"/>
      <c r="I991" s="17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>
      <c r="A992" s="15"/>
      <c r="B992" s="16"/>
      <c r="C992" s="17"/>
      <c r="D992" s="17"/>
      <c r="E992" s="17"/>
      <c r="F992" s="10"/>
      <c r="G992" s="17"/>
      <c r="H992" s="10"/>
      <c r="I992" s="17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15"/>
      <c r="B993" s="16"/>
      <c r="C993" s="17"/>
      <c r="D993" s="17"/>
      <c r="E993" s="17"/>
      <c r="F993" s="10"/>
      <c r="G993" s="17"/>
      <c r="H993" s="10"/>
      <c r="I993" s="17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>
      <c r="A994" s="15"/>
      <c r="B994" s="16"/>
      <c r="C994" s="17"/>
      <c r="D994" s="17"/>
      <c r="E994" s="17"/>
      <c r="F994" s="10"/>
      <c r="G994" s="17"/>
      <c r="H994" s="10"/>
      <c r="I994" s="17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>
      <c r="A995" s="15"/>
      <c r="B995" s="16"/>
      <c r="C995" s="17"/>
      <c r="D995" s="17"/>
      <c r="E995" s="17"/>
      <c r="F995" s="10"/>
      <c r="G995" s="17"/>
      <c r="H995" s="10"/>
      <c r="I995" s="17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>
      <c r="A996" s="15"/>
      <c r="B996" s="16"/>
      <c r="C996" s="17"/>
      <c r="D996" s="17"/>
      <c r="E996" s="17"/>
      <c r="F996" s="10"/>
      <c r="G996" s="17"/>
      <c r="H996" s="10"/>
      <c r="I996" s="17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>
      <c r="A997" s="15"/>
      <c r="B997" s="16"/>
      <c r="C997" s="17"/>
      <c r="D997" s="17"/>
      <c r="E997" s="17"/>
      <c r="F997" s="10"/>
      <c r="G997" s="17"/>
      <c r="H997" s="10"/>
      <c r="I997" s="17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>
      <c r="A998" s="15"/>
      <c r="B998" s="16"/>
      <c r="C998" s="17"/>
      <c r="D998" s="17"/>
      <c r="E998" s="17"/>
      <c r="F998" s="10"/>
      <c r="G998" s="17"/>
      <c r="H998" s="10"/>
      <c r="I998" s="17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>
      <c r="A999" s="15"/>
      <c r="B999" s="16"/>
      <c r="C999" s="17"/>
      <c r="D999" s="17"/>
      <c r="E999" s="17"/>
      <c r="F999" s="10"/>
      <c r="G999" s="17"/>
      <c r="H999" s="10"/>
      <c r="I999" s="17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>
      <c r="A1000" s="15"/>
      <c r="B1000" s="16"/>
      <c r="C1000" s="17"/>
      <c r="D1000" s="17"/>
      <c r="E1000" s="17"/>
      <c r="F1000" s="10"/>
      <c r="G1000" s="17"/>
      <c r="H1000" s="10"/>
      <c r="I1000" s="17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>
      <c r="A1001" s="15"/>
      <c r="B1001" s="16"/>
      <c r="C1001" s="17"/>
      <c r="D1001" s="17"/>
      <c r="E1001" s="17"/>
      <c r="F1001" s="10"/>
      <c r="G1001" s="17"/>
      <c r="H1001" s="10"/>
      <c r="I1001" s="17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</row>
    <row r="1002">
      <c r="A1002" s="15"/>
      <c r="B1002" s="16"/>
      <c r="C1002" s="17"/>
      <c r="D1002" s="17"/>
      <c r="E1002" s="17"/>
      <c r="F1002" s="10"/>
      <c r="G1002" s="17"/>
      <c r="H1002" s="10"/>
      <c r="I1002" s="17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  <row r="1003">
      <c r="A1003" s="15"/>
      <c r="B1003" s="16"/>
      <c r="C1003" s="17"/>
      <c r="D1003" s="17"/>
      <c r="E1003" s="17"/>
      <c r="F1003" s="10"/>
      <c r="G1003" s="17"/>
      <c r="H1003" s="10"/>
      <c r="I1003" s="17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</row>
    <row r="1004">
      <c r="A1004" s="15"/>
      <c r="B1004" s="16"/>
      <c r="C1004" s="17"/>
      <c r="D1004" s="17"/>
      <c r="E1004" s="17"/>
      <c r="F1004" s="10"/>
      <c r="G1004" s="17"/>
      <c r="H1004" s="10"/>
      <c r="I1004" s="17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</row>
    <row r="1005">
      <c r="A1005" s="15"/>
      <c r="B1005" s="16"/>
      <c r="C1005" s="17"/>
      <c r="D1005" s="17"/>
      <c r="E1005" s="17"/>
      <c r="F1005" s="10"/>
      <c r="G1005" s="17"/>
      <c r="H1005" s="10"/>
      <c r="I1005" s="17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</row>
    <row r="1006">
      <c r="A1006" s="15"/>
      <c r="B1006" s="16"/>
      <c r="C1006" s="17"/>
      <c r="D1006" s="17"/>
      <c r="E1006" s="17"/>
      <c r="F1006" s="10"/>
      <c r="G1006" s="17"/>
      <c r="H1006" s="10"/>
      <c r="I1006" s="17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</row>
    <row r="1007">
      <c r="A1007" s="15"/>
      <c r="B1007" s="16"/>
      <c r="C1007" s="17"/>
      <c r="D1007" s="17"/>
      <c r="E1007" s="17"/>
      <c r="F1007" s="10"/>
      <c r="G1007" s="17"/>
      <c r="H1007" s="10"/>
      <c r="I1007" s="17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</row>
    <row r="1008">
      <c r="A1008" s="15"/>
      <c r="B1008" s="16"/>
      <c r="C1008" s="17"/>
      <c r="D1008" s="17"/>
      <c r="E1008" s="17"/>
      <c r="F1008" s="10"/>
      <c r="G1008" s="17"/>
      <c r="H1008" s="10"/>
      <c r="I1008" s="17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</row>
    <row r="1009">
      <c r="A1009" s="15"/>
      <c r="B1009" s="16"/>
      <c r="C1009" s="17"/>
      <c r="D1009" s="17"/>
      <c r="E1009" s="17"/>
      <c r="F1009" s="10"/>
      <c r="G1009" s="17"/>
      <c r="H1009" s="10"/>
      <c r="I1009" s="17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</row>
    <row r="1010">
      <c r="A1010" s="15"/>
      <c r="B1010" s="16"/>
      <c r="C1010" s="17"/>
      <c r="D1010" s="17"/>
      <c r="E1010" s="17"/>
      <c r="F1010" s="10"/>
      <c r="G1010" s="17"/>
      <c r="H1010" s="10"/>
      <c r="I1010" s="17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</row>
    <row r="1011">
      <c r="A1011" s="15"/>
      <c r="B1011" s="16"/>
      <c r="C1011" s="17"/>
      <c r="D1011" s="17"/>
      <c r="E1011" s="17"/>
      <c r="F1011" s="10"/>
      <c r="G1011" s="17"/>
      <c r="H1011" s="10"/>
      <c r="I1011" s="17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</row>
    <row r="1012">
      <c r="A1012" s="15"/>
      <c r="B1012" s="16"/>
      <c r="C1012" s="17"/>
      <c r="D1012" s="17"/>
      <c r="E1012" s="17"/>
      <c r="F1012" s="10"/>
      <c r="G1012" s="17"/>
      <c r="H1012" s="10"/>
      <c r="I1012" s="17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</row>
    <row r="1013">
      <c r="A1013" s="15"/>
      <c r="B1013" s="16"/>
      <c r="C1013" s="17"/>
      <c r="D1013" s="17"/>
      <c r="E1013" s="17"/>
      <c r="F1013" s="10"/>
      <c r="G1013" s="17"/>
      <c r="H1013" s="10"/>
      <c r="I1013" s="17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</row>
    <row r="1014">
      <c r="A1014" s="15"/>
      <c r="B1014" s="16"/>
      <c r="C1014" s="17"/>
      <c r="D1014" s="17"/>
      <c r="E1014" s="17"/>
      <c r="F1014" s="10"/>
      <c r="G1014" s="17"/>
      <c r="H1014" s="10"/>
      <c r="I1014" s="17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</row>
    <row r="1015">
      <c r="A1015" s="15"/>
      <c r="B1015" s="16"/>
      <c r="C1015" s="17"/>
      <c r="D1015" s="17"/>
      <c r="E1015" s="17"/>
      <c r="F1015" s="10"/>
      <c r="G1015" s="17"/>
      <c r="H1015" s="10"/>
      <c r="I1015" s="17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</row>
    <row r="1016">
      <c r="A1016" s="15"/>
      <c r="B1016" s="16"/>
      <c r="C1016" s="17"/>
      <c r="D1016" s="17"/>
      <c r="E1016" s="17"/>
      <c r="F1016" s="10"/>
      <c r="G1016" s="17"/>
      <c r="H1016" s="10"/>
      <c r="I1016" s="17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</row>
    <row r="1017">
      <c r="A1017" s="15"/>
      <c r="B1017" s="16"/>
      <c r="C1017" s="17"/>
      <c r="D1017" s="17"/>
      <c r="E1017" s="17"/>
      <c r="F1017" s="10"/>
      <c r="G1017" s="17"/>
      <c r="H1017" s="10"/>
      <c r="I1017" s="17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</row>
    <row r="1018">
      <c r="A1018" s="15"/>
      <c r="B1018" s="16"/>
      <c r="C1018" s="17"/>
      <c r="D1018" s="17"/>
      <c r="E1018" s="17"/>
      <c r="F1018" s="10"/>
      <c r="G1018" s="17"/>
      <c r="H1018" s="10"/>
      <c r="I1018" s="17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</row>
    <row r="1019">
      <c r="A1019" s="15"/>
      <c r="B1019" s="16"/>
      <c r="C1019" s="17"/>
      <c r="D1019" s="17"/>
      <c r="E1019" s="17"/>
      <c r="F1019" s="10"/>
      <c r="G1019" s="17"/>
      <c r="H1019" s="10"/>
      <c r="I1019" s="17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</row>
    <row r="1020">
      <c r="A1020" s="15"/>
      <c r="B1020" s="16"/>
      <c r="C1020" s="17"/>
      <c r="D1020" s="17"/>
      <c r="E1020" s="17"/>
      <c r="F1020" s="10"/>
      <c r="G1020" s="17"/>
      <c r="H1020" s="10"/>
      <c r="I1020" s="17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</row>
    <row r="1021">
      <c r="A1021" s="15"/>
      <c r="B1021" s="16"/>
      <c r="C1021" s="17"/>
      <c r="D1021" s="17"/>
      <c r="E1021" s="17"/>
      <c r="F1021" s="10"/>
      <c r="G1021" s="17"/>
      <c r="H1021" s="10"/>
      <c r="I1021" s="17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</row>
    <row r="1022">
      <c r="A1022" s="15"/>
      <c r="B1022" s="16"/>
      <c r="C1022" s="17"/>
      <c r="D1022" s="17"/>
      <c r="E1022" s="17"/>
      <c r="F1022" s="10"/>
      <c r="G1022" s="17"/>
      <c r="H1022" s="10"/>
      <c r="I1022" s="17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</row>
    <row r="1023">
      <c r="A1023" s="15"/>
      <c r="B1023" s="16"/>
      <c r="C1023" s="17"/>
      <c r="D1023" s="17"/>
      <c r="E1023" s="17"/>
      <c r="F1023" s="10"/>
      <c r="G1023" s="17"/>
      <c r="H1023" s="10"/>
      <c r="I1023" s="17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</row>
    <row r="1024">
      <c r="A1024" s="15"/>
      <c r="B1024" s="16"/>
      <c r="C1024" s="17"/>
      <c r="D1024" s="17"/>
      <c r="E1024" s="17"/>
      <c r="F1024" s="10"/>
      <c r="G1024" s="17"/>
      <c r="H1024" s="10"/>
      <c r="I1024" s="17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</row>
    <row r="1025">
      <c r="A1025" s="15"/>
      <c r="B1025" s="16"/>
      <c r="C1025" s="17"/>
      <c r="D1025" s="17"/>
      <c r="E1025" s="17"/>
      <c r="F1025" s="10"/>
      <c r="G1025" s="17"/>
      <c r="H1025" s="10"/>
      <c r="I1025" s="17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</row>
    <row r="1026">
      <c r="A1026" s="15"/>
      <c r="B1026" s="16"/>
      <c r="C1026" s="17"/>
      <c r="D1026" s="17"/>
      <c r="E1026" s="17"/>
      <c r="F1026" s="10"/>
      <c r="G1026" s="17"/>
      <c r="H1026" s="10"/>
      <c r="I1026" s="17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</row>
    <row r="1027">
      <c r="A1027" s="15"/>
      <c r="B1027" s="16"/>
      <c r="C1027" s="17"/>
      <c r="D1027" s="17"/>
      <c r="E1027" s="17"/>
      <c r="F1027" s="10"/>
      <c r="G1027" s="17"/>
      <c r="H1027" s="10"/>
      <c r="I1027" s="17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</row>
    <row r="1028">
      <c r="A1028" s="15"/>
      <c r="B1028" s="16"/>
      <c r="C1028" s="17"/>
      <c r="D1028" s="17"/>
      <c r="E1028" s="17"/>
      <c r="F1028" s="10"/>
      <c r="G1028" s="17"/>
      <c r="H1028" s="10"/>
      <c r="I1028" s="17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</row>
    <row r="1029">
      <c r="A1029" s="15"/>
      <c r="B1029" s="16"/>
      <c r="C1029" s="17"/>
      <c r="D1029" s="17"/>
      <c r="E1029" s="17"/>
      <c r="F1029" s="10"/>
      <c r="G1029" s="17"/>
      <c r="H1029" s="10"/>
      <c r="I1029" s="17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</row>
    <row r="1030">
      <c r="A1030" s="15"/>
      <c r="B1030" s="16"/>
      <c r="C1030" s="17"/>
      <c r="D1030" s="17"/>
      <c r="E1030" s="17"/>
      <c r="F1030" s="10"/>
      <c r="G1030" s="17"/>
      <c r="H1030" s="10"/>
      <c r="I1030" s="17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</row>
    <row r="1031">
      <c r="A1031" s="15"/>
      <c r="B1031" s="16"/>
      <c r="C1031" s="17"/>
      <c r="D1031" s="17"/>
      <c r="E1031" s="17"/>
      <c r="F1031" s="10"/>
      <c r="G1031" s="17"/>
      <c r="H1031" s="10"/>
      <c r="I1031" s="17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</row>
    <row r="1032">
      <c r="A1032" s="15"/>
      <c r="B1032" s="16"/>
      <c r="C1032" s="17"/>
      <c r="D1032" s="17"/>
      <c r="E1032" s="17"/>
      <c r="F1032" s="10"/>
      <c r="G1032" s="17"/>
      <c r="H1032" s="10"/>
      <c r="I1032" s="17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</row>
    <row r="1033">
      <c r="A1033" s="15"/>
      <c r="B1033" s="16"/>
      <c r="C1033" s="17"/>
      <c r="D1033" s="17"/>
      <c r="E1033" s="17"/>
      <c r="F1033" s="10"/>
      <c r="G1033" s="17"/>
      <c r="H1033" s="10"/>
      <c r="I1033" s="17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</row>
    <row r="1034">
      <c r="A1034" s="15"/>
      <c r="B1034" s="16"/>
      <c r="C1034" s="17"/>
      <c r="D1034" s="17"/>
      <c r="E1034" s="17"/>
      <c r="F1034" s="10"/>
      <c r="G1034" s="17"/>
      <c r="H1034" s="10"/>
      <c r="I1034" s="17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</row>
    <row r="1035">
      <c r="A1035" s="15"/>
      <c r="B1035" s="16"/>
      <c r="C1035" s="17"/>
      <c r="D1035" s="17"/>
      <c r="E1035" s="17"/>
      <c r="F1035" s="10"/>
      <c r="G1035" s="17"/>
      <c r="H1035" s="10"/>
      <c r="I1035" s="17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</row>
    <row r="1036">
      <c r="A1036" s="15"/>
      <c r="B1036" s="16"/>
      <c r="C1036" s="17"/>
      <c r="D1036" s="17"/>
      <c r="E1036" s="17"/>
      <c r="F1036" s="10"/>
      <c r="G1036" s="17"/>
      <c r="H1036" s="10"/>
      <c r="I1036" s="17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</row>
    <row r="1037">
      <c r="A1037" s="15"/>
      <c r="B1037" s="16"/>
      <c r="C1037" s="17"/>
      <c r="D1037" s="17"/>
      <c r="E1037" s="17"/>
      <c r="F1037" s="10"/>
      <c r="G1037" s="17"/>
      <c r="H1037" s="10"/>
      <c r="I1037" s="17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</row>
    <row r="1038">
      <c r="A1038" s="15"/>
      <c r="B1038" s="16"/>
      <c r="C1038" s="17"/>
      <c r="D1038" s="17"/>
      <c r="E1038" s="17"/>
      <c r="F1038" s="10"/>
      <c r="G1038" s="17"/>
      <c r="H1038" s="10"/>
      <c r="I1038" s="17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</row>
    <row r="1039">
      <c r="A1039" s="15"/>
      <c r="B1039" s="16"/>
      <c r="C1039" s="17"/>
      <c r="D1039" s="17"/>
      <c r="E1039" s="17"/>
      <c r="F1039" s="10"/>
      <c r="G1039" s="17"/>
      <c r="H1039" s="10"/>
      <c r="I1039" s="17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</row>
    <row r="1040">
      <c r="A1040" s="15"/>
      <c r="B1040" s="16"/>
      <c r="C1040" s="17"/>
      <c r="D1040" s="17"/>
      <c r="E1040" s="17"/>
      <c r="F1040" s="10"/>
      <c r="G1040" s="17"/>
      <c r="H1040" s="10"/>
      <c r="I1040" s="17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</row>
    <row r="1041">
      <c r="A1041" s="15"/>
      <c r="B1041" s="16"/>
      <c r="C1041" s="17"/>
      <c r="D1041" s="17"/>
      <c r="E1041" s="17"/>
      <c r="F1041" s="10"/>
      <c r="G1041" s="17"/>
      <c r="H1041" s="10"/>
      <c r="I1041" s="17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</row>
    <row r="1042">
      <c r="A1042" s="15"/>
      <c r="B1042" s="16"/>
      <c r="C1042" s="17"/>
      <c r="D1042" s="17"/>
      <c r="E1042" s="17"/>
      <c r="F1042" s="10"/>
      <c r="G1042" s="17"/>
      <c r="H1042" s="10"/>
      <c r="I1042" s="17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</row>
    <row r="1043">
      <c r="A1043" s="15"/>
      <c r="B1043" s="16"/>
      <c r="C1043" s="17"/>
      <c r="D1043" s="17"/>
      <c r="E1043" s="17"/>
      <c r="F1043" s="10"/>
      <c r="G1043" s="17"/>
      <c r="H1043" s="10"/>
      <c r="I1043" s="17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</row>
    <row r="1044">
      <c r="A1044" s="15"/>
      <c r="B1044" s="16"/>
      <c r="C1044" s="17"/>
      <c r="D1044" s="17"/>
      <c r="E1044" s="17"/>
      <c r="F1044" s="10"/>
      <c r="G1044" s="17"/>
      <c r="H1044" s="10"/>
      <c r="I1044" s="17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</row>
    <row r="1045">
      <c r="A1045" s="15"/>
      <c r="B1045" s="16"/>
      <c r="C1045" s="17"/>
      <c r="D1045" s="17"/>
      <c r="E1045" s="17"/>
      <c r="F1045" s="10"/>
      <c r="G1045" s="17"/>
      <c r="H1045" s="10"/>
      <c r="I1045" s="17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</row>
    <row r="1046">
      <c r="A1046" s="15"/>
      <c r="B1046" s="16"/>
      <c r="C1046" s="17"/>
      <c r="D1046" s="17"/>
      <c r="E1046" s="17"/>
      <c r="F1046" s="10"/>
      <c r="G1046" s="17"/>
      <c r="H1046" s="10"/>
      <c r="I1046" s="17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</row>
    <row r="1047">
      <c r="A1047" s="15"/>
      <c r="B1047" s="16"/>
      <c r="C1047" s="17"/>
      <c r="D1047" s="17"/>
      <c r="E1047" s="17"/>
      <c r="F1047" s="10"/>
      <c r="G1047" s="17"/>
      <c r="H1047" s="10"/>
      <c r="I1047" s="17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</row>
    <row r="1048">
      <c r="A1048" s="15"/>
      <c r="B1048" s="16"/>
      <c r="C1048" s="17"/>
      <c r="D1048" s="17"/>
      <c r="E1048" s="17"/>
      <c r="F1048" s="10"/>
      <c r="G1048" s="17"/>
      <c r="H1048" s="10"/>
      <c r="I1048" s="17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</row>
    <row r="1049">
      <c r="A1049" s="15"/>
      <c r="B1049" s="16"/>
      <c r="C1049" s="17"/>
      <c r="D1049" s="17"/>
      <c r="E1049" s="17"/>
      <c r="F1049" s="10"/>
      <c r="G1049" s="17"/>
      <c r="H1049" s="10"/>
      <c r="I1049" s="17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>
      <c r="A1050" s="15"/>
      <c r="B1050" s="16"/>
      <c r="C1050" s="17"/>
      <c r="D1050" s="17"/>
      <c r="E1050" s="17"/>
      <c r="F1050" s="10"/>
      <c r="G1050" s="17"/>
      <c r="H1050" s="10"/>
      <c r="I1050" s="17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</row>
    <row r="1051">
      <c r="A1051" s="15"/>
      <c r="B1051" s="16"/>
      <c r="C1051" s="17"/>
      <c r="D1051" s="17"/>
      <c r="E1051" s="17"/>
      <c r="F1051" s="10"/>
      <c r="G1051" s="17"/>
      <c r="H1051" s="10"/>
      <c r="I1051" s="17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</row>
    <row r="1052">
      <c r="A1052" s="15"/>
      <c r="B1052" s="16"/>
      <c r="C1052" s="17"/>
      <c r="D1052" s="17"/>
      <c r="E1052" s="17"/>
      <c r="F1052" s="10"/>
      <c r="G1052" s="17"/>
      <c r="H1052" s="10"/>
      <c r="I1052" s="17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</row>
    <row r="1053">
      <c r="A1053" s="15"/>
      <c r="B1053" s="16"/>
      <c r="C1053" s="17"/>
      <c r="D1053" s="17"/>
      <c r="E1053" s="17"/>
      <c r="F1053" s="10"/>
      <c r="G1053" s="17"/>
      <c r="H1053" s="10"/>
      <c r="I1053" s="17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</row>
    <row r="1054">
      <c r="A1054" s="15"/>
      <c r="B1054" s="16"/>
      <c r="C1054" s="17"/>
      <c r="D1054" s="17"/>
      <c r="E1054" s="17"/>
      <c r="F1054" s="10"/>
      <c r="G1054" s="17"/>
      <c r="H1054" s="10"/>
      <c r="I1054" s="17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</row>
    <row r="1055">
      <c r="A1055" s="15"/>
      <c r="B1055" s="16"/>
      <c r="C1055" s="17"/>
      <c r="D1055" s="17"/>
      <c r="E1055" s="17"/>
      <c r="F1055" s="10"/>
      <c r="G1055" s="17"/>
      <c r="H1055" s="10"/>
      <c r="I1055" s="17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</row>
    <row r="1056">
      <c r="A1056" s="15"/>
      <c r="B1056" s="16"/>
      <c r="C1056" s="17"/>
      <c r="D1056" s="17"/>
      <c r="E1056" s="17"/>
      <c r="F1056" s="10"/>
      <c r="G1056" s="17"/>
      <c r="H1056" s="10"/>
      <c r="I1056" s="17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</row>
    <row r="1057">
      <c r="A1057" s="15"/>
      <c r="B1057" s="16"/>
      <c r="C1057" s="17"/>
      <c r="D1057" s="17"/>
      <c r="E1057" s="17"/>
      <c r="F1057" s="10"/>
      <c r="G1057" s="17"/>
      <c r="H1057" s="10"/>
      <c r="I1057" s="17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</row>
    <row r="1058">
      <c r="A1058" s="15"/>
      <c r="B1058" s="16"/>
      <c r="C1058" s="17"/>
      <c r="D1058" s="17"/>
      <c r="E1058" s="17"/>
      <c r="F1058" s="10"/>
      <c r="G1058" s="17"/>
      <c r="H1058" s="10"/>
      <c r="I1058" s="17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</row>
    <row r="1059">
      <c r="A1059" s="15"/>
      <c r="B1059" s="16"/>
      <c r="C1059" s="17"/>
      <c r="D1059" s="17"/>
      <c r="E1059" s="17"/>
      <c r="F1059" s="10"/>
      <c r="G1059" s="17"/>
      <c r="H1059" s="10"/>
      <c r="I1059" s="17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</row>
    <row r="1060">
      <c r="A1060" s="15"/>
      <c r="B1060" s="16"/>
      <c r="C1060" s="17"/>
      <c r="D1060" s="17"/>
      <c r="E1060" s="17"/>
      <c r="F1060" s="10"/>
      <c r="G1060" s="17"/>
      <c r="H1060" s="10"/>
      <c r="I1060" s="17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</row>
    <row r="1061">
      <c r="A1061" s="15"/>
      <c r="B1061" s="16"/>
      <c r="C1061" s="17"/>
      <c r="D1061" s="17"/>
      <c r="E1061" s="17"/>
      <c r="F1061" s="10"/>
      <c r="G1061" s="17"/>
      <c r="H1061" s="10"/>
      <c r="I1061" s="17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</row>
    <row r="1062">
      <c r="A1062" s="15"/>
      <c r="B1062" s="16"/>
      <c r="C1062" s="17"/>
      <c r="D1062" s="17"/>
      <c r="E1062" s="17"/>
      <c r="F1062" s="10"/>
      <c r="G1062" s="17"/>
      <c r="H1062" s="10"/>
      <c r="I1062" s="17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</row>
    <row r="1063">
      <c r="A1063" s="15"/>
      <c r="B1063" s="16"/>
      <c r="C1063" s="17"/>
      <c r="D1063" s="17"/>
      <c r="E1063" s="17"/>
      <c r="F1063" s="10"/>
      <c r="G1063" s="17"/>
      <c r="H1063" s="10"/>
      <c r="I1063" s="17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</row>
    <row r="1064">
      <c r="A1064" s="15"/>
      <c r="B1064" s="16"/>
      <c r="C1064" s="17"/>
      <c r="D1064" s="17"/>
      <c r="E1064" s="17"/>
      <c r="F1064" s="10"/>
      <c r="G1064" s="17"/>
      <c r="H1064" s="10"/>
      <c r="I1064" s="17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</row>
    <row r="1065">
      <c r="A1065" s="15"/>
      <c r="B1065" s="16"/>
      <c r="C1065" s="17"/>
      <c r="D1065" s="17"/>
      <c r="E1065" s="17"/>
      <c r="F1065" s="10"/>
      <c r="G1065" s="17"/>
      <c r="H1065" s="10"/>
      <c r="I1065" s="17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</row>
    <row r="1066">
      <c r="A1066" s="15"/>
      <c r="B1066" s="16"/>
      <c r="C1066" s="17"/>
      <c r="D1066" s="17"/>
      <c r="E1066" s="17"/>
      <c r="F1066" s="10"/>
      <c r="G1066" s="17"/>
      <c r="H1066" s="10"/>
      <c r="I1066" s="17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</row>
    <row r="1067">
      <c r="A1067" s="15"/>
      <c r="B1067" s="16"/>
      <c r="C1067" s="17"/>
      <c r="D1067" s="17"/>
      <c r="E1067" s="17"/>
      <c r="F1067" s="10"/>
      <c r="G1067" s="17"/>
      <c r="H1067" s="10"/>
      <c r="I1067" s="17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</row>
    <row r="1068">
      <c r="A1068" s="15"/>
      <c r="B1068" s="16"/>
      <c r="C1068" s="17"/>
      <c r="D1068" s="17"/>
      <c r="E1068" s="17"/>
      <c r="F1068" s="10"/>
      <c r="G1068" s="17"/>
      <c r="H1068" s="10"/>
      <c r="I1068" s="17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</row>
    <row r="1069">
      <c r="A1069" s="15"/>
      <c r="B1069" s="16"/>
      <c r="C1069" s="17"/>
      <c r="D1069" s="17"/>
      <c r="E1069" s="17"/>
      <c r="F1069" s="10"/>
      <c r="G1069" s="17"/>
      <c r="H1069" s="10"/>
      <c r="I1069" s="17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</row>
    <row r="1070">
      <c r="A1070" s="15"/>
      <c r="B1070" s="16"/>
      <c r="C1070" s="17"/>
      <c r="D1070" s="17"/>
      <c r="E1070" s="17"/>
      <c r="F1070" s="10"/>
      <c r="G1070" s="17"/>
      <c r="H1070" s="10"/>
      <c r="I1070" s="17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</row>
    <row r="1071">
      <c r="A1071" s="15"/>
      <c r="B1071" s="16"/>
      <c r="C1071" s="17"/>
      <c r="D1071" s="17"/>
      <c r="E1071" s="17"/>
      <c r="F1071" s="10"/>
      <c r="G1071" s="17"/>
      <c r="H1071" s="10"/>
      <c r="I1071" s="17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</row>
    <row r="1072">
      <c r="A1072" s="15"/>
      <c r="B1072" s="16"/>
      <c r="C1072" s="17"/>
      <c r="D1072" s="17"/>
      <c r="E1072" s="17"/>
      <c r="F1072" s="10"/>
      <c r="G1072" s="17"/>
      <c r="H1072" s="10"/>
      <c r="I1072" s="17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</row>
    <row r="1073">
      <c r="A1073" s="15"/>
      <c r="B1073" s="16"/>
      <c r="C1073" s="17"/>
      <c r="D1073" s="17"/>
      <c r="E1073" s="17"/>
      <c r="F1073" s="10"/>
      <c r="G1073" s="17"/>
      <c r="H1073" s="10"/>
      <c r="I1073" s="17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</row>
    <row r="1074">
      <c r="A1074" s="15"/>
      <c r="B1074" s="16"/>
      <c r="C1074" s="17"/>
      <c r="D1074" s="17"/>
      <c r="E1074" s="17"/>
      <c r="F1074" s="10"/>
      <c r="G1074" s="17"/>
      <c r="H1074" s="10"/>
      <c r="I1074" s="17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</row>
    <row r="1075">
      <c r="A1075" s="15"/>
      <c r="B1075" s="16"/>
      <c r="C1075" s="17"/>
      <c r="D1075" s="17"/>
      <c r="E1075" s="17"/>
      <c r="F1075" s="10"/>
      <c r="G1075" s="17"/>
      <c r="H1075" s="10"/>
      <c r="I1075" s="17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</row>
    <row r="1076">
      <c r="A1076" s="15"/>
      <c r="B1076" s="16"/>
      <c r="C1076" s="17"/>
      <c r="D1076" s="17"/>
      <c r="E1076" s="17"/>
      <c r="F1076" s="10"/>
      <c r="G1076" s="17"/>
      <c r="H1076" s="10"/>
      <c r="I1076" s="17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</row>
    <row r="1077">
      <c r="A1077" s="15"/>
      <c r="B1077" s="16"/>
      <c r="C1077" s="17"/>
      <c r="D1077" s="17"/>
      <c r="E1077" s="17"/>
      <c r="F1077" s="10"/>
      <c r="G1077" s="17"/>
      <c r="H1077" s="10"/>
      <c r="I1077" s="17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</row>
    <row r="1078">
      <c r="A1078" s="15"/>
      <c r="B1078" s="16"/>
      <c r="C1078" s="17"/>
      <c r="D1078" s="17"/>
      <c r="E1078" s="17"/>
      <c r="F1078" s="10"/>
      <c r="G1078" s="17"/>
      <c r="H1078" s="10"/>
      <c r="I1078" s="17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</row>
    <row r="1079">
      <c r="A1079" s="15"/>
      <c r="B1079" s="16"/>
      <c r="C1079" s="17"/>
      <c r="D1079" s="17"/>
      <c r="E1079" s="17"/>
      <c r="F1079" s="10"/>
      <c r="G1079" s="17"/>
      <c r="H1079" s="10"/>
      <c r="I1079" s="17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</row>
    <row r="1080">
      <c r="A1080" s="15"/>
      <c r="B1080" s="16"/>
      <c r="C1080" s="17"/>
      <c r="D1080" s="17"/>
      <c r="E1080" s="17"/>
      <c r="F1080" s="10"/>
      <c r="G1080" s="17"/>
      <c r="H1080" s="10"/>
      <c r="I1080" s="17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</row>
    <row r="1081">
      <c r="A1081" s="15"/>
      <c r="B1081" s="16"/>
      <c r="C1081" s="17"/>
      <c r="D1081" s="17"/>
      <c r="E1081" s="17"/>
      <c r="F1081" s="10"/>
      <c r="G1081" s="17"/>
      <c r="H1081" s="10"/>
      <c r="I1081" s="17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</row>
    <row r="1082">
      <c r="A1082" s="15"/>
      <c r="B1082" s="16"/>
      <c r="C1082" s="17"/>
      <c r="D1082" s="17"/>
      <c r="E1082" s="17"/>
      <c r="F1082" s="10"/>
      <c r="G1082" s="17"/>
      <c r="H1082" s="10"/>
      <c r="I1082" s="17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</row>
    <row r="1083">
      <c r="A1083" s="15"/>
      <c r="B1083" s="16"/>
      <c r="C1083" s="17"/>
      <c r="D1083" s="17"/>
      <c r="E1083" s="17"/>
      <c r="F1083" s="10"/>
      <c r="G1083" s="17"/>
      <c r="H1083" s="10"/>
      <c r="I1083" s="17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</row>
    <row r="1084">
      <c r="A1084" s="15"/>
      <c r="B1084" s="16"/>
      <c r="C1084" s="17"/>
      <c r="D1084" s="17"/>
      <c r="E1084" s="17"/>
      <c r="F1084" s="10"/>
      <c r="G1084" s="17"/>
      <c r="H1084" s="10"/>
      <c r="I1084" s="17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</row>
    <row r="1085">
      <c r="A1085" s="15"/>
      <c r="B1085" s="16"/>
      <c r="C1085" s="17"/>
      <c r="D1085" s="17"/>
      <c r="E1085" s="17"/>
      <c r="F1085" s="10"/>
      <c r="G1085" s="17"/>
      <c r="H1085" s="10"/>
      <c r="I1085" s="17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</row>
    <row r="1086">
      <c r="A1086" s="15"/>
      <c r="B1086" s="16"/>
      <c r="C1086" s="17"/>
      <c r="D1086" s="17"/>
      <c r="E1086" s="17"/>
      <c r="F1086" s="10"/>
      <c r="G1086" s="17"/>
      <c r="H1086" s="10"/>
      <c r="I1086" s="17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</row>
    <row r="1087">
      <c r="A1087" s="15"/>
      <c r="B1087" s="16"/>
      <c r="C1087" s="17"/>
      <c r="D1087" s="17"/>
      <c r="E1087" s="17"/>
      <c r="F1087" s="10"/>
      <c r="G1087" s="17"/>
      <c r="H1087" s="10"/>
      <c r="I1087" s="17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</row>
    <row r="1088">
      <c r="A1088" s="15"/>
      <c r="B1088" s="16"/>
      <c r="C1088" s="17"/>
      <c r="D1088" s="17"/>
      <c r="E1088" s="17"/>
      <c r="F1088" s="10"/>
      <c r="G1088" s="17"/>
      <c r="H1088" s="10"/>
      <c r="I1088" s="17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</row>
    <row r="1089">
      <c r="A1089" s="15"/>
      <c r="B1089" s="16"/>
      <c r="C1089" s="17"/>
      <c r="D1089" s="17"/>
      <c r="E1089" s="17"/>
      <c r="F1089" s="10"/>
      <c r="G1089" s="17"/>
      <c r="H1089" s="10"/>
      <c r="I1089" s="17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</row>
    <row r="1090">
      <c r="A1090" s="15"/>
      <c r="B1090" s="16"/>
      <c r="C1090" s="17"/>
      <c r="D1090" s="17"/>
      <c r="E1090" s="17"/>
      <c r="F1090" s="10"/>
      <c r="G1090" s="17"/>
      <c r="H1090" s="10"/>
      <c r="I1090" s="17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</row>
    <row r="1091">
      <c r="A1091" s="15"/>
      <c r="B1091" s="16"/>
      <c r="C1091" s="17"/>
      <c r="D1091" s="17"/>
      <c r="E1091" s="17"/>
      <c r="F1091" s="10"/>
      <c r="G1091" s="17"/>
      <c r="H1091" s="10"/>
      <c r="I1091" s="17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</row>
    <row r="1092">
      <c r="A1092" s="15"/>
      <c r="B1092" s="16"/>
      <c r="C1092" s="17"/>
      <c r="D1092" s="17"/>
      <c r="E1092" s="17"/>
      <c r="F1092" s="10"/>
      <c r="G1092" s="17"/>
      <c r="H1092" s="10"/>
      <c r="I1092" s="17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</row>
    <row r="1093">
      <c r="A1093" s="15"/>
      <c r="B1093" s="16"/>
      <c r="C1093" s="17"/>
      <c r="D1093" s="17"/>
      <c r="E1093" s="17"/>
      <c r="F1093" s="10"/>
      <c r="G1093" s="17"/>
      <c r="H1093" s="10"/>
      <c r="I1093" s="17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</row>
    <row r="1094">
      <c r="A1094" s="15"/>
      <c r="B1094" s="16"/>
      <c r="C1094" s="17"/>
      <c r="D1094" s="17"/>
      <c r="E1094" s="17"/>
      <c r="F1094" s="10"/>
      <c r="G1094" s="17"/>
      <c r="H1094" s="10"/>
      <c r="I1094" s="17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</row>
    <row r="1095">
      <c r="A1095" s="15"/>
      <c r="B1095" s="16"/>
      <c r="C1095" s="17"/>
      <c r="D1095" s="17"/>
      <c r="E1095" s="17"/>
      <c r="F1095" s="10"/>
      <c r="G1095" s="17"/>
      <c r="H1095" s="10"/>
      <c r="I1095" s="17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</row>
    <row r="1096">
      <c r="A1096" s="15"/>
      <c r="B1096" s="16"/>
      <c r="C1096" s="17"/>
      <c r="D1096" s="17"/>
      <c r="E1096" s="17"/>
      <c r="F1096" s="10"/>
      <c r="G1096" s="17"/>
      <c r="H1096" s="10"/>
      <c r="I1096" s="17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</row>
    <row r="1097">
      <c r="A1097" s="15"/>
      <c r="B1097" s="16"/>
      <c r="C1097" s="17"/>
      <c r="D1097" s="17"/>
      <c r="E1097" s="17"/>
      <c r="F1097" s="10"/>
      <c r="G1097" s="17"/>
      <c r="H1097" s="10"/>
      <c r="I1097" s="17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</row>
    <row r="1098">
      <c r="A1098" s="15"/>
      <c r="B1098" s="16"/>
      <c r="C1098" s="17"/>
      <c r="D1098" s="17"/>
      <c r="E1098" s="17"/>
      <c r="F1098" s="10"/>
      <c r="G1098" s="17"/>
      <c r="H1098" s="10"/>
      <c r="I1098" s="17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</row>
    <row r="1099">
      <c r="A1099" s="15"/>
      <c r="B1099" s="16"/>
      <c r="C1099" s="17"/>
      <c r="D1099" s="17"/>
      <c r="E1099" s="17"/>
      <c r="F1099" s="10"/>
      <c r="G1099" s="17"/>
      <c r="H1099" s="10"/>
      <c r="I1099" s="17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</row>
    <row r="1100">
      <c r="A1100" s="15"/>
      <c r="B1100" s="16"/>
      <c r="C1100" s="17"/>
      <c r="D1100" s="17"/>
      <c r="E1100" s="17"/>
      <c r="F1100" s="10"/>
      <c r="G1100" s="17"/>
      <c r="H1100" s="10"/>
      <c r="I1100" s="17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</row>
    <row r="1101">
      <c r="A1101" s="15"/>
      <c r="B1101" s="16"/>
      <c r="C1101" s="17"/>
      <c r="D1101" s="17"/>
      <c r="E1101" s="17"/>
      <c r="F1101" s="10"/>
      <c r="G1101" s="17"/>
      <c r="H1101" s="10"/>
      <c r="I1101" s="17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</row>
    <row r="1102">
      <c r="A1102" s="15"/>
      <c r="B1102" s="16"/>
      <c r="C1102" s="17"/>
      <c r="D1102" s="17"/>
      <c r="E1102" s="17"/>
      <c r="F1102" s="10"/>
      <c r="G1102" s="17"/>
      <c r="H1102" s="10"/>
      <c r="I1102" s="17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</row>
    <row r="1103">
      <c r="A1103" s="15"/>
      <c r="B1103" s="16"/>
      <c r="C1103" s="17"/>
      <c r="D1103" s="17"/>
      <c r="E1103" s="17"/>
      <c r="F1103" s="10"/>
      <c r="G1103" s="17"/>
      <c r="H1103" s="10"/>
      <c r="I1103" s="17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</row>
    <row r="1104">
      <c r="A1104" s="15"/>
      <c r="B1104" s="16"/>
      <c r="C1104" s="17"/>
      <c r="D1104" s="17"/>
      <c r="E1104" s="17"/>
      <c r="F1104" s="10"/>
      <c r="G1104" s="17"/>
      <c r="H1104" s="10"/>
      <c r="I1104" s="17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</row>
    <row r="1105">
      <c r="A1105" s="15"/>
      <c r="B1105" s="16"/>
      <c r="C1105" s="17"/>
      <c r="D1105" s="17"/>
      <c r="E1105" s="17"/>
      <c r="F1105" s="10"/>
      <c r="G1105" s="17"/>
      <c r="H1105" s="10"/>
      <c r="I1105" s="17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</row>
    <row r="1106">
      <c r="A1106" s="15"/>
      <c r="B1106" s="16"/>
      <c r="C1106" s="17"/>
      <c r="D1106" s="17"/>
      <c r="E1106" s="17"/>
      <c r="F1106" s="10"/>
      <c r="G1106" s="17"/>
      <c r="H1106" s="10"/>
      <c r="I1106" s="17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</row>
    <row r="1107">
      <c r="A1107" s="15"/>
      <c r="B1107" s="16"/>
      <c r="C1107" s="17"/>
      <c r="D1107" s="17"/>
      <c r="E1107" s="17"/>
      <c r="F1107" s="10"/>
      <c r="G1107" s="17"/>
      <c r="H1107" s="10"/>
      <c r="I1107" s="17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</row>
    <row r="1108">
      <c r="A1108" s="15"/>
      <c r="B1108" s="16"/>
      <c r="C1108" s="17"/>
      <c r="D1108" s="17"/>
      <c r="E1108" s="17"/>
      <c r="F1108" s="10"/>
      <c r="G1108" s="17"/>
      <c r="H1108" s="10"/>
      <c r="I1108" s="17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</row>
    <row r="1109">
      <c r="A1109" s="15"/>
      <c r="B1109" s="16"/>
      <c r="C1109" s="17"/>
      <c r="D1109" s="17"/>
      <c r="E1109" s="17"/>
      <c r="F1109" s="10"/>
      <c r="G1109" s="17"/>
      <c r="H1109" s="10"/>
      <c r="I1109" s="17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</row>
    <row r="1110">
      <c r="A1110" s="15"/>
      <c r="B1110" s="16"/>
      <c r="C1110" s="17"/>
      <c r="D1110" s="17"/>
      <c r="E1110" s="17"/>
      <c r="F1110" s="10"/>
      <c r="G1110" s="17"/>
      <c r="H1110" s="10"/>
      <c r="I1110" s="17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</row>
    <row r="1111">
      <c r="A1111" s="15"/>
      <c r="B1111" s="16"/>
      <c r="C1111" s="17"/>
      <c r="D1111" s="17"/>
      <c r="E1111" s="17"/>
      <c r="F1111" s="10"/>
      <c r="G1111" s="17"/>
      <c r="H1111" s="10"/>
      <c r="I1111" s="17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</row>
    <row r="1112">
      <c r="A1112" s="15"/>
      <c r="B1112" s="16"/>
      <c r="C1112" s="17"/>
      <c r="D1112" s="17"/>
      <c r="E1112" s="17"/>
      <c r="F1112" s="10"/>
      <c r="G1112" s="17"/>
      <c r="H1112" s="10"/>
      <c r="I1112" s="17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</row>
    <row r="1113">
      <c r="A1113" s="15"/>
      <c r="B1113" s="16"/>
      <c r="C1113" s="17"/>
      <c r="D1113" s="17"/>
      <c r="E1113" s="17"/>
      <c r="F1113" s="10"/>
      <c r="G1113" s="17"/>
      <c r="H1113" s="10"/>
      <c r="I1113" s="17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</row>
    <row r="1114">
      <c r="A1114" s="15"/>
      <c r="B1114" s="16"/>
      <c r="C1114" s="17"/>
      <c r="D1114" s="17"/>
      <c r="E1114" s="17"/>
      <c r="F1114" s="10"/>
      <c r="G1114" s="17"/>
      <c r="H1114" s="10"/>
      <c r="I1114" s="17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</row>
    <row r="1115">
      <c r="A1115" s="15"/>
      <c r="B1115" s="16"/>
      <c r="C1115" s="17"/>
      <c r="D1115" s="17"/>
      <c r="E1115" s="17"/>
      <c r="F1115" s="10"/>
      <c r="G1115" s="17"/>
      <c r="H1115" s="10"/>
      <c r="I1115" s="17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</row>
    <row r="1116">
      <c r="A1116" s="15"/>
      <c r="B1116" s="16"/>
      <c r="C1116" s="17"/>
      <c r="D1116" s="17"/>
      <c r="E1116" s="17"/>
      <c r="F1116" s="10"/>
      <c r="G1116" s="17"/>
      <c r="H1116" s="10"/>
      <c r="I1116" s="17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</row>
    <row r="1117">
      <c r="A1117" s="15"/>
      <c r="B1117" s="16"/>
      <c r="C1117" s="17"/>
      <c r="D1117" s="17"/>
      <c r="E1117" s="17"/>
      <c r="F1117" s="10"/>
      <c r="G1117" s="17"/>
      <c r="H1117" s="10"/>
      <c r="I1117" s="17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</row>
    <row r="1118">
      <c r="A1118" s="15"/>
      <c r="B1118" s="16"/>
      <c r="C1118" s="17"/>
      <c r="D1118" s="17"/>
      <c r="E1118" s="17"/>
      <c r="F1118" s="10"/>
      <c r="G1118" s="17"/>
      <c r="H1118" s="10"/>
      <c r="I1118" s="17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</row>
    <row r="1119">
      <c r="A1119" s="15"/>
      <c r="B1119" s="16"/>
      <c r="C1119" s="17"/>
      <c r="D1119" s="17"/>
      <c r="E1119" s="17"/>
      <c r="F1119" s="10"/>
      <c r="G1119" s="17"/>
      <c r="H1119" s="10"/>
      <c r="I1119" s="17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</row>
    <row r="1120">
      <c r="A1120" s="15"/>
      <c r="B1120" s="16"/>
      <c r="C1120" s="17"/>
      <c r="D1120" s="17"/>
      <c r="E1120" s="17"/>
      <c r="F1120" s="10"/>
      <c r="G1120" s="17"/>
      <c r="H1120" s="10"/>
      <c r="I1120" s="17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</row>
    <row r="1121">
      <c r="A1121" s="15"/>
      <c r="B1121" s="16"/>
      <c r="C1121" s="17"/>
      <c r="D1121" s="17"/>
      <c r="E1121" s="17"/>
      <c r="F1121" s="10"/>
      <c r="G1121" s="17"/>
      <c r="H1121" s="10"/>
      <c r="I1121" s="17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</row>
    <row r="1122">
      <c r="A1122" s="15"/>
      <c r="B1122" s="16"/>
      <c r="C1122" s="17"/>
      <c r="D1122" s="17"/>
      <c r="E1122" s="17"/>
      <c r="F1122" s="10"/>
      <c r="G1122" s="17"/>
      <c r="H1122" s="10"/>
      <c r="I1122" s="17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</row>
    <row r="1123">
      <c r="A1123" s="15"/>
      <c r="B1123" s="16"/>
      <c r="C1123" s="17"/>
      <c r="D1123" s="17"/>
      <c r="E1123" s="17"/>
      <c r="F1123" s="10"/>
      <c r="G1123" s="17"/>
      <c r="H1123" s="10"/>
      <c r="I1123" s="17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</row>
    <row r="1124">
      <c r="A1124" s="15"/>
      <c r="B1124" s="16"/>
      <c r="C1124" s="17"/>
      <c r="D1124" s="17"/>
      <c r="E1124" s="17"/>
      <c r="F1124" s="10"/>
      <c r="G1124" s="17"/>
      <c r="H1124" s="10"/>
      <c r="I1124" s="17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</row>
    <row r="1125">
      <c r="A1125" s="15"/>
      <c r="B1125" s="16"/>
      <c r="C1125" s="17"/>
      <c r="D1125" s="17"/>
      <c r="E1125" s="17"/>
      <c r="F1125" s="10"/>
      <c r="G1125" s="17"/>
      <c r="H1125" s="10"/>
      <c r="I1125" s="17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</row>
    <row r="1126">
      <c r="A1126" s="15"/>
      <c r="B1126" s="16"/>
      <c r="C1126" s="17"/>
      <c r="D1126" s="17"/>
      <c r="E1126" s="17"/>
      <c r="F1126" s="10"/>
      <c r="G1126" s="17"/>
      <c r="H1126" s="10"/>
      <c r="I1126" s="17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</row>
    <row r="1127">
      <c r="A1127" s="15"/>
      <c r="B1127" s="16"/>
      <c r="C1127" s="17"/>
      <c r="D1127" s="17"/>
      <c r="E1127" s="17"/>
      <c r="F1127" s="10"/>
      <c r="G1127" s="17"/>
      <c r="H1127" s="10"/>
      <c r="I1127" s="17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</row>
    <row r="1128">
      <c r="A1128" s="15"/>
      <c r="B1128" s="16"/>
      <c r="C1128" s="17"/>
      <c r="D1128" s="17"/>
      <c r="E1128" s="17"/>
      <c r="F1128" s="10"/>
      <c r="G1128" s="17"/>
      <c r="H1128" s="10"/>
      <c r="I1128" s="17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</row>
    <row r="1129">
      <c r="A1129" s="15"/>
      <c r="B1129" s="16"/>
      <c r="C1129" s="17"/>
      <c r="D1129" s="17"/>
      <c r="E1129" s="17"/>
      <c r="F1129" s="10"/>
      <c r="G1129" s="17"/>
      <c r="H1129" s="10"/>
      <c r="I1129" s="17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</row>
    <row r="1130">
      <c r="A1130" s="15"/>
      <c r="B1130" s="16"/>
      <c r="C1130" s="17"/>
      <c r="D1130" s="17"/>
      <c r="E1130" s="17"/>
      <c r="F1130" s="10"/>
      <c r="G1130" s="17"/>
      <c r="H1130" s="10"/>
      <c r="I1130" s="17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</row>
    <row r="1131">
      <c r="A1131" s="15"/>
      <c r="B1131" s="16"/>
      <c r="C1131" s="17"/>
      <c r="D1131" s="17"/>
      <c r="E1131" s="17"/>
      <c r="F1131" s="10"/>
      <c r="G1131" s="17"/>
      <c r="H1131" s="10"/>
      <c r="I1131" s="17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</row>
    <row r="1132">
      <c r="A1132" s="15"/>
      <c r="B1132" s="16"/>
      <c r="C1132" s="17"/>
      <c r="D1132" s="17"/>
      <c r="E1132" s="17"/>
      <c r="F1132" s="10"/>
      <c r="G1132" s="17"/>
      <c r="H1132" s="10"/>
      <c r="I1132" s="17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</row>
    <row r="1133">
      <c r="A1133" s="15"/>
      <c r="B1133" s="16"/>
      <c r="C1133" s="17"/>
      <c r="D1133" s="17"/>
      <c r="E1133" s="17"/>
      <c r="F1133" s="10"/>
      <c r="G1133" s="17"/>
      <c r="H1133" s="10"/>
      <c r="I1133" s="17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</row>
    <row r="1134">
      <c r="A1134" s="15"/>
      <c r="B1134" s="16"/>
      <c r="C1134" s="17"/>
      <c r="D1134" s="17"/>
      <c r="E1134" s="17"/>
      <c r="F1134" s="10"/>
      <c r="G1134" s="17"/>
      <c r="H1134" s="10"/>
      <c r="I1134" s="17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</row>
    <row r="1135">
      <c r="A1135" s="15"/>
      <c r="B1135" s="16"/>
      <c r="C1135" s="17"/>
      <c r="D1135" s="17"/>
      <c r="E1135" s="17"/>
      <c r="F1135" s="10"/>
      <c r="G1135" s="17"/>
      <c r="H1135" s="10"/>
      <c r="I1135" s="17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</row>
    <row r="1136">
      <c r="A1136" s="15"/>
      <c r="B1136" s="16"/>
      <c r="C1136" s="17"/>
      <c r="D1136" s="17"/>
      <c r="E1136" s="17"/>
      <c r="F1136" s="10"/>
      <c r="G1136" s="17"/>
      <c r="H1136" s="10"/>
      <c r="I1136" s="17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</row>
    <row r="1137">
      <c r="A1137" s="15"/>
      <c r="B1137" s="16"/>
      <c r="C1137" s="17"/>
      <c r="D1137" s="17"/>
      <c r="E1137" s="17"/>
      <c r="F1137" s="10"/>
      <c r="G1137" s="17"/>
      <c r="H1137" s="10"/>
      <c r="I1137" s="17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</row>
    <row r="1138">
      <c r="A1138" s="15"/>
      <c r="B1138" s="16"/>
      <c r="C1138" s="17"/>
      <c r="D1138" s="17"/>
      <c r="E1138" s="17"/>
      <c r="F1138" s="10"/>
      <c r="G1138" s="17"/>
      <c r="H1138" s="10"/>
      <c r="I1138" s="17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</row>
    <row r="1139">
      <c r="A1139" s="15"/>
      <c r="B1139" s="16"/>
      <c r="C1139" s="17"/>
      <c r="D1139" s="17"/>
      <c r="E1139" s="17"/>
      <c r="F1139" s="10"/>
      <c r="G1139" s="17"/>
      <c r="H1139" s="10"/>
      <c r="I1139" s="17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</row>
    <row r="1140">
      <c r="A1140" s="15"/>
      <c r="B1140" s="16"/>
      <c r="C1140" s="17"/>
      <c r="D1140" s="17"/>
      <c r="E1140" s="17"/>
      <c r="F1140" s="10"/>
      <c r="G1140" s="17"/>
      <c r="H1140" s="10"/>
      <c r="I1140" s="17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</row>
    <row r="1141">
      <c r="A1141" s="15"/>
      <c r="B1141" s="16"/>
      <c r="C1141" s="17"/>
      <c r="D1141" s="17"/>
      <c r="E1141" s="17"/>
      <c r="F1141" s="10"/>
      <c r="G1141" s="17"/>
      <c r="H1141" s="10"/>
      <c r="I1141" s="17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</row>
    <row r="1142">
      <c r="A1142" s="15"/>
      <c r="B1142" s="16"/>
      <c r="C1142" s="17"/>
      <c r="D1142" s="17"/>
      <c r="E1142" s="17"/>
      <c r="F1142" s="10"/>
      <c r="G1142" s="17"/>
      <c r="H1142" s="10"/>
      <c r="I1142" s="17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</row>
    <row r="1143">
      <c r="A1143" s="15"/>
      <c r="B1143" s="16"/>
      <c r="C1143" s="17"/>
      <c r="D1143" s="17"/>
      <c r="E1143" s="17"/>
      <c r="F1143" s="10"/>
      <c r="G1143" s="17"/>
      <c r="H1143" s="10"/>
      <c r="I1143" s="17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</row>
    <row r="1144">
      <c r="A1144" s="15"/>
      <c r="B1144" s="16"/>
      <c r="C1144" s="17"/>
      <c r="D1144" s="17"/>
      <c r="E1144" s="17"/>
      <c r="F1144" s="10"/>
      <c r="G1144" s="17"/>
      <c r="H1144" s="10"/>
      <c r="I1144" s="17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</row>
    <row r="1145">
      <c r="A1145" s="15"/>
      <c r="B1145" s="16"/>
      <c r="C1145" s="17"/>
      <c r="D1145" s="17"/>
      <c r="E1145" s="17"/>
      <c r="F1145" s="10"/>
      <c r="G1145" s="17"/>
      <c r="H1145" s="10"/>
      <c r="I1145" s="17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</row>
    <row r="1146">
      <c r="A1146" s="15"/>
      <c r="B1146" s="16"/>
      <c r="C1146" s="17"/>
      <c r="D1146" s="17"/>
      <c r="E1146" s="17"/>
      <c r="F1146" s="10"/>
      <c r="G1146" s="17"/>
      <c r="H1146" s="10"/>
      <c r="I1146" s="17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</row>
    <row r="1147">
      <c r="A1147" s="15"/>
      <c r="B1147" s="16"/>
      <c r="C1147" s="17"/>
      <c r="D1147" s="17"/>
      <c r="E1147" s="17"/>
      <c r="F1147" s="10"/>
      <c r="G1147" s="17"/>
      <c r="H1147" s="10"/>
      <c r="I1147" s="17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</row>
    <row r="1148">
      <c r="A1148" s="15"/>
      <c r="B1148" s="16"/>
      <c r="C1148" s="17"/>
      <c r="D1148" s="17"/>
      <c r="E1148" s="17"/>
      <c r="F1148" s="10"/>
      <c r="G1148" s="17"/>
      <c r="H1148" s="10"/>
      <c r="I1148" s="17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</row>
    <row r="1149">
      <c r="A1149" s="15"/>
      <c r="B1149" s="16"/>
      <c r="C1149" s="17"/>
      <c r="D1149" s="17"/>
      <c r="E1149" s="17"/>
      <c r="F1149" s="10"/>
      <c r="G1149" s="17"/>
      <c r="H1149" s="10"/>
      <c r="I1149" s="17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</row>
    <row r="1150">
      <c r="A1150" s="15"/>
      <c r="B1150" s="16"/>
      <c r="C1150" s="17"/>
      <c r="D1150" s="17"/>
      <c r="E1150" s="17"/>
      <c r="F1150" s="10"/>
      <c r="G1150" s="17"/>
      <c r="H1150" s="10"/>
      <c r="I1150" s="17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</row>
    <row r="1151">
      <c r="A1151" s="15"/>
      <c r="B1151" s="16"/>
      <c r="C1151" s="17"/>
      <c r="D1151" s="17"/>
      <c r="E1151" s="17"/>
      <c r="F1151" s="10"/>
      <c r="G1151" s="17"/>
      <c r="H1151" s="10"/>
      <c r="I1151" s="17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</row>
    <row r="1152">
      <c r="A1152" s="15"/>
      <c r="B1152" s="16"/>
      <c r="C1152" s="17"/>
      <c r="D1152" s="17"/>
      <c r="E1152" s="17"/>
      <c r="F1152" s="10"/>
      <c r="G1152" s="17"/>
      <c r="H1152" s="10"/>
      <c r="I1152" s="17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</row>
    <row r="1153">
      <c r="A1153" s="15"/>
      <c r="B1153" s="16"/>
      <c r="C1153" s="17"/>
      <c r="D1153" s="17"/>
      <c r="E1153" s="17"/>
      <c r="F1153" s="10"/>
      <c r="G1153" s="17"/>
      <c r="H1153" s="10"/>
      <c r="I1153" s="17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</row>
    <row r="1154">
      <c r="A1154" s="15"/>
      <c r="B1154" s="16"/>
      <c r="C1154" s="17"/>
      <c r="D1154" s="17"/>
      <c r="E1154" s="17"/>
      <c r="F1154" s="10"/>
      <c r="G1154" s="17"/>
      <c r="H1154" s="10"/>
      <c r="I1154" s="17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</row>
    <row r="1155">
      <c r="A1155" s="15"/>
      <c r="B1155" s="16"/>
      <c r="C1155" s="17"/>
      <c r="D1155" s="17"/>
      <c r="E1155" s="17"/>
      <c r="F1155" s="10"/>
      <c r="G1155" s="17"/>
      <c r="H1155" s="10"/>
      <c r="I1155" s="17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</row>
    <row r="1156">
      <c r="A1156" s="15"/>
      <c r="B1156" s="16"/>
      <c r="C1156" s="17"/>
      <c r="D1156" s="17"/>
      <c r="E1156" s="17"/>
      <c r="F1156" s="10"/>
      <c r="G1156" s="17"/>
      <c r="H1156" s="10"/>
      <c r="I1156" s="17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</row>
    <row r="1157">
      <c r="A1157" s="15"/>
      <c r="B1157" s="16"/>
      <c r="C1157" s="17"/>
      <c r="D1157" s="17"/>
      <c r="E1157" s="17"/>
      <c r="F1157" s="10"/>
      <c r="G1157" s="17"/>
      <c r="H1157" s="10"/>
      <c r="I1157" s="17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</row>
    <row r="1158">
      <c r="A1158" s="15"/>
      <c r="B1158" s="16"/>
      <c r="C1158" s="17"/>
      <c r="D1158" s="17"/>
      <c r="E1158" s="17"/>
      <c r="F1158" s="10"/>
      <c r="G1158" s="17"/>
      <c r="H1158" s="10"/>
      <c r="I1158" s="17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</row>
    <row r="1159">
      <c r="A1159" s="15"/>
      <c r="B1159" s="16"/>
      <c r="C1159" s="17"/>
      <c r="D1159" s="17"/>
      <c r="E1159" s="17"/>
      <c r="F1159" s="10"/>
      <c r="G1159" s="17"/>
      <c r="H1159" s="10"/>
      <c r="I1159" s="17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</row>
    <row r="1160">
      <c r="A1160" s="15"/>
      <c r="B1160" s="16"/>
      <c r="C1160" s="17"/>
      <c r="D1160" s="17"/>
      <c r="E1160" s="17"/>
      <c r="F1160" s="10"/>
      <c r="G1160" s="17"/>
      <c r="H1160" s="10"/>
      <c r="I1160" s="17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</row>
    <row r="1161">
      <c r="A1161" s="15"/>
      <c r="B1161" s="16"/>
      <c r="C1161" s="17"/>
      <c r="D1161" s="17"/>
      <c r="E1161" s="17"/>
      <c r="F1161" s="10"/>
      <c r="G1161" s="17"/>
      <c r="H1161" s="10"/>
      <c r="I1161" s="17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</row>
    <row r="1162">
      <c r="A1162" s="15"/>
      <c r="B1162" s="16"/>
      <c r="C1162" s="17"/>
      <c r="D1162" s="17"/>
      <c r="E1162" s="17"/>
      <c r="F1162" s="10"/>
      <c r="G1162" s="17"/>
      <c r="H1162" s="10"/>
      <c r="I1162" s="17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</row>
    <row r="1163">
      <c r="A1163" s="15"/>
      <c r="B1163" s="16"/>
      <c r="C1163" s="17"/>
      <c r="D1163" s="17"/>
      <c r="E1163" s="17"/>
      <c r="F1163" s="10"/>
      <c r="G1163" s="17"/>
      <c r="H1163" s="10"/>
      <c r="I1163" s="17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</row>
    <row r="1164">
      <c r="A1164" s="15"/>
      <c r="B1164" s="16"/>
      <c r="C1164" s="17"/>
      <c r="D1164" s="17"/>
      <c r="E1164" s="17"/>
      <c r="F1164" s="10"/>
      <c r="G1164" s="17"/>
      <c r="H1164" s="10"/>
      <c r="I1164" s="17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</row>
    <row r="1165">
      <c r="A1165" s="15"/>
      <c r="B1165" s="16"/>
      <c r="C1165" s="17"/>
      <c r="D1165" s="17"/>
      <c r="E1165" s="17"/>
      <c r="F1165" s="10"/>
      <c r="G1165" s="17"/>
      <c r="H1165" s="10"/>
      <c r="I1165" s="17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</row>
    <row r="1166">
      <c r="A1166" s="15"/>
      <c r="B1166" s="16"/>
      <c r="C1166" s="17"/>
      <c r="D1166" s="17"/>
      <c r="E1166" s="17"/>
      <c r="F1166" s="10"/>
      <c r="G1166" s="17"/>
      <c r="H1166" s="10"/>
      <c r="I1166" s="17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</row>
    <row r="1167">
      <c r="A1167" s="15"/>
      <c r="B1167" s="16"/>
      <c r="C1167" s="17"/>
      <c r="D1167" s="17"/>
      <c r="E1167" s="17"/>
      <c r="F1167" s="10"/>
      <c r="G1167" s="17"/>
      <c r="H1167" s="10"/>
      <c r="I1167" s="17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</row>
    <row r="1168">
      <c r="A1168" s="15"/>
      <c r="B1168" s="16"/>
      <c r="C1168" s="17"/>
      <c r="D1168" s="17"/>
      <c r="E1168" s="17"/>
      <c r="F1168" s="10"/>
      <c r="G1168" s="17"/>
      <c r="H1168" s="10"/>
      <c r="I1168" s="17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</row>
    <row r="1169">
      <c r="A1169" s="15"/>
      <c r="B1169" s="16"/>
      <c r="C1169" s="17"/>
      <c r="D1169" s="17"/>
      <c r="E1169" s="17"/>
      <c r="F1169" s="10"/>
      <c r="G1169" s="17"/>
      <c r="H1169" s="10"/>
      <c r="I1169" s="17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</row>
    <row r="1170">
      <c r="A1170" s="15"/>
      <c r="B1170" s="16"/>
      <c r="C1170" s="17"/>
      <c r="D1170" s="17"/>
      <c r="E1170" s="17"/>
      <c r="F1170" s="10"/>
      <c r="G1170" s="17"/>
      <c r="H1170" s="10"/>
      <c r="I1170" s="17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</row>
    <row r="1171">
      <c r="A1171" s="15"/>
      <c r="B1171" s="16"/>
      <c r="C1171" s="17"/>
      <c r="D1171" s="17"/>
      <c r="E1171" s="17"/>
      <c r="F1171" s="10"/>
      <c r="G1171" s="17"/>
      <c r="H1171" s="10"/>
      <c r="I1171" s="17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</row>
    <row r="1172">
      <c r="A1172" s="15"/>
      <c r="B1172" s="16"/>
      <c r="C1172" s="17"/>
      <c r="D1172" s="17"/>
      <c r="E1172" s="17"/>
      <c r="F1172" s="10"/>
      <c r="G1172" s="17"/>
      <c r="H1172" s="10"/>
      <c r="I1172" s="17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</row>
    <row r="1173">
      <c r="A1173" s="15"/>
      <c r="B1173" s="16"/>
      <c r="C1173" s="17"/>
      <c r="D1173" s="17"/>
      <c r="E1173" s="17"/>
      <c r="F1173" s="10"/>
      <c r="G1173" s="17"/>
      <c r="H1173" s="10"/>
      <c r="I1173" s="17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</row>
    <row r="1174">
      <c r="A1174" s="15"/>
      <c r="B1174" s="16"/>
      <c r="C1174" s="17"/>
      <c r="D1174" s="17"/>
      <c r="E1174" s="17"/>
      <c r="F1174" s="10"/>
      <c r="G1174" s="17"/>
      <c r="H1174" s="10"/>
      <c r="I1174" s="17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</row>
    <row r="1175">
      <c r="A1175" s="15"/>
      <c r="B1175" s="16"/>
      <c r="C1175" s="17"/>
      <c r="D1175" s="17"/>
      <c r="E1175" s="17"/>
      <c r="F1175" s="10"/>
      <c r="G1175" s="17"/>
      <c r="H1175" s="10"/>
      <c r="I1175" s="17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</row>
    <row r="1176">
      <c r="A1176" s="15"/>
      <c r="B1176" s="16"/>
      <c r="C1176" s="17"/>
      <c r="D1176" s="17"/>
      <c r="E1176" s="17"/>
      <c r="F1176" s="10"/>
      <c r="G1176" s="17"/>
      <c r="H1176" s="10"/>
      <c r="I1176" s="17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</row>
    <row r="1177">
      <c r="A1177" s="15"/>
      <c r="B1177" s="16"/>
      <c r="C1177" s="17"/>
      <c r="D1177" s="17"/>
      <c r="E1177" s="17"/>
      <c r="F1177" s="10"/>
      <c r="G1177" s="17"/>
      <c r="H1177" s="10"/>
      <c r="I1177" s="17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</row>
    <row r="1178">
      <c r="A1178" s="15"/>
      <c r="B1178" s="16"/>
      <c r="C1178" s="17"/>
      <c r="D1178" s="17"/>
      <c r="E1178" s="17"/>
      <c r="F1178" s="10"/>
      <c r="G1178" s="17"/>
      <c r="H1178" s="10"/>
      <c r="I1178" s="17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</row>
    <row r="1179">
      <c r="A1179" s="15"/>
      <c r="B1179" s="16"/>
      <c r="C1179" s="17"/>
      <c r="D1179" s="17"/>
      <c r="E1179" s="17"/>
      <c r="F1179" s="10"/>
      <c r="G1179" s="17"/>
      <c r="H1179" s="10"/>
      <c r="I1179" s="17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</row>
    <row r="1180">
      <c r="A1180" s="15"/>
      <c r="B1180" s="16"/>
      <c r="C1180" s="17"/>
      <c r="D1180" s="17"/>
      <c r="E1180" s="17"/>
      <c r="F1180" s="10"/>
      <c r="G1180" s="17"/>
      <c r="H1180" s="10"/>
      <c r="I1180" s="17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</row>
    <row r="1181">
      <c r="A1181" s="15"/>
      <c r="B1181" s="16"/>
      <c r="C1181" s="17"/>
      <c r="D1181" s="17"/>
      <c r="E1181" s="17"/>
      <c r="F1181" s="10"/>
      <c r="G1181" s="17"/>
      <c r="H1181" s="10"/>
      <c r="I1181" s="17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</row>
    <row r="1182">
      <c r="A1182" s="15"/>
      <c r="B1182" s="16"/>
      <c r="C1182" s="17"/>
      <c r="D1182" s="17"/>
      <c r="E1182" s="17"/>
      <c r="F1182" s="10"/>
      <c r="G1182" s="17"/>
      <c r="H1182" s="10"/>
      <c r="I1182" s="17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</row>
    <row r="1183">
      <c r="A1183" s="15"/>
      <c r="B1183" s="16"/>
      <c r="C1183" s="17"/>
      <c r="D1183" s="17"/>
      <c r="E1183" s="17"/>
      <c r="F1183" s="10"/>
      <c r="G1183" s="17"/>
      <c r="H1183" s="10"/>
      <c r="I1183" s="17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</row>
    <row r="1184">
      <c r="A1184" s="15"/>
      <c r="B1184" s="16"/>
      <c r="C1184" s="17"/>
      <c r="D1184" s="17"/>
      <c r="E1184" s="17"/>
      <c r="F1184" s="10"/>
      <c r="G1184" s="17"/>
      <c r="H1184" s="10"/>
      <c r="I1184" s="17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</row>
    <row r="1185">
      <c r="A1185" s="15"/>
      <c r="B1185" s="16"/>
      <c r="C1185" s="17"/>
      <c r="D1185" s="17"/>
      <c r="E1185" s="17"/>
      <c r="F1185" s="10"/>
      <c r="G1185" s="17"/>
      <c r="H1185" s="10"/>
      <c r="I1185" s="17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</row>
    <row r="1186">
      <c r="A1186" s="15"/>
      <c r="B1186" s="16"/>
      <c r="C1186" s="17"/>
      <c r="D1186" s="17"/>
      <c r="E1186" s="17"/>
      <c r="F1186" s="10"/>
      <c r="G1186" s="17"/>
      <c r="H1186" s="10"/>
      <c r="I1186" s="17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</row>
    <row r="1187">
      <c r="A1187" s="15"/>
      <c r="B1187" s="16"/>
      <c r="C1187" s="17"/>
      <c r="D1187" s="17"/>
      <c r="E1187" s="17"/>
      <c r="F1187" s="10"/>
      <c r="G1187" s="17"/>
      <c r="H1187" s="10"/>
      <c r="I1187" s="17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</row>
    <row r="1188">
      <c r="A1188" s="15"/>
      <c r="B1188" s="16"/>
      <c r="C1188" s="17"/>
      <c r="D1188" s="17"/>
      <c r="E1188" s="17"/>
      <c r="F1188" s="10"/>
      <c r="G1188" s="17"/>
      <c r="H1188" s="10"/>
      <c r="I1188" s="17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</row>
    <row r="1189">
      <c r="A1189" s="15"/>
      <c r="B1189" s="16"/>
      <c r="C1189" s="17"/>
      <c r="D1189" s="17"/>
      <c r="E1189" s="17"/>
      <c r="F1189" s="10"/>
      <c r="G1189" s="17"/>
      <c r="H1189" s="10"/>
      <c r="I1189" s="17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</row>
    <row r="1190">
      <c r="A1190" s="15"/>
      <c r="B1190" s="16"/>
      <c r="C1190" s="17"/>
      <c r="D1190" s="17"/>
      <c r="E1190" s="17"/>
      <c r="F1190" s="10"/>
      <c r="G1190" s="17"/>
      <c r="H1190" s="10"/>
      <c r="I1190" s="17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</row>
    <row r="1191">
      <c r="A1191" s="15"/>
      <c r="B1191" s="16"/>
      <c r="C1191" s="17"/>
      <c r="D1191" s="17"/>
      <c r="E1191" s="17"/>
      <c r="F1191" s="10"/>
      <c r="G1191" s="17"/>
      <c r="H1191" s="10"/>
      <c r="I1191" s="17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</row>
    <row r="1192">
      <c r="A1192" s="15"/>
      <c r="B1192" s="16"/>
      <c r="C1192" s="17"/>
      <c r="D1192" s="17"/>
      <c r="E1192" s="17"/>
      <c r="F1192" s="10"/>
      <c r="G1192" s="17"/>
      <c r="H1192" s="10"/>
      <c r="I1192" s="17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</row>
    <row r="1193">
      <c r="A1193" s="15"/>
      <c r="B1193" s="16"/>
      <c r="C1193" s="17"/>
      <c r="D1193" s="17"/>
      <c r="E1193" s="17"/>
      <c r="F1193" s="10"/>
      <c r="G1193" s="17"/>
      <c r="H1193" s="10"/>
      <c r="I1193" s="17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</row>
    <row r="1194">
      <c r="A1194" s="15"/>
      <c r="B1194" s="16"/>
      <c r="C1194" s="17"/>
      <c r="D1194" s="17"/>
      <c r="E1194" s="17"/>
      <c r="F1194" s="10"/>
      <c r="G1194" s="17"/>
      <c r="H1194" s="10"/>
      <c r="I1194" s="17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</row>
    <row r="1195">
      <c r="A1195" s="15"/>
      <c r="B1195" s="16"/>
      <c r="C1195" s="17"/>
      <c r="D1195" s="17"/>
      <c r="E1195" s="17"/>
      <c r="F1195" s="10"/>
      <c r="G1195" s="17"/>
      <c r="H1195" s="10"/>
      <c r="I1195" s="17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</row>
    <row r="1196">
      <c r="A1196" s="15"/>
      <c r="B1196" s="16"/>
      <c r="C1196" s="17"/>
      <c r="D1196" s="17"/>
      <c r="E1196" s="17"/>
      <c r="F1196" s="10"/>
      <c r="G1196" s="17"/>
      <c r="H1196" s="10"/>
      <c r="I1196" s="17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</row>
    <row r="1197">
      <c r="A1197" s="15"/>
      <c r="B1197" s="16"/>
      <c r="C1197" s="17"/>
      <c r="D1197" s="17"/>
      <c r="E1197" s="17"/>
      <c r="F1197" s="10"/>
      <c r="G1197" s="17"/>
      <c r="H1197" s="10"/>
      <c r="I1197" s="17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</row>
    <row r="1198">
      <c r="A1198" s="15"/>
      <c r="B1198" s="16"/>
      <c r="C1198" s="17"/>
      <c r="D1198" s="17"/>
      <c r="E1198" s="17"/>
      <c r="F1198" s="10"/>
      <c r="G1198" s="17"/>
      <c r="H1198" s="10"/>
      <c r="I1198" s="17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</row>
    <row r="1199">
      <c r="A1199" s="15"/>
      <c r="B1199" s="16"/>
      <c r="C1199" s="17"/>
      <c r="D1199" s="17"/>
      <c r="E1199" s="17"/>
      <c r="F1199" s="10"/>
      <c r="G1199" s="17"/>
      <c r="H1199" s="10"/>
      <c r="I1199" s="17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</row>
    <row r="1200">
      <c r="A1200" s="15"/>
      <c r="B1200" s="16"/>
      <c r="C1200" s="17"/>
      <c r="D1200" s="17"/>
      <c r="E1200" s="17"/>
      <c r="F1200" s="10"/>
      <c r="G1200" s="17"/>
      <c r="H1200" s="10"/>
      <c r="I1200" s="17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</row>
    <row r="1201">
      <c r="A1201" s="15"/>
      <c r="B1201" s="16"/>
      <c r="C1201" s="17"/>
      <c r="D1201" s="17"/>
      <c r="E1201" s="17"/>
      <c r="F1201" s="10"/>
      <c r="G1201" s="17"/>
      <c r="H1201" s="10"/>
      <c r="I1201" s="17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</row>
    <row r="1202">
      <c r="A1202" s="15"/>
      <c r="B1202" s="16"/>
      <c r="C1202" s="17"/>
      <c r="D1202" s="17"/>
      <c r="E1202" s="17"/>
      <c r="F1202" s="10"/>
      <c r="G1202" s="17"/>
      <c r="H1202" s="10"/>
      <c r="I1202" s="17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</row>
    <row r="1203">
      <c r="A1203" s="15"/>
      <c r="B1203" s="16"/>
      <c r="C1203" s="17"/>
      <c r="D1203" s="17"/>
      <c r="E1203" s="17"/>
      <c r="F1203" s="10"/>
      <c r="G1203" s="17"/>
      <c r="H1203" s="10"/>
      <c r="I1203" s="17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</row>
    <row r="1204">
      <c r="A1204" s="15"/>
      <c r="B1204" s="16"/>
      <c r="C1204" s="17"/>
      <c r="D1204" s="17"/>
      <c r="E1204" s="17"/>
      <c r="F1204" s="10"/>
      <c r="G1204" s="17"/>
      <c r="H1204" s="10"/>
      <c r="I1204" s="17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</row>
    <row r="1205">
      <c r="A1205" s="15"/>
      <c r="B1205" s="16"/>
      <c r="C1205" s="17"/>
      <c r="D1205" s="17"/>
      <c r="E1205" s="17"/>
      <c r="F1205" s="10"/>
      <c r="G1205" s="17"/>
      <c r="H1205" s="10"/>
      <c r="I1205" s="17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</row>
    <row r="1206">
      <c r="A1206" s="15"/>
      <c r="B1206" s="16"/>
      <c r="C1206" s="17"/>
      <c r="D1206" s="17"/>
      <c r="E1206" s="17"/>
      <c r="F1206" s="10"/>
      <c r="G1206" s="17"/>
      <c r="H1206" s="10"/>
      <c r="I1206" s="17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</row>
    <row r="1207">
      <c r="A1207" s="15"/>
      <c r="B1207" s="16"/>
      <c r="C1207" s="17"/>
      <c r="D1207" s="17"/>
      <c r="E1207" s="17"/>
      <c r="F1207" s="10"/>
      <c r="G1207" s="17"/>
      <c r="H1207" s="10"/>
      <c r="I1207" s="17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</row>
    <row r="1208">
      <c r="A1208" s="15"/>
      <c r="B1208" s="16"/>
      <c r="C1208" s="17"/>
      <c r="D1208" s="17"/>
      <c r="E1208" s="17"/>
      <c r="F1208" s="10"/>
      <c r="G1208" s="17"/>
      <c r="H1208" s="10"/>
      <c r="I1208" s="17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</row>
    <row r="1209">
      <c r="A1209" s="15"/>
      <c r="B1209" s="16"/>
      <c r="C1209" s="17"/>
      <c r="D1209" s="17"/>
      <c r="E1209" s="17"/>
      <c r="F1209" s="10"/>
      <c r="G1209" s="17"/>
      <c r="H1209" s="10"/>
      <c r="I1209" s="17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</row>
    <row r="1210">
      <c r="A1210" s="15"/>
      <c r="B1210" s="16"/>
      <c r="C1210" s="17"/>
      <c r="D1210" s="17"/>
      <c r="E1210" s="17"/>
      <c r="F1210" s="10"/>
      <c r="G1210" s="17"/>
      <c r="H1210" s="10"/>
      <c r="I1210" s="17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</row>
    <row r="1211">
      <c r="A1211" s="15"/>
      <c r="B1211" s="16"/>
      <c r="C1211" s="17"/>
      <c r="D1211" s="17"/>
      <c r="E1211" s="17"/>
      <c r="F1211" s="10"/>
      <c r="G1211" s="17"/>
      <c r="H1211" s="10"/>
      <c r="I1211" s="17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</row>
    <row r="1212">
      <c r="A1212" s="15"/>
      <c r="B1212" s="16"/>
      <c r="C1212" s="17"/>
      <c r="D1212" s="17"/>
      <c r="E1212" s="17"/>
      <c r="F1212" s="10"/>
      <c r="G1212" s="17"/>
      <c r="H1212" s="10"/>
      <c r="I1212" s="17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</row>
    <row r="1213">
      <c r="A1213" s="15"/>
      <c r="B1213" s="16"/>
      <c r="C1213" s="17"/>
      <c r="D1213" s="17"/>
      <c r="E1213" s="17"/>
      <c r="F1213" s="10"/>
      <c r="G1213" s="17"/>
      <c r="H1213" s="10"/>
      <c r="I1213" s="17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</row>
    <row r="1214">
      <c r="A1214" s="15"/>
      <c r="B1214" s="16"/>
      <c r="C1214" s="17"/>
      <c r="D1214" s="17"/>
      <c r="E1214" s="17"/>
      <c r="F1214" s="10"/>
      <c r="G1214" s="17"/>
      <c r="H1214" s="10"/>
      <c r="I1214" s="17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</row>
  </sheetData>
  <conditionalFormatting sqref="B2:B217 B408:B1214">
    <cfRule type="colorScale" priority="1">
      <colorScale>
        <cfvo type="min"/>
        <cfvo type="max"/>
        <color rgb="FFE0FFCC"/>
        <color rgb="FF57FF53"/>
      </colorScale>
    </cfRule>
  </conditionalFormatting>
  <conditionalFormatting sqref="J1:J217 J408:J1214">
    <cfRule type="cellIs" dxfId="0" priority="2" operator="lessThan">
      <formula>0</formula>
    </cfRule>
  </conditionalFormatting>
  <conditionalFormatting sqref="J1:J217 J408:J1214">
    <cfRule type="cellIs" dxfId="1" priority="3" operator="greaterThan">
      <formula>0</formula>
    </cfRule>
  </conditionalFormatting>
  <conditionalFormatting sqref="C2:C217 C408:C1214">
    <cfRule type="notContainsBlanks" dxfId="2" priority="4">
      <formula>LEN(TRIM(C2))&gt;0</formula>
    </cfRule>
  </conditionalFormatting>
  <conditionalFormatting sqref="E2:E217 E408:E1214">
    <cfRule type="notContainsBlanks" dxfId="3" priority="5">
      <formula>LEN(TRIM(E2))&gt;0</formula>
    </cfRule>
  </conditionalFormatting>
  <conditionalFormatting sqref="G2:G217 G408:G1214">
    <cfRule type="notContainsBlanks" dxfId="4" priority="6">
      <formula>LEN(TRIM(G2))&gt;0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38"/>
    <col customWidth="1" min="2" max="2" width="21.63"/>
    <col customWidth="1" min="3" max="3" width="27.88"/>
  </cols>
  <sheetData>
    <row r="1" ht="54.75" customHeight="1">
      <c r="A1" s="18" t="s">
        <v>228</v>
      </c>
      <c r="B1" s="19"/>
      <c r="C1" s="20"/>
    </row>
    <row r="2" ht="42.75" customHeight="1">
      <c r="A2" s="21"/>
      <c r="B2" s="21"/>
      <c r="C2" s="21"/>
    </row>
    <row r="3" ht="42.75" customHeight="1">
      <c r="A3" s="22" t="s">
        <v>0</v>
      </c>
      <c r="B3" s="22" t="s">
        <v>229</v>
      </c>
      <c r="C3" s="22" t="s">
        <v>230</v>
      </c>
    </row>
    <row r="4">
      <c r="A4" s="8" t="s">
        <v>10</v>
      </c>
      <c r="B4" s="8" t="s">
        <v>231</v>
      </c>
      <c r="C4" s="8" t="s">
        <v>232</v>
      </c>
    </row>
    <row r="5">
      <c r="A5" s="8" t="s">
        <v>11</v>
      </c>
      <c r="B5" s="8" t="s">
        <v>233</v>
      </c>
      <c r="C5" s="8" t="s">
        <v>234</v>
      </c>
    </row>
    <row r="6">
      <c r="A6" s="8" t="s">
        <v>12</v>
      </c>
      <c r="B6" s="8" t="s">
        <v>235</v>
      </c>
      <c r="C6" s="8" t="s">
        <v>236</v>
      </c>
    </row>
    <row r="7">
      <c r="A7" s="8" t="s">
        <v>13</v>
      </c>
      <c r="B7" s="8" t="s">
        <v>237</v>
      </c>
      <c r="C7" s="8" t="s">
        <v>238</v>
      </c>
    </row>
    <row r="8">
      <c r="A8" s="8" t="s">
        <v>14</v>
      </c>
      <c r="B8" s="8" t="s">
        <v>239</v>
      </c>
      <c r="C8" s="8" t="s">
        <v>240</v>
      </c>
    </row>
    <row r="9">
      <c r="A9" s="8" t="s">
        <v>15</v>
      </c>
      <c r="B9" s="8" t="s">
        <v>231</v>
      </c>
      <c r="C9" s="8" t="s">
        <v>241</v>
      </c>
    </row>
    <row r="10">
      <c r="A10" s="8" t="s">
        <v>17</v>
      </c>
      <c r="B10" s="8" t="s">
        <v>242</v>
      </c>
      <c r="C10" s="8" t="s">
        <v>243</v>
      </c>
    </row>
    <row r="11">
      <c r="A11" s="8" t="s">
        <v>18</v>
      </c>
      <c r="B11" s="8" t="s">
        <v>244</v>
      </c>
      <c r="C11" s="8" t="s">
        <v>245</v>
      </c>
    </row>
    <row r="12">
      <c r="A12" s="8" t="s">
        <v>19</v>
      </c>
      <c r="B12" s="8" t="s">
        <v>246</v>
      </c>
      <c r="C12" s="8" t="s">
        <v>247</v>
      </c>
    </row>
    <row r="13">
      <c r="A13" s="8" t="s">
        <v>20</v>
      </c>
      <c r="B13" s="8" t="s">
        <v>248</v>
      </c>
      <c r="C13" s="8" t="s">
        <v>249</v>
      </c>
    </row>
    <row r="14">
      <c r="A14" s="8" t="s">
        <v>21</v>
      </c>
      <c r="B14" s="8" t="s">
        <v>233</v>
      </c>
      <c r="C14" s="8" t="s">
        <v>250</v>
      </c>
    </row>
    <row r="15">
      <c r="A15" s="8" t="s">
        <v>22</v>
      </c>
      <c r="B15" s="8" t="s">
        <v>251</v>
      </c>
      <c r="C15" s="8" t="s">
        <v>252</v>
      </c>
    </row>
    <row r="16">
      <c r="A16" s="8" t="s">
        <v>23</v>
      </c>
      <c r="B16" s="8" t="s">
        <v>242</v>
      </c>
      <c r="C16" s="8" t="s">
        <v>23</v>
      </c>
    </row>
    <row r="17">
      <c r="A17" s="8" t="s">
        <v>24</v>
      </c>
      <c r="B17" s="8" t="s">
        <v>242</v>
      </c>
      <c r="C17" s="8" t="s">
        <v>253</v>
      </c>
    </row>
    <row r="18">
      <c r="A18" s="8" t="s">
        <v>25</v>
      </c>
      <c r="B18" s="8" t="s">
        <v>254</v>
      </c>
      <c r="C18" s="8" t="s">
        <v>255</v>
      </c>
    </row>
    <row r="19">
      <c r="A19" s="8" t="s">
        <v>26</v>
      </c>
      <c r="B19" s="8" t="s">
        <v>256</v>
      </c>
      <c r="C19" s="8" t="s">
        <v>257</v>
      </c>
    </row>
    <row r="20">
      <c r="A20" s="8" t="s">
        <v>27</v>
      </c>
      <c r="B20" s="8" t="s">
        <v>246</v>
      </c>
      <c r="C20" s="8" t="s">
        <v>258</v>
      </c>
    </row>
    <row r="21">
      <c r="A21" s="8" t="s">
        <v>28</v>
      </c>
      <c r="B21" s="8" t="s">
        <v>259</v>
      </c>
      <c r="C21" s="8" t="s">
        <v>260</v>
      </c>
    </row>
    <row r="22">
      <c r="A22" s="8" t="s">
        <v>29</v>
      </c>
      <c r="B22" s="8" t="s">
        <v>231</v>
      </c>
      <c r="C22" s="8" t="s">
        <v>261</v>
      </c>
    </row>
    <row r="23">
      <c r="A23" s="8" t="s">
        <v>30</v>
      </c>
      <c r="B23" s="8" t="s">
        <v>233</v>
      </c>
      <c r="C23" s="8" t="s">
        <v>262</v>
      </c>
    </row>
    <row r="24">
      <c r="A24" s="8" t="s">
        <v>31</v>
      </c>
      <c r="B24" s="8" t="s">
        <v>233</v>
      </c>
      <c r="C24" s="8" t="s">
        <v>263</v>
      </c>
    </row>
    <row r="25">
      <c r="A25" s="8" t="s">
        <v>32</v>
      </c>
      <c r="B25" s="8" t="s">
        <v>242</v>
      </c>
      <c r="C25" s="8" t="s">
        <v>264</v>
      </c>
    </row>
    <row r="26">
      <c r="A26" s="8" t="s">
        <v>33</v>
      </c>
      <c r="B26" s="8" t="s">
        <v>259</v>
      </c>
      <c r="C26" s="8" t="s">
        <v>265</v>
      </c>
    </row>
    <row r="27">
      <c r="A27" s="8" t="s">
        <v>34</v>
      </c>
      <c r="B27" s="8" t="s">
        <v>251</v>
      </c>
      <c r="C27" s="8" t="s">
        <v>266</v>
      </c>
    </row>
    <row r="28">
      <c r="A28" s="8" t="s">
        <v>35</v>
      </c>
      <c r="B28" s="8" t="s">
        <v>248</v>
      </c>
      <c r="C28" s="8" t="s">
        <v>267</v>
      </c>
    </row>
    <row r="29">
      <c r="A29" s="8" t="s">
        <v>36</v>
      </c>
      <c r="B29" s="8" t="s">
        <v>231</v>
      </c>
      <c r="C29" s="8" t="s">
        <v>268</v>
      </c>
    </row>
    <row r="30">
      <c r="A30" s="8" t="s">
        <v>37</v>
      </c>
      <c r="B30" s="8" t="s">
        <v>269</v>
      </c>
      <c r="C30" s="8" t="s">
        <v>270</v>
      </c>
    </row>
    <row r="31">
      <c r="A31" s="8" t="s">
        <v>38</v>
      </c>
      <c r="B31" s="8" t="s">
        <v>271</v>
      </c>
      <c r="C31" s="8" t="s">
        <v>272</v>
      </c>
    </row>
    <row r="32">
      <c r="A32" s="8" t="s">
        <v>39</v>
      </c>
      <c r="B32" s="8" t="s">
        <v>233</v>
      </c>
      <c r="C32" s="8" t="s">
        <v>273</v>
      </c>
    </row>
    <row r="33">
      <c r="A33" s="8" t="s">
        <v>40</v>
      </c>
      <c r="B33" s="8" t="s">
        <v>246</v>
      </c>
      <c r="C33" s="8" t="s">
        <v>274</v>
      </c>
    </row>
    <row r="34">
      <c r="A34" s="8" t="s">
        <v>41</v>
      </c>
      <c r="B34" s="8" t="s">
        <v>233</v>
      </c>
      <c r="C34" s="8" t="s">
        <v>275</v>
      </c>
    </row>
    <row r="35">
      <c r="A35" s="8" t="s">
        <v>42</v>
      </c>
      <c r="B35" s="8" t="s">
        <v>239</v>
      </c>
      <c r="C35" s="8" t="s">
        <v>276</v>
      </c>
    </row>
    <row r="36">
      <c r="A36" s="8" t="s">
        <v>43</v>
      </c>
      <c r="B36" s="8" t="s">
        <v>277</v>
      </c>
      <c r="C36" s="8" t="s">
        <v>278</v>
      </c>
    </row>
    <row r="37">
      <c r="A37" s="8" t="s">
        <v>44</v>
      </c>
      <c r="B37" s="8" t="s">
        <v>242</v>
      </c>
      <c r="C37" s="8" t="s">
        <v>279</v>
      </c>
    </row>
    <row r="38">
      <c r="A38" s="8" t="s">
        <v>45</v>
      </c>
      <c r="B38" s="8" t="s">
        <v>271</v>
      </c>
      <c r="C38" s="8" t="s">
        <v>280</v>
      </c>
    </row>
    <row r="39">
      <c r="A39" s="8" t="s">
        <v>46</v>
      </c>
      <c r="B39" s="8" t="s">
        <v>271</v>
      </c>
      <c r="C39" s="8" t="s">
        <v>281</v>
      </c>
    </row>
    <row r="40">
      <c r="A40" s="8" t="s">
        <v>47</v>
      </c>
      <c r="B40" s="8" t="s">
        <v>282</v>
      </c>
      <c r="C40" s="8" t="s">
        <v>283</v>
      </c>
    </row>
    <row r="41">
      <c r="A41" s="8" t="s">
        <v>48</v>
      </c>
      <c r="B41" s="8" t="s">
        <v>284</v>
      </c>
      <c r="C41" s="8" t="s">
        <v>285</v>
      </c>
    </row>
    <row r="42">
      <c r="A42" s="8" t="s">
        <v>49</v>
      </c>
      <c r="B42" s="8" t="s">
        <v>286</v>
      </c>
      <c r="C42" s="8" t="s">
        <v>49</v>
      </c>
    </row>
    <row r="43">
      <c r="A43" s="8" t="s">
        <v>50</v>
      </c>
      <c r="B43" s="8" t="s">
        <v>287</v>
      </c>
      <c r="C43" s="8" t="s">
        <v>288</v>
      </c>
    </row>
    <row r="44">
      <c r="A44" s="8" t="s">
        <v>51</v>
      </c>
      <c r="B44" s="8" t="s">
        <v>289</v>
      </c>
      <c r="C44" s="8" t="s">
        <v>290</v>
      </c>
    </row>
    <row r="45">
      <c r="A45" s="8" t="s">
        <v>52</v>
      </c>
      <c r="B45" s="8" t="s">
        <v>259</v>
      </c>
      <c r="C45" s="8" t="s">
        <v>291</v>
      </c>
    </row>
    <row r="46">
      <c r="A46" s="8" t="s">
        <v>53</v>
      </c>
      <c r="B46" s="8" t="s">
        <v>231</v>
      </c>
      <c r="C46" s="8" t="s">
        <v>292</v>
      </c>
    </row>
    <row r="47">
      <c r="A47" s="8" t="s">
        <v>54</v>
      </c>
      <c r="B47" s="8" t="s">
        <v>271</v>
      </c>
      <c r="C47" s="8" t="s">
        <v>293</v>
      </c>
    </row>
    <row r="48">
      <c r="A48" s="8" t="s">
        <v>55</v>
      </c>
      <c r="B48" s="8" t="s">
        <v>294</v>
      </c>
      <c r="C48" s="8" t="s">
        <v>295</v>
      </c>
    </row>
    <row r="49">
      <c r="A49" s="8" t="s">
        <v>56</v>
      </c>
      <c r="B49" s="8" t="s">
        <v>242</v>
      </c>
      <c r="C49" s="8" t="s">
        <v>296</v>
      </c>
    </row>
    <row r="50">
      <c r="A50" s="8" t="s">
        <v>57</v>
      </c>
      <c r="B50" s="8" t="s">
        <v>237</v>
      </c>
      <c r="C50" s="8" t="s">
        <v>297</v>
      </c>
    </row>
    <row r="51">
      <c r="A51" s="8" t="s">
        <v>58</v>
      </c>
      <c r="B51" s="8" t="s">
        <v>298</v>
      </c>
      <c r="C51" s="8" t="s">
        <v>299</v>
      </c>
    </row>
    <row r="52">
      <c r="A52" s="8" t="s">
        <v>59</v>
      </c>
      <c r="B52" s="8" t="s">
        <v>300</v>
      </c>
      <c r="C52" s="8" t="s">
        <v>301</v>
      </c>
    </row>
    <row r="53">
      <c r="A53" s="8" t="s">
        <v>60</v>
      </c>
      <c r="B53" s="8" t="s">
        <v>284</v>
      </c>
      <c r="C53" s="8" t="s">
        <v>302</v>
      </c>
    </row>
    <row r="54">
      <c r="A54" s="8" t="s">
        <v>61</v>
      </c>
      <c r="B54" s="8" t="s">
        <v>242</v>
      </c>
      <c r="C54" s="8" t="s">
        <v>303</v>
      </c>
    </row>
    <row r="55">
      <c r="A55" s="8" t="s">
        <v>62</v>
      </c>
      <c r="B55" s="8" t="s">
        <v>244</v>
      </c>
      <c r="C55" s="8" t="s">
        <v>304</v>
      </c>
    </row>
    <row r="56">
      <c r="A56" s="8" t="s">
        <v>63</v>
      </c>
      <c r="B56" s="8" t="s">
        <v>305</v>
      </c>
      <c r="C56" s="8" t="s">
        <v>306</v>
      </c>
    </row>
    <row r="57">
      <c r="A57" s="8" t="s">
        <v>64</v>
      </c>
      <c r="B57" s="8" t="s">
        <v>307</v>
      </c>
      <c r="C57" s="8" t="s">
        <v>308</v>
      </c>
    </row>
    <row r="58">
      <c r="A58" s="8" t="s">
        <v>65</v>
      </c>
      <c r="B58" s="8" t="s">
        <v>269</v>
      </c>
      <c r="C58" s="8" t="s">
        <v>309</v>
      </c>
    </row>
    <row r="59">
      <c r="A59" s="8" t="s">
        <v>66</v>
      </c>
      <c r="B59" s="8" t="s">
        <v>259</v>
      </c>
      <c r="C59" s="8" t="s">
        <v>310</v>
      </c>
    </row>
    <row r="60">
      <c r="A60" s="8" t="s">
        <v>67</v>
      </c>
      <c r="B60" s="8" t="s">
        <v>277</v>
      </c>
      <c r="C60" s="8" t="s">
        <v>311</v>
      </c>
    </row>
    <row r="61">
      <c r="A61" s="8" t="s">
        <v>68</v>
      </c>
      <c r="B61" s="8" t="s">
        <v>294</v>
      </c>
      <c r="C61" s="8" t="s">
        <v>312</v>
      </c>
    </row>
    <row r="62">
      <c r="A62" s="8" t="s">
        <v>69</v>
      </c>
      <c r="B62" s="8" t="s">
        <v>313</v>
      </c>
      <c r="C62" s="8" t="s">
        <v>314</v>
      </c>
    </row>
    <row r="63">
      <c r="A63" s="8" t="s">
        <v>70</v>
      </c>
      <c r="B63" s="8" t="s">
        <v>315</v>
      </c>
      <c r="C63" s="8" t="s">
        <v>316</v>
      </c>
    </row>
    <row r="64">
      <c r="A64" s="8" t="s">
        <v>71</v>
      </c>
      <c r="B64" s="8" t="s">
        <v>248</v>
      </c>
      <c r="C64" s="8" t="s">
        <v>317</v>
      </c>
    </row>
    <row r="65">
      <c r="A65" s="8" t="s">
        <v>72</v>
      </c>
      <c r="B65" s="8" t="s">
        <v>284</v>
      </c>
      <c r="C65" s="8" t="s">
        <v>318</v>
      </c>
    </row>
    <row r="66">
      <c r="A66" s="8" t="s">
        <v>73</v>
      </c>
      <c r="B66" s="8" t="s">
        <v>271</v>
      </c>
      <c r="C66" s="8" t="s">
        <v>319</v>
      </c>
    </row>
    <row r="67">
      <c r="A67" s="8" t="s">
        <v>74</v>
      </c>
      <c r="B67" s="8" t="s">
        <v>315</v>
      </c>
      <c r="C67" s="8" t="s">
        <v>320</v>
      </c>
    </row>
    <row r="68">
      <c r="A68" s="8" t="s">
        <v>75</v>
      </c>
      <c r="B68" s="8" t="s">
        <v>259</v>
      </c>
      <c r="C68" s="8" t="s">
        <v>321</v>
      </c>
    </row>
    <row r="69">
      <c r="A69" s="8" t="s">
        <v>76</v>
      </c>
      <c r="B69" s="8" t="s">
        <v>254</v>
      </c>
      <c r="C69" s="8" t="s">
        <v>322</v>
      </c>
    </row>
    <row r="70">
      <c r="A70" s="8" t="s">
        <v>77</v>
      </c>
      <c r="B70" s="8" t="s">
        <v>323</v>
      </c>
      <c r="C70" s="8" t="s">
        <v>324</v>
      </c>
    </row>
    <row r="71">
      <c r="A71" s="8" t="s">
        <v>78</v>
      </c>
      <c r="B71" s="8" t="s">
        <v>231</v>
      </c>
      <c r="C71" s="8" t="s">
        <v>325</v>
      </c>
    </row>
    <row r="72">
      <c r="A72" s="8" t="s">
        <v>79</v>
      </c>
      <c r="B72" s="8" t="s">
        <v>271</v>
      </c>
      <c r="C72" s="8" t="s">
        <v>326</v>
      </c>
    </row>
    <row r="73">
      <c r="A73" s="8" t="s">
        <v>80</v>
      </c>
      <c r="B73" s="8" t="s">
        <v>259</v>
      </c>
      <c r="C73" s="8" t="s">
        <v>327</v>
      </c>
    </row>
    <row r="74">
      <c r="A74" s="8" t="s">
        <v>81</v>
      </c>
      <c r="B74" s="8" t="s">
        <v>323</v>
      </c>
      <c r="C74" s="8" t="s">
        <v>328</v>
      </c>
    </row>
    <row r="75">
      <c r="A75" s="8" t="s">
        <v>82</v>
      </c>
      <c r="B75" s="8" t="s">
        <v>271</v>
      </c>
      <c r="C75" s="8" t="s">
        <v>329</v>
      </c>
    </row>
    <row r="76">
      <c r="A76" s="8" t="s">
        <v>83</v>
      </c>
      <c r="B76" s="8" t="s">
        <v>330</v>
      </c>
      <c r="C76" s="8" t="s">
        <v>331</v>
      </c>
    </row>
    <row r="77">
      <c r="A77" s="8" t="s">
        <v>84</v>
      </c>
      <c r="B77" s="8" t="s">
        <v>269</v>
      </c>
      <c r="C77" s="8" t="s">
        <v>332</v>
      </c>
    </row>
    <row r="78">
      <c r="A78" s="8" t="s">
        <v>85</v>
      </c>
      <c r="B78" s="8" t="s">
        <v>333</v>
      </c>
      <c r="C78" s="8" t="s">
        <v>334</v>
      </c>
    </row>
    <row r="79">
      <c r="A79" s="8" t="s">
        <v>86</v>
      </c>
      <c r="B79" s="8" t="s">
        <v>284</v>
      </c>
      <c r="C79" s="8" t="s">
        <v>335</v>
      </c>
    </row>
    <row r="80">
      <c r="A80" s="8" t="s">
        <v>87</v>
      </c>
      <c r="B80" s="8" t="s">
        <v>284</v>
      </c>
      <c r="C80" s="8" t="s">
        <v>336</v>
      </c>
    </row>
    <row r="81">
      <c r="A81" s="8" t="s">
        <v>88</v>
      </c>
      <c r="B81" s="8" t="s">
        <v>337</v>
      </c>
      <c r="C81" s="8" t="s">
        <v>338</v>
      </c>
    </row>
    <row r="82">
      <c r="A82" s="8" t="s">
        <v>89</v>
      </c>
      <c r="B82" s="8" t="s">
        <v>254</v>
      </c>
      <c r="C82" s="8" t="s">
        <v>339</v>
      </c>
    </row>
    <row r="83">
      <c r="A83" s="8" t="s">
        <v>90</v>
      </c>
      <c r="B83" s="8" t="s">
        <v>254</v>
      </c>
      <c r="C83" s="8" t="s">
        <v>340</v>
      </c>
    </row>
    <row r="84">
      <c r="A84" s="8" t="s">
        <v>91</v>
      </c>
      <c r="B84" s="8" t="s">
        <v>269</v>
      </c>
      <c r="C84" s="8" t="s">
        <v>341</v>
      </c>
    </row>
    <row r="85">
      <c r="A85" s="8" t="s">
        <v>92</v>
      </c>
      <c r="B85" s="8" t="s">
        <v>287</v>
      </c>
      <c r="C85" s="8" t="s">
        <v>342</v>
      </c>
    </row>
    <row r="86">
      <c r="A86" s="8" t="s">
        <v>94</v>
      </c>
      <c r="B86" s="8" t="s">
        <v>277</v>
      </c>
      <c r="C86" s="8" t="s">
        <v>343</v>
      </c>
    </row>
    <row r="87">
      <c r="A87" s="8" t="s">
        <v>95</v>
      </c>
      <c r="B87" s="8" t="s">
        <v>259</v>
      </c>
      <c r="C87" s="8" t="s">
        <v>344</v>
      </c>
    </row>
    <row r="88">
      <c r="A88" s="8" t="s">
        <v>96</v>
      </c>
      <c r="B88" s="8" t="s">
        <v>289</v>
      </c>
      <c r="C88" s="8" t="s">
        <v>345</v>
      </c>
    </row>
    <row r="89">
      <c r="A89" s="8" t="s">
        <v>97</v>
      </c>
      <c r="B89" s="8" t="s">
        <v>254</v>
      </c>
      <c r="C89" s="8" t="s">
        <v>346</v>
      </c>
    </row>
    <row r="90">
      <c r="A90" s="8" t="s">
        <v>98</v>
      </c>
      <c r="B90" s="8" t="s">
        <v>237</v>
      </c>
      <c r="C90" s="8" t="s">
        <v>347</v>
      </c>
    </row>
    <row r="91">
      <c r="A91" s="8" t="s">
        <v>99</v>
      </c>
      <c r="B91" s="8" t="s">
        <v>348</v>
      </c>
      <c r="C91" s="8" t="s">
        <v>349</v>
      </c>
    </row>
    <row r="92">
      <c r="A92" s="8" t="s">
        <v>100</v>
      </c>
      <c r="B92" s="8" t="s">
        <v>271</v>
      </c>
      <c r="C92" s="8" t="s">
        <v>350</v>
      </c>
    </row>
    <row r="93">
      <c r="A93" s="8" t="s">
        <v>101</v>
      </c>
      <c r="B93" s="8" t="s">
        <v>254</v>
      </c>
      <c r="C93" s="8" t="s">
        <v>351</v>
      </c>
    </row>
    <row r="94">
      <c r="A94" s="8" t="s">
        <v>102</v>
      </c>
      <c r="B94" s="8" t="s">
        <v>254</v>
      </c>
      <c r="C94" s="8" t="s">
        <v>352</v>
      </c>
    </row>
    <row r="95">
      <c r="A95" s="8" t="s">
        <v>103</v>
      </c>
      <c r="B95" s="8" t="s">
        <v>259</v>
      </c>
      <c r="C95" s="8" t="s">
        <v>353</v>
      </c>
    </row>
    <row r="96">
      <c r="A96" s="8" t="s">
        <v>104</v>
      </c>
      <c r="B96" s="8" t="s">
        <v>271</v>
      </c>
      <c r="C96" s="8" t="s">
        <v>354</v>
      </c>
    </row>
    <row r="97">
      <c r="A97" s="8" t="s">
        <v>105</v>
      </c>
      <c r="B97" s="8" t="s">
        <v>271</v>
      </c>
      <c r="C97" s="8" t="s">
        <v>355</v>
      </c>
    </row>
    <row r="98">
      <c r="A98" s="8" t="s">
        <v>106</v>
      </c>
      <c r="B98" s="8" t="s">
        <v>231</v>
      </c>
      <c r="C98" s="8" t="s">
        <v>356</v>
      </c>
    </row>
    <row r="99">
      <c r="A99" s="8" t="s">
        <v>107</v>
      </c>
      <c r="B99" s="8" t="s">
        <v>357</v>
      </c>
      <c r="C99" s="8" t="s">
        <v>358</v>
      </c>
    </row>
    <row r="100">
      <c r="A100" s="8" t="s">
        <v>108</v>
      </c>
      <c r="B100" s="8" t="s">
        <v>271</v>
      </c>
      <c r="C100" s="8" t="s">
        <v>359</v>
      </c>
    </row>
    <row r="101">
      <c r="A101" s="8" t="s">
        <v>109</v>
      </c>
      <c r="B101" s="8" t="s">
        <v>231</v>
      </c>
      <c r="C101" s="8" t="s">
        <v>360</v>
      </c>
    </row>
    <row r="102">
      <c r="A102" s="8" t="s">
        <v>110</v>
      </c>
      <c r="B102" s="8" t="s">
        <v>271</v>
      </c>
      <c r="C102" s="8" t="s">
        <v>110</v>
      </c>
    </row>
    <row r="103">
      <c r="A103" s="8" t="s">
        <v>111</v>
      </c>
      <c r="B103" s="8" t="s">
        <v>277</v>
      </c>
      <c r="C103" s="8" t="s">
        <v>361</v>
      </c>
    </row>
    <row r="104">
      <c r="A104" s="8" t="s">
        <v>112</v>
      </c>
      <c r="B104" s="8" t="s">
        <v>362</v>
      </c>
      <c r="C104" s="8" t="s">
        <v>363</v>
      </c>
    </row>
    <row r="105">
      <c r="A105" s="8" t="s">
        <v>113</v>
      </c>
      <c r="B105" s="8" t="s">
        <v>269</v>
      </c>
      <c r="C105" s="8" t="s">
        <v>364</v>
      </c>
    </row>
    <row r="106">
      <c r="A106" s="8" t="s">
        <v>114</v>
      </c>
      <c r="B106" s="8" t="s">
        <v>271</v>
      </c>
      <c r="C106" s="8" t="s">
        <v>365</v>
      </c>
    </row>
    <row r="107">
      <c r="A107" s="8" t="s">
        <v>115</v>
      </c>
      <c r="B107" s="8" t="s">
        <v>298</v>
      </c>
      <c r="C107" s="8" t="s">
        <v>366</v>
      </c>
    </row>
    <row r="108">
      <c r="A108" s="8" t="s">
        <v>116</v>
      </c>
      <c r="B108" s="8" t="s">
        <v>269</v>
      </c>
      <c r="C108" s="8" t="s">
        <v>367</v>
      </c>
    </row>
    <row r="109">
      <c r="A109" s="8" t="s">
        <v>117</v>
      </c>
      <c r="B109" s="8" t="s">
        <v>254</v>
      </c>
      <c r="C109" s="8" t="s">
        <v>368</v>
      </c>
    </row>
    <row r="110">
      <c r="A110" s="8" t="s">
        <v>118</v>
      </c>
      <c r="B110" s="8" t="s">
        <v>231</v>
      </c>
      <c r="C110" s="8" t="s">
        <v>369</v>
      </c>
    </row>
    <row r="111">
      <c r="A111" s="8" t="s">
        <v>119</v>
      </c>
      <c r="B111" s="8" t="s">
        <v>254</v>
      </c>
      <c r="C111" s="8" t="s">
        <v>370</v>
      </c>
    </row>
    <row r="112">
      <c r="A112" s="8" t="s">
        <v>120</v>
      </c>
      <c r="B112" s="8" t="s">
        <v>244</v>
      </c>
      <c r="C112" s="8" t="s">
        <v>371</v>
      </c>
    </row>
    <row r="113">
      <c r="A113" s="8" t="s">
        <v>121</v>
      </c>
      <c r="B113" s="8" t="s">
        <v>307</v>
      </c>
      <c r="C113" s="8" t="s">
        <v>372</v>
      </c>
    </row>
    <row r="114">
      <c r="A114" s="8" t="s">
        <v>122</v>
      </c>
      <c r="B114" s="8" t="s">
        <v>337</v>
      </c>
      <c r="C114" s="8" t="s">
        <v>373</v>
      </c>
    </row>
    <row r="115">
      <c r="A115" s="8" t="s">
        <v>123</v>
      </c>
      <c r="B115" s="8" t="s">
        <v>300</v>
      </c>
      <c r="C115" s="8" t="s">
        <v>374</v>
      </c>
    </row>
    <row r="116">
      <c r="A116" s="8" t="s">
        <v>124</v>
      </c>
      <c r="B116" s="8" t="s">
        <v>277</v>
      </c>
      <c r="C116" s="8" t="s">
        <v>375</v>
      </c>
    </row>
    <row r="117">
      <c r="A117" s="8" t="s">
        <v>125</v>
      </c>
      <c r="B117" s="8" t="s">
        <v>271</v>
      </c>
      <c r="C117" s="8" t="s">
        <v>376</v>
      </c>
    </row>
    <row r="118">
      <c r="A118" s="8" t="s">
        <v>126</v>
      </c>
      <c r="B118" s="8" t="s">
        <v>254</v>
      </c>
      <c r="C118" s="8" t="s">
        <v>377</v>
      </c>
    </row>
    <row r="119">
      <c r="A119" s="8" t="s">
        <v>127</v>
      </c>
      <c r="B119" s="8" t="s">
        <v>235</v>
      </c>
      <c r="C119" s="8" t="s">
        <v>378</v>
      </c>
    </row>
    <row r="120">
      <c r="A120" s="8" t="s">
        <v>128</v>
      </c>
      <c r="B120" s="8" t="s">
        <v>315</v>
      </c>
      <c r="C120" s="8" t="s">
        <v>379</v>
      </c>
    </row>
    <row r="121">
      <c r="A121" s="8" t="s">
        <v>129</v>
      </c>
      <c r="B121" s="8" t="s">
        <v>237</v>
      </c>
      <c r="C121" s="8" t="s">
        <v>380</v>
      </c>
    </row>
    <row r="122">
      <c r="A122" s="8" t="s">
        <v>130</v>
      </c>
      <c r="B122" s="8" t="s">
        <v>337</v>
      </c>
      <c r="C122" s="8" t="s">
        <v>381</v>
      </c>
    </row>
    <row r="123">
      <c r="A123" s="8" t="s">
        <v>131</v>
      </c>
      <c r="B123" s="8" t="s">
        <v>348</v>
      </c>
      <c r="C123" s="8" t="s">
        <v>382</v>
      </c>
    </row>
    <row r="124">
      <c r="A124" s="8" t="s">
        <v>132</v>
      </c>
      <c r="B124" s="8" t="s">
        <v>383</v>
      </c>
      <c r="C124" s="8" t="s">
        <v>384</v>
      </c>
    </row>
    <row r="125">
      <c r="A125" s="8" t="s">
        <v>133</v>
      </c>
      <c r="B125" s="8" t="s">
        <v>282</v>
      </c>
      <c r="C125" s="8" t="s">
        <v>385</v>
      </c>
    </row>
    <row r="126">
      <c r="A126" s="8" t="s">
        <v>134</v>
      </c>
      <c r="B126" s="8" t="s">
        <v>259</v>
      </c>
      <c r="C126" s="8" t="s">
        <v>386</v>
      </c>
    </row>
    <row r="127">
      <c r="A127" s="8" t="s">
        <v>135</v>
      </c>
      <c r="B127" s="8" t="s">
        <v>231</v>
      </c>
      <c r="C127" s="8" t="s">
        <v>387</v>
      </c>
    </row>
    <row r="128">
      <c r="A128" s="8" t="s">
        <v>136</v>
      </c>
      <c r="B128" s="8" t="s">
        <v>337</v>
      </c>
      <c r="C128" s="8" t="s">
        <v>388</v>
      </c>
    </row>
    <row r="129">
      <c r="A129" s="8" t="s">
        <v>137</v>
      </c>
      <c r="B129" s="8" t="s">
        <v>287</v>
      </c>
      <c r="C129" s="8" t="s">
        <v>389</v>
      </c>
    </row>
    <row r="130">
      <c r="A130" s="8" t="s">
        <v>138</v>
      </c>
      <c r="B130" s="8" t="s">
        <v>259</v>
      </c>
      <c r="C130" s="8" t="s">
        <v>390</v>
      </c>
    </row>
    <row r="131">
      <c r="A131" s="8" t="s">
        <v>139</v>
      </c>
      <c r="B131" s="8" t="s">
        <v>391</v>
      </c>
      <c r="C131" s="8" t="s">
        <v>392</v>
      </c>
    </row>
    <row r="132">
      <c r="A132" s="8" t="s">
        <v>140</v>
      </c>
      <c r="B132" s="8" t="s">
        <v>231</v>
      </c>
      <c r="C132" s="8" t="s">
        <v>393</v>
      </c>
    </row>
    <row r="133">
      <c r="A133" s="8" t="s">
        <v>141</v>
      </c>
      <c r="B133" s="8" t="s">
        <v>231</v>
      </c>
      <c r="C133" s="8" t="s">
        <v>394</v>
      </c>
    </row>
    <row r="134">
      <c r="A134" s="8" t="s">
        <v>142</v>
      </c>
      <c r="B134" s="8" t="s">
        <v>289</v>
      </c>
      <c r="C134" s="8" t="s">
        <v>395</v>
      </c>
    </row>
    <row r="135">
      <c r="A135" s="8" t="s">
        <v>143</v>
      </c>
      <c r="B135" s="8" t="s">
        <v>337</v>
      </c>
      <c r="C135" s="8" t="s">
        <v>396</v>
      </c>
    </row>
    <row r="136">
      <c r="A136" s="8" t="s">
        <v>144</v>
      </c>
      <c r="B136" s="8" t="s">
        <v>235</v>
      </c>
      <c r="C136" s="8" t="s">
        <v>397</v>
      </c>
    </row>
    <row r="137">
      <c r="A137" s="8" t="s">
        <v>145</v>
      </c>
      <c r="B137" s="8" t="s">
        <v>269</v>
      </c>
      <c r="C137" s="8" t="s">
        <v>398</v>
      </c>
    </row>
    <row r="138">
      <c r="A138" s="8" t="s">
        <v>146</v>
      </c>
      <c r="B138" s="8" t="s">
        <v>399</v>
      </c>
      <c r="C138" s="8" t="s">
        <v>400</v>
      </c>
    </row>
    <row r="139">
      <c r="A139" s="8" t="s">
        <v>147</v>
      </c>
      <c r="B139" s="8" t="s">
        <v>401</v>
      </c>
      <c r="C139" s="8" t="s">
        <v>402</v>
      </c>
    </row>
    <row r="140">
      <c r="A140" s="8" t="s">
        <v>148</v>
      </c>
      <c r="B140" s="8" t="s">
        <v>305</v>
      </c>
      <c r="C140" s="8" t="s">
        <v>403</v>
      </c>
    </row>
    <row r="141">
      <c r="A141" s="8" t="s">
        <v>149</v>
      </c>
      <c r="B141" s="8" t="s">
        <v>284</v>
      </c>
      <c r="C141" s="8" t="s">
        <v>404</v>
      </c>
    </row>
    <row r="142">
      <c r="A142" s="8" t="s">
        <v>150</v>
      </c>
      <c r="B142" s="8" t="s">
        <v>251</v>
      </c>
      <c r="C142" s="8" t="s">
        <v>405</v>
      </c>
    </row>
    <row r="143">
      <c r="A143" s="8" t="s">
        <v>151</v>
      </c>
      <c r="B143" s="8" t="s">
        <v>259</v>
      </c>
      <c r="C143" s="8" t="s">
        <v>406</v>
      </c>
    </row>
    <row r="144">
      <c r="A144" s="8" t="s">
        <v>152</v>
      </c>
      <c r="B144" s="8" t="s">
        <v>259</v>
      </c>
      <c r="C144" s="8" t="s">
        <v>407</v>
      </c>
    </row>
    <row r="145">
      <c r="A145" s="8" t="s">
        <v>153</v>
      </c>
      <c r="B145" s="8" t="s">
        <v>271</v>
      </c>
      <c r="C145" s="8" t="s">
        <v>408</v>
      </c>
    </row>
    <row r="146">
      <c r="A146" s="8" t="s">
        <v>154</v>
      </c>
      <c r="B146" s="8" t="s">
        <v>348</v>
      </c>
      <c r="C146" s="8" t="s">
        <v>409</v>
      </c>
    </row>
    <row r="147">
      <c r="A147" s="8" t="s">
        <v>155</v>
      </c>
      <c r="B147" s="8" t="s">
        <v>254</v>
      </c>
      <c r="C147" s="8" t="s">
        <v>410</v>
      </c>
    </row>
    <row r="148">
      <c r="A148" s="8" t="s">
        <v>156</v>
      </c>
      <c r="B148" s="8" t="s">
        <v>284</v>
      </c>
      <c r="C148" s="8" t="s">
        <v>411</v>
      </c>
    </row>
    <row r="149">
      <c r="A149" s="8" t="s">
        <v>157</v>
      </c>
      <c r="B149" s="8" t="s">
        <v>254</v>
      </c>
      <c r="C149" s="8" t="s">
        <v>412</v>
      </c>
    </row>
    <row r="150">
      <c r="A150" s="8" t="s">
        <v>158</v>
      </c>
      <c r="B150" s="8" t="s">
        <v>231</v>
      </c>
      <c r="C150" s="8" t="s">
        <v>413</v>
      </c>
    </row>
    <row r="151">
      <c r="A151" s="8" t="s">
        <v>159</v>
      </c>
      <c r="B151" s="8" t="s">
        <v>231</v>
      </c>
      <c r="C151" s="8" t="s">
        <v>414</v>
      </c>
    </row>
    <row r="152">
      <c r="A152" s="8" t="s">
        <v>160</v>
      </c>
      <c r="B152" s="8" t="s">
        <v>259</v>
      </c>
      <c r="C152" s="8" t="s">
        <v>415</v>
      </c>
    </row>
    <row r="153">
      <c r="A153" s="8" t="s">
        <v>161</v>
      </c>
      <c r="B153" s="8"/>
      <c r="C153" s="8" t="s">
        <v>416</v>
      </c>
    </row>
    <row r="154">
      <c r="A154" s="8" t="s">
        <v>162</v>
      </c>
      <c r="B154" s="8" t="s">
        <v>399</v>
      </c>
      <c r="C154" s="8" t="s">
        <v>417</v>
      </c>
    </row>
    <row r="155">
      <c r="A155" s="8" t="s">
        <v>163</v>
      </c>
      <c r="B155" s="8" t="s">
        <v>284</v>
      </c>
      <c r="C155" s="8" t="s">
        <v>418</v>
      </c>
    </row>
    <row r="156">
      <c r="A156" s="8" t="s">
        <v>164</v>
      </c>
      <c r="B156" s="8" t="s">
        <v>419</v>
      </c>
      <c r="C156" s="8" t="s">
        <v>420</v>
      </c>
    </row>
    <row r="157">
      <c r="A157" s="8" t="s">
        <v>165</v>
      </c>
      <c r="B157" s="8"/>
      <c r="C157" s="8" t="s">
        <v>421</v>
      </c>
    </row>
    <row r="158">
      <c r="A158" s="8" t="s">
        <v>166</v>
      </c>
      <c r="B158" s="8" t="s">
        <v>422</v>
      </c>
      <c r="C158" s="8" t="s">
        <v>423</v>
      </c>
    </row>
    <row r="159">
      <c r="A159" s="8" t="s">
        <v>167</v>
      </c>
      <c r="B159" s="8" t="s">
        <v>242</v>
      </c>
      <c r="C159" s="8" t="s">
        <v>424</v>
      </c>
    </row>
    <row r="160">
      <c r="A160" s="8" t="s">
        <v>168</v>
      </c>
      <c r="B160" s="8"/>
      <c r="C160" s="8" t="s">
        <v>425</v>
      </c>
    </row>
    <row r="161">
      <c r="A161" s="8" t="s">
        <v>169</v>
      </c>
      <c r="B161" s="8" t="s">
        <v>307</v>
      </c>
      <c r="C161" s="8" t="s">
        <v>426</v>
      </c>
    </row>
    <row r="162">
      <c r="A162" s="8" t="s">
        <v>170</v>
      </c>
      <c r="B162" s="8" t="s">
        <v>289</v>
      </c>
      <c r="C162" s="8" t="s">
        <v>427</v>
      </c>
    </row>
    <row r="163">
      <c r="A163" s="8" t="s">
        <v>171</v>
      </c>
      <c r="B163" s="8" t="s">
        <v>254</v>
      </c>
      <c r="C163" s="8" t="s">
        <v>428</v>
      </c>
    </row>
    <row r="164">
      <c r="A164" s="8" t="s">
        <v>172</v>
      </c>
      <c r="B164" s="8" t="s">
        <v>259</v>
      </c>
      <c r="C164" s="8" t="s">
        <v>429</v>
      </c>
    </row>
    <row r="165">
      <c r="A165" s="8" t="s">
        <v>173</v>
      </c>
      <c r="B165" s="8" t="s">
        <v>259</v>
      </c>
      <c r="C165" s="8" t="s">
        <v>430</v>
      </c>
    </row>
    <row r="166">
      <c r="A166" s="8" t="s">
        <v>174</v>
      </c>
      <c r="B166" s="8" t="s">
        <v>287</v>
      </c>
      <c r="C166" s="8" t="s">
        <v>431</v>
      </c>
    </row>
    <row r="167">
      <c r="A167" s="8" t="s">
        <v>175</v>
      </c>
      <c r="B167" s="8" t="s">
        <v>269</v>
      </c>
      <c r="C167" s="8" t="s">
        <v>432</v>
      </c>
    </row>
    <row r="168">
      <c r="A168" s="8" t="s">
        <v>176</v>
      </c>
      <c r="B168" s="8" t="s">
        <v>300</v>
      </c>
      <c r="C168" s="8" t="s">
        <v>433</v>
      </c>
    </row>
    <row r="169">
      <c r="A169" s="8" t="s">
        <v>177</v>
      </c>
      <c r="B169" s="8" t="s">
        <v>259</v>
      </c>
      <c r="C169" s="8" t="s">
        <v>434</v>
      </c>
    </row>
    <row r="170">
      <c r="A170" s="8" t="s">
        <v>178</v>
      </c>
      <c r="B170" s="8" t="s">
        <v>287</v>
      </c>
      <c r="C170" s="8" t="s">
        <v>435</v>
      </c>
    </row>
    <row r="171">
      <c r="A171" s="8" t="s">
        <v>179</v>
      </c>
      <c r="B171" s="8" t="s">
        <v>287</v>
      </c>
      <c r="C171" s="8" t="s">
        <v>436</v>
      </c>
    </row>
    <row r="172">
      <c r="A172" s="8" t="s">
        <v>180</v>
      </c>
      <c r="B172" s="8" t="s">
        <v>287</v>
      </c>
      <c r="C172" s="8" t="s">
        <v>437</v>
      </c>
    </row>
    <row r="173">
      <c r="A173" s="8" t="s">
        <v>181</v>
      </c>
      <c r="B173" s="8" t="s">
        <v>287</v>
      </c>
      <c r="C173" s="8" t="s">
        <v>438</v>
      </c>
    </row>
    <row r="174">
      <c r="A174" s="8" t="s">
        <v>182</v>
      </c>
      <c r="B174" s="8" t="s">
        <v>251</v>
      </c>
      <c r="C174" s="8" t="s">
        <v>439</v>
      </c>
    </row>
    <row r="175">
      <c r="A175" s="8" t="s">
        <v>183</v>
      </c>
      <c r="B175" s="8" t="s">
        <v>231</v>
      </c>
      <c r="C175" s="8" t="s">
        <v>440</v>
      </c>
    </row>
    <row r="176">
      <c r="A176" s="8" t="s">
        <v>184</v>
      </c>
      <c r="B176" s="8" t="s">
        <v>441</v>
      </c>
      <c r="C176" s="8" t="s">
        <v>442</v>
      </c>
    </row>
    <row r="177">
      <c r="A177" s="8" t="s">
        <v>185</v>
      </c>
      <c r="B177" s="8"/>
      <c r="C177" s="8" t="s">
        <v>443</v>
      </c>
    </row>
    <row r="178">
      <c r="A178" s="8" t="s">
        <v>186</v>
      </c>
      <c r="B178" s="8" t="s">
        <v>337</v>
      </c>
      <c r="C178" s="8" t="s">
        <v>444</v>
      </c>
    </row>
    <row r="179">
      <c r="A179" s="8" t="s">
        <v>187</v>
      </c>
      <c r="B179" s="8" t="s">
        <v>256</v>
      </c>
      <c r="C179" s="8" t="s">
        <v>445</v>
      </c>
    </row>
    <row r="180">
      <c r="A180" s="8" t="s">
        <v>188</v>
      </c>
      <c r="B180" s="8" t="s">
        <v>251</v>
      </c>
      <c r="C180" s="8" t="s">
        <v>446</v>
      </c>
    </row>
    <row r="181">
      <c r="A181" s="8" t="s">
        <v>189</v>
      </c>
      <c r="B181" s="8" t="s">
        <v>256</v>
      </c>
      <c r="C181" s="8" t="s">
        <v>447</v>
      </c>
    </row>
    <row r="182">
      <c r="A182" s="8" t="s">
        <v>190</v>
      </c>
      <c r="B182" s="8" t="s">
        <v>244</v>
      </c>
      <c r="C182" s="8" t="s">
        <v>448</v>
      </c>
    </row>
    <row r="183">
      <c r="A183" s="8" t="s">
        <v>191</v>
      </c>
      <c r="B183" s="8" t="s">
        <v>244</v>
      </c>
      <c r="C183" s="8" t="s">
        <v>449</v>
      </c>
    </row>
    <row r="184">
      <c r="A184" s="8" t="s">
        <v>192</v>
      </c>
      <c r="B184" s="8" t="s">
        <v>298</v>
      </c>
      <c r="C184" s="8" t="s">
        <v>450</v>
      </c>
    </row>
    <row r="185">
      <c r="A185" s="8" t="s">
        <v>193</v>
      </c>
      <c r="B185" s="8" t="s">
        <v>254</v>
      </c>
      <c r="C185" s="8" t="s">
        <v>451</v>
      </c>
    </row>
    <row r="186">
      <c r="A186" s="8" t="s">
        <v>194</v>
      </c>
      <c r="B186" s="8" t="s">
        <v>239</v>
      </c>
      <c r="C186" s="8" t="s">
        <v>452</v>
      </c>
    </row>
    <row r="187">
      <c r="A187" s="8" t="s">
        <v>195</v>
      </c>
      <c r="B187" s="8" t="s">
        <v>269</v>
      </c>
      <c r="C187" s="8" t="s">
        <v>453</v>
      </c>
    </row>
    <row r="188">
      <c r="A188" s="8" t="s">
        <v>196</v>
      </c>
      <c r="B188" s="8"/>
      <c r="C188" s="8" t="s">
        <v>454</v>
      </c>
    </row>
    <row r="189">
      <c r="A189" s="8" t="s">
        <v>197</v>
      </c>
      <c r="B189" s="8" t="s">
        <v>271</v>
      </c>
      <c r="C189" s="8" t="s">
        <v>455</v>
      </c>
    </row>
    <row r="190">
      <c r="A190" s="8" t="s">
        <v>198</v>
      </c>
      <c r="B190" s="8" t="s">
        <v>287</v>
      </c>
      <c r="C190" s="8" t="s">
        <v>456</v>
      </c>
    </row>
    <row r="191">
      <c r="A191" s="8" t="s">
        <v>199</v>
      </c>
      <c r="B191" s="8" t="s">
        <v>259</v>
      </c>
      <c r="C191" s="8" t="s">
        <v>457</v>
      </c>
    </row>
    <row r="192">
      <c r="A192" s="8" t="s">
        <v>200</v>
      </c>
      <c r="B192" s="8" t="s">
        <v>269</v>
      </c>
      <c r="C192" s="8" t="s">
        <v>458</v>
      </c>
    </row>
    <row r="193">
      <c r="A193" s="8" t="s">
        <v>201</v>
      </c>
      <c r="B193" s="8" t="s">
        <v>419</v>
      </c>
      <c r="C193" s="8" t="s">
        <v>459</v>
      </c>
    </row>
    <row r="194">
      <c r="A194" s="8" t="s">
        <v>202</v>
      </c>
      <c r="B194" s="8" t="s">
        <v>244</v>
      </c>
      <c r="C194" s="8" t="s">
        <v>460</v>
      </c>
    </row>
    <row r="195">
      <c r="A195" s="8" t="s">
        <v>203</v>
      </c>
      <c r="B195" s="8" t="s">
        <v>254</v>
      </c>
      <c r="C195" s="8" t="s">
        <v>461</v>
      </c>
    </row>
    <row r="196">
      <c r="A196" s="8" t="s">
        <v>204</v>
      </c>
      <c r="B196" s="8" t="s">
        <v>271</v>
      </c>
      <c r="C196" s="8" t="s">
        <v>462</v>
      </c>
    </row>
    <row r="197">
      <c r="A197" s="8" t="s">
        <v>205</v>
      </c>
      <c r="B197" s="8" t="s">
        <v>259</v>
      </c>
      <c r="C197" s="8" t="s">
        <v>463</v>
      </c>
    </row>
    <row r="198">
      <c r="A198" s="8" t="s">
        <v>206</v>
      </c>
      <c r="B198" s="8" t="s">
        <v>259</v>
      </c>
      <c r="C198" s="8" t="s">
        <v>464</v>
      </c>
    </row>
    <row r="199">
      <c r="A199" s="8" t="s">
        <v>207</v>
      </c>
      <c r="B199" s="8" t="s">
        <v>282</v>
      </c>
      <c r="C199" s="8" t="s">
        <v>465</v>
      </c>
    </row>
    <row r="200">
      <c r="A200" s="8" t="s">
        <v>208</v>
      </c>
      <c r="B200" s="8" t="s">
        <v>399</v>
      </c>
      <c r="C200" s="8" t="s">
        <v>466</v>
      </c>
    </row>
    <row r="201">
      <c r="A201" s="8" t="s">
        <v>209</v>
      </c>
      <c r="B201" s="8" t="s">
        <v>307</v>
      </c>
      <c r="C201" s="8" t="s">
        <v>467</v>
      </c>
    </row>
    <row r="202">
      <c r="A202" s="8" t="s">
        <v>210</v>
      </c>
      <c r="B202" s="8" t="s">
        <v>399</v>
      </c>
      <c r="C202" s="8" t="s">
        <v>468</v>
      </c>
    </row>
    <row r="203">
      <c r="A203" s="8" t="s">
        <v>211</v>
      </c>
      <c r="B203" s="8" t="s">
        <v>254</v>
      </c>
      <c r="C203" s="8" t="s">
        <v>469</v>
      </c>
    </row>
    <row r="204">
      <c r="A204" s="8" t="s">
        <v>212</v>
      </c>
      <c r="B204" s="8" t="s">
        <v>248</v>
      </c>
      <c r="C204" s="8" t="s">
        <v>212</v>
      </c>
    </row>
    <row r="205">
      <c r="A205" s="8" t="s">
        <v>213</v>
      </c>
      <c r="B205" s="8" t="s">
        <v>470</v>
      </c>
      <c r="C205" s="8" t="s">
        <v>471</v>
      </c>
    </row>
    <row r="206">
      <c r="A206" s="8" t="s">
        <v>214</v>
      </c>
      <c r="B206" s="8" t="s">
        <v>233</v>
      </c>
      <c r="C206" s="8" t="s">
        <v>472</v>
      </c>
    </row>
    <row r="207">
      <c r="A207" s="8" t="s">
        <v>215</v>
      </c>
      <c r="B207" s="8" t="s">
        <v>419</v>
      </c>
      <c r="C207" s="8" t="s">
        <v>473</v>
      </c>
    </row>
    <row r="208">
      <c r="A208" s="8" t="s">
        <v>216</v>
      </c>
      <c r="B208" s="8" t="s">
        <v>287</v>
      </c>
      <c r="C208" s="8" t="s">
        <v>474</v>
      </c>
    </row>
    <row r="209">
      <c r="A209" s="8" t="s">
        <v>217</v>
      </c>
      <c r="B209" s="8" t="s">
        <v>475</v>
      </c>
      <c r="C209" s="8" t="s">
        <v>476</v>
      </c>
    </row>
    <row r="210">
      <c r="A210" s="8" t="s">
        <v>218</v>
      </c>
      <c r="B210" s="8" t="s">
        <v>233</v>
      </c>
      <c r="C210" s="8" t="s">
        <v>477</v>
      </c>
    </row>
    <row r="211">
      <c r="A211" s="8" t="s">
        <v>219</v>
      </c>
      <c r="B211" s="8" t="s">
        <v>259</v>
      </c>
      <c r="C211" s="8" t="s">
        <v>478</v>
      </c>
    </row>
    <row r="212">
      <c r="A212" s="8" t="s">
        <v>220</v>
      </c>
      <c r="B212" s="8" t="s">
        <v>479</v>
      </c>
      <c r="C212" s="8" t="s">
        <v>480</v>
      </c>
    </row>
    <row r="213">
      <c r="A213" s="8" t="s">
        <v>221</v>
      </c>
      <c r="B213" s="8"/>
      <c r="C213" s="8" t="s">
        <v>481</v>
      </c>
    </row>
    <row r="214">
      <c r="A214" s="8" t="s">
        <v>222</v>
      </c>
      <c r="B214" s="8" t="s">
        <v>348</v>
      </c>
      <c r="C214" s="8" t="s">
        <v>482</v>
      </c>
    </row>
    <row r="215">
      <c r="A215" s="8" t="s">
        <v>223</v>
      </c>
      <c r="B215" s="8" t="s">
        <v>254</v>
      </c>
      <c r="C215" s="8" t="s">
        <v>483</v>
      </c>
    </row>
    <row r="216">
      <c r="A216" s="8" t="s">
        <v>224</v>
      </c>
      <c r="B216" s="8" t="s">
        <v>271</v>
      </c>
      <c r="C216" s="8" t="s">
        <v>484</v>
      </c>
    </row>
    <row r="217">
      <c r="A217" s="8" t="s">
        <v>225</v>
      </c>
      <c r="B217" s="8" t="s">
        <v>485</v>
      </c>
      <c r="C217" s="8" t="s">
        <v>486</v>
      </c>
    </row>
    <row r="218">
      <c r="A218" s="8" t="s">
        <v>226</v>
      </c>
      <c r="B218" s="8" t="s">
        <v>289</v>
      </c>
      <c r="C218" s="8" t="s">
        <v>487</v>
      </c>
    </row>
    <row r="219">
      <c r="A219" s="8" t="s">
        <v>227</v>
      </c>
      <c r="B219" s="8" t="s">
        <v>256</v>
      </c>
      <c r="C219" s="8" t="s">
        <v>488</v>
      </c>
    </row>
    <row r="220">
      <c r="A220" s="23"/>
      <c r="B220" s="23"/>
      <c r="C220" s="23"/>
    </row>
  </sheetData>
  <mergeCells count="1">
    <mergeCell ref="A1:C1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5.75"/>
    <col customWidth="1" min="11" max="11" width="19.88"/>
    <col customWidth="1" min="12" max="12" width="16.88"/>
    <col customWidth="1" min="13" max="13" width="13.63"/>
    <col customWidth="1" min="14" max="14" width="14.38"/>
    <col customWidth="1" min="15" max="16" width="14.0"/>
  </cols>
  <sheetData>
    <row r="1" ht="42.75" customHeight="1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7" t="s">
        <v>229</v>
      </c>
      <c r="L1" s="28" t="s">
        <v>489</v>
      </c>
      <c r="M1" s="29" t="s">
        <v>490</v>
      </c>
      <c r="N1" s="29" t="s">
        <v>491</v>
      </c>
      <c r="O1" s="27" t="s">
        <v>492</v>
      </c>
      <c r="P1" s="27" t="s">
        <v>493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30" t="str">
        <f>IFERROR(__xludf.DUMMYFUNCTION("QUERY('Data Set'!A2:J217, ""Select * where D is not null and D &lt; 100 order by B desc"")"),"Reliance")</f>
        <v>Reliance</v>
      </c>
      <c r="B2" s="31">
        <f>IFERROR(__xludf.DUMMYFUNCTION("""COMPUTED_VALUE"""),1620922.4391001)</f>
        <v>1620922.439</v>
      </c>
      <c r="C2" s="32">
        <f>IFERROR(__xludf.DUMMYFUNCTION("""COMPUTED_VALUE"""),2467.9)</f>
        <v>2467.9</v>
      </c>
      <c r="D2" s="32">
        <f>IFERROR(__xludf.DUMMYFUNCTION("""COMPUTED_VALUE"""),25.09)</f>
        <v>25.09</v>
      </c>
      <c r="E2" s="32">
        <f>IFERROR(__xludf.DUMMYFUNCTION("""COMPUTED_VALUE"""),2856.15)</f>
        <v>2856.15</v>
      </c>
      <c r="F2" s="33">
        <f>IFERROR(__xludf.DUMMYFUNCTION("""COMPUTED_VALUE"""),0.1359347373212191)</f>
        <v>0.1359347373</v>
      </c>
      <c r="G2" s="32">
        <f>IFERROR(__xludf.DUMMYFUNCTION("""COMPUTED_VALUE"""),2180.0)</f>
        <v>2180</v>
      </c>
      <c r="H2" s="33">
        <f>IFERROR(__xludf.DUMMYFUNCTION("""COMPUTED_VALUE"""),0.1320642201834863)</f>
        <v>0.1320642202</v>
      </c>
      <c r="I2" s="32">
        <f>IFERROR(__xludf.DUMMYFUNCTION("""COMPUTED_VALUE"""),2471.6)</f>
        <v>2471.6</v>
      </c>
      <c r="J2" s="33">
        <f>IFERROR(__xludf.DUMMYFUNCTION("""COMPUTED_VALUE"""),-0.0014970059880238785)</f>
        <v>-0.001497005988</v>
      </c>
      <c r="K2" s="34" t="str">
        <f t="array" ref="K2">if(VLOOKUP(A2,'NSEBSE Code'!$A$4:$C$219,2,0) &lt;&gt; "",VLOOKUP(A2,'NSEBSE Code'!$A$4:$C$219,2,0),"")</f>
        <v>Telecom and oil</v>
      </c>
      <c r="L2" s="34" t="str">
        <f t="array" ref="L2">VLOOKUP(A2,'NSEBSE Code'!$A$4:$C$219,3,0)</f>
        <v>RELIANCE</v>
      </c>
      <c r="M2" s="35" t="str">
        <f t="array" ref="M2">if(F2 &gt; 30%, "Yes", "No")</f>
        <v>No</v>
      </c>
      <c r="N2" s="36" t="str">
        <f t="array" ref="N2">if(H2 &lt; 30%, "Yes", "No")</f>
        <v>Yes</v>
      </c>
      <c r="O2" s="37" t="str">
        <f t="array" ref="O2">if(AND(D2&lt;65,M2="No",N2="No"),"Good Stock","")</f>
        <v/>
      </c>
      <c r="P2" s="37" t="str">
        <f t="array" ref="P2">ifs(B2/$B$2 &gt; 0.6,"Large Cap", B2/$B$2 &gt; 0.4, "Mid Cap",B2/$B$2&gt;0,"Low Cap")</f>
        <v>Large Cap</v>
      </c>
    </row>
    <row r="3">
      <c r="A3" s="38" t="str">
        <f>IFERROR(__xludf.DUMMYFUNCTION("""COMPUTED_VALUE"""),"TCS")</f>
        <v>TCS</v>
      </c>
      <c r="B3" s="31">
        <f>IFERROR(__xludf.DUMMYFUNCTION("""COMPUTED_VALUE"""),1234544.5174748)</f>
        <v>1234544.517</v>
      </c>
      <c r="C3" s="32">
        <f>IFERROR(__xludf.DUMMYFUNCTION("""COMPUTED_VALUE"""),3374.2)</f>
        <v>3374.2</v>
      </c>
      <c r="D3" s="32">
        <f>IFERROR(__xludf.DUMMYFUNCTION("""COMPUTED_VALUE"""),30.43)</f>
        <v>30.43</v>
      </c>
      <c r="E3" s="32">
        <f>IFERROR(__xludf.DUMMYFUNCTION("""COMPUTED_VALUE"""),4045.5)</f>
        <v>4045.5</v>
      </c>
      <c r="F3" s="33">
        <f>IFERROR(__xludf.DUMMYFUNCTION("""COMPUTED_VALUE"""),0.1659374613768385)</f>
        <v>0.1659374614</v>
      </c>
      <c r="G3" s="32">
        <f>IFERROR(__xludf.DUMMYFUNCTION("""COMPUTED_VALUE"""),2926.0)</f>
        <v>2926</v>
      </c>
      <c r="H3" s="33">
        <f>IFERROR(__xludf.DUMMYFUNCTION("""COMPUTED_VALUE"""),0.15317840054682152)</f>
        <v>0.1531784005</v>
      </c>
      <c r="I3" s="32">
        <f>IFERROR(__xludf.DUMMYFUNCTION("""COMPUTED_VALUE"""),3334.6)</f>
        <v>3334.6</v>
      </c>
      <c r="J3" s="33">
        <f>IFERROR(__xludf.DUMMYFUNCTION("""COMPUTED_VALUE"""),0.01187548731482034)</f>
        <v>0.01187548731</v>
      </c>
      <c r="K3" s="34" t="str">
        <f t="array" ref="K3">if(VLOOKUP(A3,'NSEBSE Code'!$A$4:$C$219,2,0) &lt;&gt; "",VLOOKUP(A3,'NSEBSE Code'!$A$4:$C$219,2,0),"")</f>
        <v>IT</v>
      </c>
      <c r="L3" s="34" t="str">
        <f t="array" ref="L3">VLOOKUP(A3,'NSEBSE Code'!$A$4:$C$219,3,0)</f>
        <v>BOM:532540</v>
      </c>
      <c r="M3" s="35" t="str">
        <f t="array" ref="M3">if(F3 &gt; 30%, "Yes", "No")</f>
        <v>No</v>
      </c>
      <c r="N3" s="36" t="str">
        <f t="array" ref="N3">if(H3 &lt; 30%, "Yes", "No")</f>
        <v>Yes</v>
      </c>
      <c r="O3" s="37" t="str">
        <f t="array" ref="O3">if(AND(D3&lt;65,M3="No",N3="No"),"Good Stock","")</f>
        <v/>
      </c>
      <c r="P3" s="37" t="str">
        <f t="array" ref="P3">ifs(B3/$B$2 &gt; 0.6,"Large Cap", B3/$B$2 &gt; 0.4, "Mid Cap",B3/$B$2&gt;0,"Low Cap")</f>
        <v>Large Cap</v>
      </c>
    </row>
    <row r="4">
      <c r="A4" s="38" t="str">
        <f>IFERROR(__xludf.DUMMYFUNCTION("""COMPUTED_VALUE"""),"HUL")</f>
        <v>HUL</v>
      </c>
      <c r="B4" s="31">
        <f>IFERROR(__xludf.DUMMYFUNCTION("""COMPUTED_VALUE"""),616301.326875)</f>
        <v>616301.3269</v>
      </c>
      <c r="C4" s="32">
        <f>IFERROR(__xludf.DUMMYFUNCTION("""COMPUTED_VALUE"""),2620.6)</f>
        <v>2620.6</v>
      </c>
      <c r="D4" s="32">
        <f>IFERROR(__xludf.DUMMYFUNCTION("""COMPUTED_VALUE"""),63.81)</f>
        <v>63.81</v>
      </c>
      <c r="E4" s="32">
        <f>IFERROR(__xludf.DUMMYFUNCTION("""COMPUTED_VALUE"""),2741.6)</f>
        <v>2741.6</v>
      </c>
      <c r="F4" s="33">
        <f>IFERROR(__xludf.DUMMYFUNCTION("""COMPUTED_VALUE"""),0.0441348117887365)</f>
        <v>0.04413481179</v>
      </c>
      <c r="G4" s="32">
        <f>IFERROR(__xludf.DUMMYFUNCTION("""COMPUTED_VALUE"""),1901.55)</f>
        <v>1901.55</v>
      </c>
      <c r="H4" s="33">
        <f>IFERROR(__xludf.DUMMYFUNCTION("""COMPUTED_VALUE"""),0.37813888669769397)</f>
        <v>0.3781388867</v>
      </c>
      <c r="I4" s="32">
        <f>IFERROR(__xludf.DUMMYFUNCTION("""COMPUTED_VALUE"""),2590.05)</f>
        <v>2590.05</v>
      </c>
      <c r="J4" s="33">
        <f>IFERROR(__xludf.DUMMYFUNCTION("""COMPUTED_VALUE"""),0.011795139089978852)</f>
        <v>0.01179513909</v>
      </c>
      <c r="K4" s="34" t="str">
        <f t="array" ref="K4">if(VLOOKUP(A4,'NSEBSE Code'!$A$4:$C$219,2,0) &lt;&gt; "",VLOOKUP(A4,'NSEBSE Code'!$A$4:$C$219,2,0),"")</f>
        <v>FMCG</v>
      </c>
      <c r="L4" s="34" t="str">
        <f t="array" ref="L4">VLOOKUP(A4,'NSEBSE Code'!$A$4:$C$219,3,0)</f>
        <v>HINDUNILVR</v>
      </c>
      <c r="M4" s="35" t="str">
        <f t="array" ref="M4">if(F4 &gt; 30%, "Yes", "No")</f>
        <v>No</v>
      </c>
      <c r="N4" s="36" t="str">
        <f t="array" ref="N4">if(H4 &lt; 30%, "Yes", "No")</f>
        <v>No</v>
      </c>
      <c r="O4" s="37" t="str">
        <f t="array" ref="O4">if(AND(D4&lt;65,M4="No",N4="No"),"Good Stock","")</f>
        <v>Good Stock</v>
      </c>
      <c r="P4" s="37" t="str">
        <f t="array" ref="P4">ifs(B4/$B$2 &gt; 0.6,"Large Cap", B4/$B$2 &gt; 0.4, "Mid Cap",B4/$B$2&gt;0,"Low Cap")</f>
        <v>Low Cap</v>
      </c>
    </row>
    <row r="5">
      <c r="A5" s="38" t="str">
        <f>IFERROR(__xludf.DUMMYFUNCTION("""COMPUTED_VALUE"""),"SBI Bank")</f>
        <v>SBI Bank</v>
      </c>
      <c r="B5" s="31">
        <f>IFERROR(__xludf.DUMMYFUNCTION("""COMPUTED_VALUE"""),535431.3246675)</f>
        <v>535431.3247</v>
      </c>
      <c r="C5" s="32">
        <f>IFERROR(__xludf.DUMMYFUNCTION("""COMPUTED_VALUE"""),600.05)</f>
        <v>600.05</v>
      </c>
      <c r="D5" s="32">
        <f>IFERROR(__xludf.DUMMYFUNCTION("""COMPUTED_VALUE"""),13.0)</f>
        <v>13</v>
      </c>
      <c r="E5" s="32">
        <f>IFERROR(__xludf.DUMMYFUNCTION("""COMPUTED_VALUE"""),629.65)</f>
        <v>629.65</v>
      </c>
      <c r="F5" s="33">
        <f>IFERROR(__xludf.DUMMYFUNCTION("""COMPUTED_VALUE"""),0.047010243786230484)</f>
        <v>0.04701024379</v>
      </c>
      <c r="G5" s="32">
        <f>IFERROR(__xludf.DUMMYFUNCTION("""COMPUTED_VALUE"""),425.0)</f>
        <v>425</v>
      </c>
      <c r="H5" s="33">
        <f>IFERROR(__xludf.DUMMYFUNCTION("""COMPUTED_VALUE"""),0.41188235294117637)</f>
        <v>0.4118823529</v>
      </c>
      <c r="I5" s="32">
        <f>IFERROR(__xludf.DUMMYFUNCTION("""COMPUTED_VALUE"""),595.0)</f>
        <v>595</v>
      </c>
      <c r="J5" s="33">
        <f>IFERROR(__xludf.DUMMYFUNCTION("""COMPUTED_VALUE"""),0.008487394957983117)</f>
        <v>0.008487394958</v>
      </c>
      <c r="K5" s="34" t="str">
        <f t="array" ref="K5">if(VLOOKUP(A5,'NSEBSE Code'!$A$4:$C$219,2,0) &lt;&gt; "",VLOOKUP(A5,'NSEBSE Code'!$A$4:$C$219,2,0),"")</f>
        <v>Bank</v>
      </c>
      <c r="L5" s="34" t="str">
        <f t="array" ref="L5">VLOOKUP(A5,'NSEBSE Code'!$A$4:$C$219,3,0)</f>
        <v>BOM:500112</v>
      </c>
      <c r="M5" s="35" t="str">
        <f t="array" ref="M5">if(F5 &gt; 30%, "Yes", "No")</f>
        <v>No</v>
      </c>
      <c r="N5" s="36" t="str">
        <f t="array" ref="N5">if(H5 &lt; 30%, "Yes", "No")</f>
        <v>No</v>
      </c>
      <c r="O5" s="37" t="str">
        <f t="array" ref="O5">if(AND(D5&lt;65,M5="No",N5="No"),"Good Stock","")</f>
        <v>Good Stock</v>
      </c>
      <c r="P5" s="37" t="str">
        <f t="array" ref="P5">ifs(B5/$B$2 &gt; 0.6,"Large Cap", B5/$B$2 &gt; 0.4, "Mid Cap",B5/$B$2&gt;0,"Low Cap")</f>
        <v>Low Cap</v>
      </c>
    </row>
    <row r="6">
      <c r="A6" s="38" t="str">
        <f>IFERROR(__xludf.DUMMYFUNCTION("""COMPUTED_VALUE"""),"HDFC")</f>
        <v>HDFC</v>
      </c>
      <c r="B6" s="31">
        <f>IFERROR(__xludf.DUMMYFUNCTION("""COMPUTED_VALUE"""),478914.7)</f>
        <v>478914.7</v>
      </c>
      <c r="C6" s="32">
        <f>IFERROR(__xludf.DUMMYFUNCTION("""COMPUTED_VALUE"""),2619.25)</f>
        <v>2619.25</v>
      </c>
      <c r="D6" s="32">
        <f>IFERROR(__xludf.DUMMYFUNCTION("""COMPUTED_VALUE"""),19.81)</f>
        <v>19.81</v>
      </c>
      <c r="E6" s="32">
        <f>IFERROR(__xludf.DUMMYFUNCTION("""COMPUTED_VALUE"""),2933.8)</f>
        <v>2933.8</v>
      </c>
      <c r="F6" s="33">
        <f>IFERROR(__xludf.DUMMYFUNCTION("""COMPUTED_VALUE"""),0.10721589747085697)</f>
        <v>0.1072158975</v>
      </c>
      <c r="G6" s="32">
        <f>IFERROR(__xludf.DUMMYFUNCTION("""COMPUTED_VALUE"""),2026.0)</f>
        <v>2026</v>
      </c>
      <c r="H6" s="33">
        <f>IFERROR(__xludf.DUMMYFUNCTION("""COMPUTED_VALUE"""),0.2928183613030602)</f>
        <v>0.2928183613</v>
      </c>
      <c r="I6" s="32">
        <f>IFERROR(__xludf.DUMMYFUNCTION("""COMPUTED_VALUE"""),2612.8)</f>
        <v>2612.8</v>
      </c>
      <c r="J6" s="33">
        <f>IFERROR(__xludf.DUMMYFUNCTION("""COMPUTED_VALUE"""),0.002468616044090561)</f>
        <v>0.002468616044</v>
      </c>
      <c r="K6" s="34" t="str">
        <f t="array" ref="K6">if(VLOOKUP(A6,'NSEBSE Code'!$A$4:$C$219,2,0) &lt;&gt; "",VLOOKUP(A6,'NSEBSE Code'!$A$4:$C$219,2,0),"")</f>
        <v>Financial Servcies</v>
      </c>
      <c r="L6" s="34" t="str">
        <f t="array" ref="L6">VLOOKUP(A6,'NSEBSE Code'!$A$4:$C$219,3,0)</f>
        <v>HDFC</v>
      </c>
      <c r="M6" s="35" t="str">
        <f t="array" ref="M6">if(F6 &gt; 30%, "Yes", "No")</f>
        <v>No</v>
      </c>
      <c r="N6" s="36" t="str">
        <f t="array" ref="N6">if(H6 &lt; 30%, "Yes", "No")</f>
        <v>Yes</v>
      </c>
      <c r="O6" s="37" t="str">
        <f t="array" ref="O6">if(AND(D6&lt;65,M6="No",N6="No"),"Good Stock","")</f>
        <v/>
      </c>
      <c r="P6" s="37" t="str">
        <f t="array" ref="P6">ifs(B6/$B$2 &gt; 0.6,"Large Cap", B6/$B$2 &gt; 0.4, "Mid Cap",B6/$B$2&gt;0,"Low Cap")</f>
        <v>Low Cap</v>
      </c>
    </row>
    <row r="7">
      <c r="A7" s="38" t="str">
        <f>IFERROR(__xludf.DUMMYFUNCTION("""COMPUTED_VALUE"""),"LIC")</f>
        <v>LIC</v>
      </c>
      <c r="B7" s="31">
        <f>IFERROR(__xludf.DUMMYFUNCTION("""COMPUTED_VALUE"""),450686.7570293)</f>
        <v>450686.757</v>
      </c>
      <c r="C7" s="32">
        <f>IFERROR(__xludf.DUMMYFUNCTION("""COMPUTED_VALUE"""),712.7)</f>
        <v>712.7</v>
      </c>
      <c r="D7" s="32">
        <f>IFERROR(__xludf.DUMMYFUNCTION("""COMPUTED_VALUE"""),23.63)</f>
        <v>23.63</v>
      </c>
      <c r="E7" s="32">
        <f>IFERROR(__xludf.DUMMYFUNCTION("""COMPUTED_VALUE"""),920.0)</f>
        <v>920</v>
      </c>
      <c r="F7" s="33">
        <f>IFERROR(__xludf.DUMMYFUNCTION("""COMPUTED_VALUE"""),0.22532608695652168)</f>
        <v>0.225326087</v>
      </c>
      <c r="G7" s="32">
        <f>IFERROR(__xludf.DUMMYFUNCTION("""COMPUTED_VALUE"""),588.0)</f>
        <v>588</v>
      </c>
      <c r="H7" s="33">
        <f>IFERROR(__xludf.DUMMYFUNCTION("""COMPUTED_VALUE"""),0.21207482993197288)</f>
        <v>0.2120748299</v>
      </c>
      <c r="I7" s="32">
        <f>IFERROR(__xludf.DUMMYFUNCTION("""COMPUTED_VALUE"""),705.55)</f>
        <v>705.55</v>
      </c>
      <c r="J7" s="33">
        <f>IFERROR(__xludf.DUMMYFUNCTION("""COMPUTED_VALUE"""),0.01013393806250456)</f>
        <v>0.01013393806</v>
      </c>
      <c r="K7" s="34" t="str">
        <f t="array" ref="K7">if(VLOOKUP(A7,'NSEBSE Code'!$A$4:$C$219,2,0) &lt;&gt; "",VLOOKUP(A7,'NSEBSE Code'!$A$4:$C$219,2,0),"")</f>
        <v>Insurance</v>
      </c>
      <c r="L7" s="34" t="str">
        <f t="array" ref="L7">VLOOKUP(A7,'NSEBSE Code'!$A$4:$C$219,3,0)</f>
        <v>BOM:543526</v>
      </c>
      <c r="M7" s="35" t="str">
        <f t="array" ref="M7">if(F7 &gt; 30%, "Yes", "No")</f>
        <v>No</v>
      </c>
      <c r="N7" s="36" t="str">
        <f t="array" ref="N7">if(H7 &lt; 30%, "Yes", "No")</f>
        <v>Yes</v>
      </c>
      <c r="O7" s="37" t="str">
        <f t="array" ref="O7">if(AND(D7&lt;65,M7="No",N7="No"),"Good Stock","")</f>
        <v/>
      </c>
      <c r="P7" s="37" t="str">
        <f t="array" ref="P7">ifs(B7/$B$2 &gt; 0.6,"Large Cap", B7/$B$2 &gt; 0.4, "Mid Cap",B7/$B$2&gt;0,"Low Cap")</f>
        <v>Low Cap</v>
      </c>
    </row>
    <row r="8">
      <c r="A8" s="38" t="str">
        <f>IFERROR(__xludf.DUMMYFUNCTION("""COMPUTED_VALUE"""),"Airtel")</f>
        <v>Airtel</v>
      </c>
      <c r="B8" s="31">
        <f>IFERROR(__xludf.DUMMYFUNCTION("""COMPUTED_VALUE"""),441027.3972459)</f>
        <v>441027.3972</v>
      </c>
      <c r="C8" s="32">
        <f>IFERROR(__xludf.DUMMYFUNCTION("""COMPUTED_VALUE"""),764.6)</f>
        <v>764.6</v>
      </c>
      <c r="D8" s="32">
        <f>IFERROR(__xludf.DUMMYFUNCTION("""COMPUTED_VALUE"""),65.86)</f>
        <v>65.86</v>
      </c>
      <c r="E8" s="32">
        <f>IFERROR(__xludf.DUMMYFUNCTION("""COMPUTED_VALUE"""),860.55)</f>
        <v>860.55</v>
      </c>
      <c r="F8" s="33">
        <f>IFERROR(__xludf.DUMMYFUNCTION("""COMPUTED_VALUE"""),0.11149846028702566)</f>
        <v>0.1114984603</v>
      </c>
      <c r="G8" s="32">
        <f>IFERROR(__xludf.DUMMYFUNCTION("""COMPUTED_VALUE"""),628.75)</f>
        <v>628.75</v>
      </c>
      <c r="H8" s="33">
        <f>IFERROR(__xludf.DUMMYFUNCTION("""COMPUTED_VALUE"""),0.2160636182902585)</f>
        <v>0.2160636183</v>
      </c>
      <c r="I8" s="32">
        <f>IFERROR(__xludf.DUMMYFUNCTION("""COMPUTED_VALUE"""),756.9)</f>
        <v>756.9</v>
      </c>
      <c r="J8" s="33">
        <f>IFERROR(__xludf.DUMMYFUNCTION("""COMPUTED_VALUE"""),0.010173074382349117)</f>
        <v>0.01017307438</v>
      </c>
      <c r="K8" s="34" t="str">
        <f t="array" ref="K8">if(VLOOKUP(A8,'NSEBSE Code'!$A$4:$C$219,2,0) &lt;&gt; "",VLOOKUP(A8,'NSEBSE Code'!$A$4:$C$219,2,0),"")</f>
        <v>Telecom</v>
      </c>
      <c r="L8" s="34" t="str">
        <f t="array" ref="L8">VLOOKUP(A8,'NSEBSE Code'!$A$4:$C$219,3,0)</f>
        <v>BHARTIARTL</v>
      </c>
      <c r="M8" s="35" t="str">
        <f t="array" ref="M8">if(F8 &gt; 30%, "Yes", "No")</f>
        <v>No</v>
      </c>
      <c r="N8" s="36" t="str">
        <f t="array" ref="N8">if(H8 &lt; 30%, "Yes", "No")</f>
        <v>Yes</v>
      </c>
      <c r="O8" s="37" t="str">
        <f t="array" ref="O8">if(AND(D8&lt;65,M8="No",N8="No"),"Good Stock","")</f>
        <v/>
      </c>
      <c r="P8" s="37" t="str">
        <f t="array" ref="P8">ifs(B8/$B$2 &gt; 0.6,"Large Cap", B8/$B$2 &gt; 0.4, "Mid Cap",B8/$B$2&gt;0,"Low Cap")</f>
        <v>Low Cap</v>
      </c>
    </row>
    <row r="9">
      <c r="A9" s="38" t="str">
        <f>IFERROR(__xludf.DUMMYFUNCTION("""COMPUTED_VALUE"""),"Bajaj Finance")</f>
        <v>Bajaj Finance</v>
      </c>
      <c r="B9" s="31">
        <f>IFERROR(__xludf.DUMMYFUNCTION("""COMPUTED_VALUE"""),361172.6351402)</f>
        <v>361172.6351</v>
      </c>
      <c r="C9" s="32">
        <f>IFERROR(__xludf.DUMMYFUNCTION("""COMPUTED_VALUE"""),5977.0)</f>
        <v>5977</v>
      </c>
      <c r="D9" s="32">
        <f>IFERROR(__xludf.DUMMYFUNCTION("""COMPUTED_VALUE"""),36.52)</f>
        <v>36.52</v>
      </c>
      <c r="E9" s="32">
        <f>IFERROR(__xludf.DUMMYFUNCTION("""COMPUTED_VALUE"""),8045.0)</f>
        <v>8045</v>
      </c>
      <c r="F9" s="33">
        <f>IFERROR(__xludf.DUMMYFUNCTION("""COMPUTED_VALUE"""),0.25705407085146054)</f>
        <v>0.2570540709</v>
      </c>
      <c r="G9" s="32">
        <f>IFERROR(__xludf.DUMMYFUNCTION("""COMPUTED_VALUE"""),5220.0)</f>
        <v>5220</v>
      </c>
      <c r="H9" s="33">
        <f>IFERROR(__xludf.DUMMYFUNCTION("""COMPUTED_VALUE"""),0.1450191570881226)</f>
        <v>0.1450191571</v>
      </c>
      <c r="I9" s="32">
        <f>IFERROR(__xludf.DUMMYFUNCTION("""COMPUTED_VALUE"""),5898.4)</f>
        <v>5898.4</v>
      </c>
      <c r="J9" s="33">
        <f>IFERROR(__xludf.DUMMYFUNCTION("""COMPUTED_VALUE"""),0.013325647633256539)</f>
        <v>0.01332564763</v>
      </c>
      <c r="K9" s="34" t="str">
        <f t="array" ref="K9">if(VLOOKUP(A9,'NSEBSE Code'!$A$4:$C$219,2,0) &lt;&gt; "",VLOOKUP(A9,'NSEBSE Code'!$A$4:$C$219,2,0),"")</f>
        <v>NBFC</v>
      </c>
      <c r="L9" s="34" t="str">
        <f t="array" ref="L9">VLOOKUP(A9,'NSEBSE Code'!$A$4:$C$219,3,0)</f>
        <v>BAJFINANCE</v>
      </c>
      <c r="M9" s="35" t="str">
        <f t="array" ref="M9">if(F9 &gt; 30%, "Yes", "No")</f>
        <v>No</v>
      </c>
      <c r="N9" s="36" t="str">
        <f t="array" ref="N9">if(H9 &lt; 30%, "Yes", "No")</f>
        <v>Yes</v>
      </c>
      <c r="O9" s="37" t="str">
        <f t="array" ref="O9">if(AND(D9&lt;65,M9="No",N9="No"),"Good Stock","")</f>
        <v/>
      </c>
      <c r="P9" s="37" t="str">
        <f t="array" ref="P9">ifs(B9/$B$2 &gt; 0.6,"Large Cap", B9/$B$2 &gt; 0.4, "Mid Cap",B9/$B$2&gt;0,"Low Cap")</f>
        <v>Low Cap</v>
      </c>
    </row>
    <row r="10">
      <c r="A10" s="38" t="str">
        <f>IFERROR(__xludf.DUMMYFUNCTION("""COMPUTED_VALUE"""),"Kotak Bank")</f>
        <v>Kotak Bank</v>
      </c>
      <c r="B10" s="31">
        <f>IFERROR(__xludf.DUMMYFUNCTION("""COMPUTED_VALUE"""),354002.5359556)</f>
        <v>354002.536</v>
      </c>
      <c r="C10" s="32">
        <f>IFERROR(__xludf.DUMMYFUNCTION("""COMPUTED_VALUE"""),1780.5)</f>
        <v>1780.5</v>
      </c>
      <c r="D10" s="32">
        <f>IFERROR(__xludf.DUMMYFUNCTION("""COMPUTED_VALUE"""),25.87)</f>
        <v>25.87</v>
      </c>
      <c r="E10" s="32">
        <f>IFERROR(__xludf.DUMMYFUNCTION("""COMPUTED_VALUE"""),1997.55)</f>
        <v>1997.55</v>
      </c>
      <c r="F10" s="33">
        <f>IFERROR(__xludf.DUMMYFUNCTION("""COMPUTED_VALUE"""),0.10865810618007056)</f>
        <v>0.1086581062</v>
      </c>
      <c r="G10" s="32">
        <f>IFERROR(__xludf.DUMMYFUNCTION("""COMPUTED_VALUE"""),1631.0)</f>
        <v>1631</v>
      </c>
      <c r="H10" s="33">
        <f>IFERROR(__xludf.DUMMYFUNCTION("""COMPUTED_VALUE"""),0.09166155732679337)</f>
        <v>0.09166155733</v>
      </c>
      <c r="I10" s="32">
        <f>IFERROR(__xludf.DUMMYFUNCTION("""COMPUTED_VALUE"""),1779.5)</f>
        <v>1779.5</v>
      </c>
      <c r="J10" s="33">
        <f>IFERROR(__xludf.DUMMYFUNCTION("""COMPUTED_VALUE"""),5.61955605507165E-4)</f>
        <v>0.0005619556055</v>
      </c>
      <c r="K10" s="34" t="str">
        <f t="array" ref="K10">if(VLOOKUP(A10,'NSEBSE Code'!$A$4:$C$219,2,0) &lt;&gt; "",VLOOKUP(A10,'NSEBSE Code'!$A$4:$C$219,2,0),"")</f>
        <v>Bank</v>
      </c>
      <c r="L10" s="34" t="str">
        <f t="array" ref="L10">VLOOKUP(A10,'NSEBSE Code'!$A$4:$C$219,3,0)</f>
        <v>KOTAKBANK</v>
      </c>
      <c r="M10" s="35" t="str">
        <f t="array" ref="M10">if(F10 &gt; 30%, "Yes", "No")</f>
        <v>No</v>
      </c>
      <c r="N10" s="36" t="str">
        <f t="array" ref="N10">if(H10 &lt; 30%, "Yes", "No")</f>
        <v>Yes</v>
      </c>
      <c r="O10" s="37" t="str">
        <f t="array" ref="O10">if(AND(D10&lt;65,M10="No",N10="No"),"Good Stock","")</f>
        <v/>
      </c>
      <c r="P10" s="37" t="str">
        <f t="array" ref="P10">ifs(B10/$B$2 &gt; 0.6,"Large Cap", B10/$B$2 &gt; 0.4, "Mid Cap",B10/$B$2&gt;0,"Low Cap")</f>
        <v>Low Cap</v>
      </c>
    </row>
    <row r="11">
      <c r="A11" s="38" t="str">
        <f>IFERROR(__xludf.DUMMYFUNCTION("""COMPUTED_VALUE"""),"L&amp;T")</f>
        <v>L&amp;T</v>
      </c>
      <c r="B11" s="31">
        <f>IFERROR(__xludf.DUMMYFUNCTION("""COMPUTED_VALUE"""),302617.166625)</f>
        <v>302617.1666</v>
      </c>
      <c r="C11" s="32">
        <f>IFERROR(__xludf.DUMMYFUNCTION("""COMPUTED_VALUE"""),2153.75)</f>
        <v>2153.75</v>
      </c>
      <c r="D11" s="32">
        <f>IFERROR(__xludf.DUMMYFUNCTION("""COMPUTED_VALUE"""),31.53)</f>
        <v>31.53</v>
      </c>
      <c r="E11" s="32">
        <f>IFERROR(__xludf.DUMMYFUNCTION("""COMPUTED_VALUE"""),2210.5)</f>
        <v>2210.5</v>
      </c>
      <c r="F11" s="33">
        <f>IFERROR(__xludf.DUMMYFUNCTION("""COMPUTED_VALUE"""),0.025672924677674736)</f>
        <v>0.02567292468</v>
      </c>
      <c r="G11" s="32">
        <f>IFERROR(__xludf.DUMMYFUNCTION("""COMPUTED_VALUE"""),1456.8)</f>
        <v>1456.8</v>
      </c>
      <c r="H11" s="33">
        <f>IFERROR(__xludf.DUMMYFUNCTION("""COMPUTED_VALUE"""),0.4784115870400879)</f>
        <v>0.478411587</v>
      </c>
      <c r="I11" s="32">
        <f>IFERROR(__xludf.DUMMYFUNCTION("""COMPUTED_VALUE"""),2160.2)</f>
        <v>2160.2</v>
      </c>
      <c r="J11" s="33">
        <f>IFERROR(__xludf.DUMMYFUNCTION("""COMPUTED_VALUE"""),-0.0029858346449401995)</f>
        <v>-0.002985834645</v>
      </c>
      <c r="K11" s="34" t="str">
        <f t="array" ref="K11">if(VLOOKUP(A11,'NSEBSE Code'!$A$4:$C$219,2,0) &lt;&gt; "",VLOOKUP(A11,'NSEBSE Code'!$A$4:$C$219,2,0),"")</f>
        <v>Infrastructure</v>
      </c>
      <c r="L11" s="34" t="str">
        <f t="array" ref="L11">VLOOKUP(A11,'NSEBSE Code'!$A$4:$C$219,3,0)</f>
        <v>BOM:500510</v>
      </c>
      <c r="M11" s="35" t="str">
        <f t="array" ref="M11">if(F11 &gt; 30%, "Yes", "No")</f>
        <v>No</v>
      </c>
      <c r="N11" s="36" t="str">
        <f t="array" ref="N11">if(H11 &lt; 30%, "Yes", "No")</f>
        <v>No</v>
      </c>
      <c r="O11" s="37" t="str">
        <f t="array" ref="O11">if(AND(D11&lt;65,M11="No",N11="No"),"Good Stock","")</f>
        <v>Good Stock</v>
      </c>
      <c r="P11" s="37" t="str">
        <f t="array" ref="P11">ifs(B11/$B$2 &gt; 0.6,"Large Cap", B11/$B$2 &gt; 0.4, "Mid Cap",B11/$B$2&gt;0,"Low Cap")</f>
        <v>Low Cap</v>
      </c>
    </row>
    <row r="12">
      <c r="A12" s="38" t="str">
        <f>IFERROR(__xludf.DUMMYFUNCTION("""COMPUTED_VALUE"""),"Axis Bank")</f>
        <v>Axis Bank</v>
      </c>
      <c r="B12" s="31">
        <f>IFERROR(__xludf.DUMMYFUNCTION("""COMPUTED_VALUE"""),287213.2945283)</f>
        <v>287213.2945</v>
      </c>
      <c r="C12" s="32">
        <f>IFERROR(__xludf.DUMMYFUNCTION("""COMPUTED_VALUE"""),933.9)</f>
        <v>933.9</v>
      </c>
      <c r="D12" s="32">
        <f>IFERROR(__xludf.DUMMYFUNCTION("""COMPUTED_VALUE"""),15.67)</f>
        <v>15.67</v>
      </c>
      <c r="E12" s="32">
        <f>IFERROR(__xludf.DUMMYFUNCTION("""COMPUTED_VALUE"""),970.0)</f>
        <v>970</v>
      </c>
      <c r="F12" s="33">
        <f>IFERROR(__xludf.DUMMYFUNCTION("""COMPUTED_VALUE"""),0.03721649484536085)</f>
        <v>0.03721649485</v>
      </c>
      <c r="G12" s="32">
        <f>IFERROR(__xludf.DUMMYFUNCTION("""COMPUTED_VALUE"""),618.25)</f>
        <v>618.25</v>
      </c>
      <c r="H12" s="33">
        <f>IFERROR(__xludf.DUMMYFUNCTION("""COMPUTED_VALUE"""),0.5105539830165791)</f>
        <v>0.510553983</v>
      </c>
      <c r="I12" s="32">
        <f>IFERROR(__xludf.DUMMYFUNCTION("""COMPUTED_VALUE"""),935.55)</f>
        <v>935.55</v>
      </c>
      <c r="J12" s="33">
        <f>IFERROR(__xludf.DUMMYFUNCTION("""COMPUTED_VALUE"""),-0.0017636684303350728)</f>
        <v>-0.00176366843</v>
      </c>
      <c r="K12" s="34" t="str">
        <f t="array" ref="K12">if(VLOOKUP(A12,'NSEBSE Code'!$A$4:$C$219,2,0) &lt;&gt; "",VLOOKUP(A12,'NSEBSE Code'!$A$4:$C$219,2,0),"")</f>
        <v>Bank</v>
      </c>
      <c r="L12" s="34" t="str">
        <f t="array" ref="L12">VLOOKUP(A12,'NSEBSE Code'!$A$4:$C$219,3,0)</f>
        <v>AXISBANK</v>
      </c>
      <c r="M12" s="35" t="str">
        <f t="array" ref="M12">if(F12 &gt; 30%, "Yes", "No")</f>
        <v>No</v>
      </c>
      <c r="N12" s="36" t="str">
        <f t="array" ref="N12">if(H12 &lt; 30%, "Yes", "No")</f>
        <v>No</v>
      </c>
      <c r="O12" s="37" t="str">
        <f t="array" ref="O12">if(AND(D12&lt;65,M12="No",N12="No"),"Good Stock","")</f>
        <v>Good Stock</v>
      </c>
      <c r="P12" s="37" t="str">
        <f t="array" ref="P12">ifs(B12/$B$2 &gt; 0.6,"Large Cap", B12/$B$2 &gt; 0.4, "Mid Cap",B12/$B$2&gt;0,"Low Cap")</f>
        <v>Low Cap</v>
      </c>
    </row>
    <row r="13">
      <c r="A13" s="38" t="str">
        <f>IFERROR(__xludf.DUMMYFUNCTION("""COMPUTED_VALUE"""),"Asian Paints")</f>
        <v>Asian Paints</v>
      </c>
      <c r="B13" s="31">
        <f>IFERROR(__xludf.DUMMYFUNCTION("""COMPUTED_VALUE"""),278960.0995659)</f>
        <v>278960.0996</v>
      </c>
      <c r="C13" s="32">
        <f>IFERROR(__xludf.DUMMYFUNCTION("""COMPUTED_VALUE"""),2912.0)</f>
        <v>2912</v>
      </c>
      <c r="D13" s="32">
        <f>IFERROR(__xludf.DUMMYFUNCTION("""COMPUTED_VALUE"""),76.19)</f>
        <v>76.19</v>
      </c>
      <c r="E13" s="32">
        <f>IFERROR(__xludf.DUMMYFUNCTION("""COMPUTED_VALUE"""),3582.9)</f>
        <v>3582.9</v>
      </c>
      <c r="F13" s="33">
        <f>IFERROR(__xludf.DUMMYFUNCTION("""COMPUTED_VALUE"""),0.18725055122945103)</f>
        <v>0.1872505512</v>
      </c>
      <c r="G13" s="32">
        <f>IFERROR(__xludf.DUMMYFUNCTION("""COMPUTED_VALUE"""),2560.0)</f>
        <v>2560</v>
      </c>
      <c r="H13" s="33">
        <f>IFERROR(__xludf.DUMMYFUNCTION("""COMPUTED_VALUE"""),0.1375)</f>
        <v>0.1375</v>
      </c>
      <c r="I13" s="32">
        <f>IFERROR(__xludf.DUMMYFUNCTION("""COMPUTED_VALUE"""),2915.95)</f>
        <v>2915.95</v>
      </c>
      <c r="J13" s="33">
        <f>IFERROR(__xludf.DUMMYFUNCTION("""COMPUTED_VALUE"""),-0.0013546185634183776)</f>
        <v>-0.001354618563</v>
      </c>
      <c r="K13" s="34" t="str">
        <f t="array" ref="K13">if(VLOOKUP(A13,'NSEBSE Code'!$A$4:$C$219,2,0) &lt;&gt; "",VLOOKUP(A13,'NSEBSE Code'!$A$4:$C$219,2,0),"")</f>
        <v>Paint</v>
      </c>
      <c r="L13" s="34" t="str">
        <f t="array" ref="L13">VLOOKUP(A13,'NSEBSE Code'!$A$4:$C$219,3,0)</f>
        <v>ASIANPAINT</v>
      </c>
      <c r="M13" s="35" t="str">
        <f t="array" ref="M13">if(F13 &gt; 30%, "Yes", "No")</f>
        <v>No</v>
      </c>
      <c r="N13" s="36" t="str">
        <f t="array" ref="N13">if(H13 &lt; 30%, "Yes", "No")</f>
        <v>Yes</v>
      </c>
      <c r="O13" s="37" t="str">
        <f t="array" ref="O13">if(AND(D13&lt;65,M13="No",N13="No"),"Good Stock","")</f>
        <v/>
      </c>
      <c r="P13" s="37" t="str">
        <f t="array" ref="P13">ifs(B13/$B$2 &gt; 0.6,"Large Cap", B13/$B$2 &gt; 0.4, "Mid Cap",B13/$B$2&gt;0,"Low Cap")</f>
        <v>Low Cap</v>
      </c>
    </row>
    <row r="14">
      <c r="A14" s="38" t="str">
        <f>IFERROR(__xludf.DUMMYFUNCTION("""COMPUTED_VALUE"""),"Maruti Suzuki")</f>
        <v>Maruti Suzuki</v>
      </c>
      <c r="B14" s="31">
        <f>IFERROR(__xludf.DUMMYFUNCTION("""COMPUTED_VALUE"""),255438.4185926)</f>
        <v>255438.4186</v>
      </c>
      <c r="C14" s="32">
        <f>IFERROR(__xludf.DUMMYFUNCTION("""COMPUTED_VALUE"""),8454.2)</f>
        <v>8454.2</v>
      </c>
      <c r="D14" s="32">
        <f>IFERROR(__xludf.DUMMYFUNCTION("""COMPUTED_VALUE"""),42.1)</f>
        <v>42.1</v>
      </c>
      <c r="E14" s="32">
        <f>IFERROR(__xludf.DUMMYFUNCTION("""COMPUTED_VALUE"""),9769.0)</f>
        <v>9769</v>
      </c>
      <c r="F14" s="33">
        <f>IFERROR(__xludf.DUMMYFUNCTION("""COMPUTED_VALUE"""),0.13458900603951268)</f>
        <v>0.134589006</v>
      </c>
      <c r="G14" s="32">
        <f>IFERROR(__xludf.DUMMYFUNCTION("""COMPUTED_VALUE"""),6536.55)</f>
        <v>6536.55</v>
      </c>
      <c r="H14" s="33">
        <f>IFERROR(__xludf.DUMMYFUNCTION("""COMPUTED_VALUE"""),0.2933734156397489)</f>
        <v>0.2933734156</v>
      </c>
      <c r="I14" s="32">
        <f>IFERROR(__xludf.DUMMYFUNCTION("""COMPUTED_VALUE"""),8369.2)</f>
        <v>8369.2</v>
      </c>
      <c r="J14" s="33">
        <f>IFERROR(__xludf.DUMMYFUNCTION("""COMPUTED_VALUE"""),0.010156287339291688)</f>
        <v>0.01015628734</v>
      </c>
      <c r="K14" s="34" t="str">
        <f t="array" ref="K14">if(VLOOKUP(A14,'NSEBSE Code'!$A$4:$C$219,2,0) &lt;&gt; "",VLOOKUP(A14,'NSEBSE Code'!$A$4:$C$219,2,0),"")</f>
        <v>Automobile</v>
      </c>
      <c r="L14" s="34" t="str">
        <f t="array" ref="L14">VLOOKUP(A14,'NSEBSE Code'!$A$4:$C$219,3,0)</f>
        <v>MARUTI</v>
      </c>
      <c r="M14" s="35" t="str">
        <f t="array" ref="M14">if(F14 &gt; 30%, "Yes", "No")</f>
        <v>No</v>
      </c>
      <c r="N14" s="36" t="str">
        <f t="array" ref="N14">if(H14 &lt; 30%, "Yes", "No")</f>
        <v>Yes</v>
      </c>
      <c r="O14" s="37" t="str">
        <f t="array" ref="O14">if(AND(D14&lt;65,M14="No",N14="No"),"Good Stock","")</f>
        <v/>
      </c>
      <c r="P14" s="37" t="str">
        <f t="array" ref="P14">ifs(B14/$B$2 &gt; 0.6,"Large Cap", B14/$B$2 &gt; 0.4, "Mid Cap",B14/$B$2&gt;0,"Low Cap")</f>
        <v>Low Cap</v>
      </c>
    </row>
    <row r="15">
      <c r="A15" s="38" t="str">
        <f>IFERROR(__xludf.DUMMYFUNCTION("""COMPUTED_VALUE"""),"Sun pharma")</f>
        <v>Sun pharma</v>
      </c>
      <c r="B15" s="31">
        <f>IFERROR(__xludf.DUMMYFUNCTION("""COMPUTED_VALUE"""),247191.650802)</f>
        <v>247191.6508</v>
      </c>
      <c r="C15" s="32">
        <f>IFERROR(__xludf.DUMMYFUNCTION("""COMPUTED_VALUE"""),1031.05)</f>
        <v>1031.05</v>
      </c>
      <c r="D15" s="32">
        <f>IFERROR(__xludf.DUMMYFUNCTION("""COMPUTED_VALUE"""),60.4)</f>
        <v>60.4</v>
      </c>
      <c r="E15" s="32">
        <f>IFERROR(__xludf.DUMMYFUNCTION("""COMPUTED_VALUE"""),1070.95)</f>
        <v>1070.95</v>
      </c>
      <c r="F15" s="33">
        <f>IFERROR(__xludf.DUMMYFUNCTION("""COMPUTED_VALUE"""),0.03725664129978065)</f>
        <v>0.0372566413</v>
      </c>
      <c r="G15" s="32">
        <f>IFERROR(__xludf.DUMMYFUNCTION("""COMPUTED_VALUE"""),784.8)</f>
        <v>784.8</v>
      </c>
      <c r="H15" s="33">
        <f>IFERROR(__xludf.DUMMYFUNCTION("""COMPUTED_VALUE"""),0.3137742099898063)</f>
        <v>0.31377421</v>
      </c>
      <c r="I15" s="32">
        <f>IFERROR(__xludf.DUMMYFUNCTION("""COMPUTED_VALUE"""),1032.85)</f>
        <v>1032.85</v>
      </c>
      <c r="J15" s="33">
        <f>IFERROR(__xludf.DUMMYFUNCTION("""COMPUTED_VALUE"""),-0.0017427506414290116)</f>
        <v>-0.001742750641</v>
      </c>
      <c r="K15" s="34" t="str">
        <f t="array" ref="K15">if(VLOOKUP(A15,'NSEBSE Code'!$A$4:$C$219,2,0) &lt;&gt; "",VLOOKUP(A15,'NSEBSE Code'!$A$4:$C$219,2,0),"")</f>
        <v>Pharma</v>
      </c>
      <c r="L15" s="34" t="str">
        <f t="array" ref="L15">VLOOKUP(A15,'NSEBSE Code'!$A$4:$C$219,3,0)</f>
        <v>SUNPHARMA</v>
      </c>
      <c r="M15" s="35" t="str">
        <f t="array" ref="M15">if(F15 &gt; 30%, "Yes", "No")</f>
        <v>No</v>
      </c>
      <c r="N15" s="36" t="str">
        <f t="array" ref="N15">if(H15 &lt; 30%, "Yes", "No")</f>
        <v>No</v>
      </c>
      <c r="O15" s="37" t="str">
        <f t="array" ref="O15">if(AND(D15&lt;65,M15="No",N15="No"),"Good Stock","")</f>
        <v>Good Stock</v>
      </c>
      <c r="P15" s="37" t="str">
        <f t="array" ref="P15">ifs(B15/$B$2 &gt; 0.6,"Large Cap", B15/$B$2 &gt; 0.4, "Mid Cap",B15/$B$2&gt;0,"Low Cap")</f>
        <v>Low Cap</v>
      </c>
    </row>
    <row r="16">
      <c r="A16" s="38" t="str">
        <f>IFERROR(__xludf.DUMMYFUNCTION("""COMPUTED_VALUE"""),"Bajaj Finserv")</f>
        <v>Bajaj Finserv</v>
      </c>
      <c r="B16" s="31">
        <f>IFERROR(__xludf.DUMMYFUNCTION("""COMPUTED_VALUE"""),221292.5064376)</f>
        <v>221292.5064</v>
      </c>
      <c r="C16" s="32">
        <f>IFERROR(__xludf.DUMMYFUNCTION("""COMPUTED_VALUE"""),1391.0)</f>
        <v>1391</v>
      </c>
      <c r="D16" s="32">
        <f>IFERROR(__xludf.DUMMYFUNCTION("""COMPUTED_VALUE"""),40.48)</f>
        <v>40.48</v>
      </c>
      <c r="E16" s="32">
        <f>IFERROR(__xludf.DUMMYFUNCTION("""COMPUTED_VALUE"""),3724.2)</f>
        <v>3724.2</v>
      </c>
      <c r="F16" s="33">
        <f>IFERROR(__xludf.DUMMYFUNCTION("""COMPUTED_VALUE"""),0.6264969657913109)</f>
        <v>0.6264969658</v>
      </c>
      <c r="G16" s="32">
        <f>IFERROR(__xludf.DUMMYFUNCTION("""COMPUTED_VALUE"""),1374.35)</f>
        <v>1374.35</v>
      </c>
      <c r="H16" s="33">
        <f>IFERROR(__xludf.DUMMYFUNCTION("""COMPUTED_VALUE"""),0.012114817913923012)</f>
        <v>0.01211481791</v>
      </c>
      <c r="I16" s="32">
        <f>IFERROR(__xludf.DUMMYFUNCTION("""COMPUTED_VALUE"""),1387.8)</f>
        <v>1387.8</v>
      </c>
      <c r="J16" s="33">
        <f>IFERROR(__xludf.DUMMYFUNCTION("""COMPUTED_VALUE"""),0.002305807753278603)</f>
        <v>0.002305807753</v>
      </c>
      <c r="K16" s="34" t="str">
        <f t="array" ref="K16">if(VLOOKUP(A16,'NSEBSE Code'!$A$4:$C$219,2,0) &lt;&gt; "",VLOOKUP(A16,'NSEBSE Code'!$A$4:$C$219,2,0),"")</f>
        <v>Financial Servcies</v>
      </c>
      <c r="L16" s="34" t="str">
        <f t="array" ref="L16">VLOOKUP(A16,'NSEBSE Code'!$A$4:$C$219,3,0)</f>
        <v>BAJAJFINSV</v>
      </c>
      <c r="M16" s="35" t="str">
        <f t="array" ref="M16">if(F16 &gt; 30%, "Yes", "No")</f>
        <v>Yes</v>
      </c>
      <c r="N16" s="36" t="str">
        <f t="array" ref="N16">if(H16 &lt; 30%, "Yes", "No")</f>
        <v>Yes</v>
      </c>
      <c r="O16" s="37" t="str">
        <f t="array" ref="O16">if(AND(D16&lt;65,M16="No",N16="No"),"Good Stock","")</f>
        <v/>
      </c>
      <c r="P16" s="37" t="str">
        <f t="array" ref="P16">ifs(B16/$B$2 &gt; 0.6,"Large Cap", B16/$B$2 &gt; 0.4, "Mid Cap",B16/$B$2&gt;0,"Low Cap")</f>
        <v>Low Cap</v>
      </c>
    </row>
    <row r="17">
      <c r="A17" s="38" t="str">
        <f>IFERROR(__xludf.DUMMYFUNCTION("""COMPUTED_VALUE"""),"Titan")</f>
        <v>Titan</v>
      </c>
      <c r="B17" s="31">
        <f>IFERROR(__xludf.DUMMYFUNCTION("""COMPUTED_VALUE"""),214719.0067183)</f>
        <v>214719.0067</v>
      </c>
      <c r="C17" s="32">
        <f>IFERROR(__xludf.DUMMYFUNCTION("""COMPUTED_VALUE"""),2417.65)</f>
        <v>2417.65</v>
      </c>
      <c r="D17" s="32">
        <f>IFERROR(__xludf.DUMMYFUNCTION("""COMPUTED_VALUE"""),68.59)</f>
        <v>68.59</v>
      </c>
      <c r="E17" s="32">
        <f>IFERROR(__xludf.DUMMYFUNCTION("""COMPUTED_VALUE"""),2790.0)</f>
        <v>2790</v>
      </c>
      <c r="F17" s="33">
        <f>IFERROR(__xludf.DUMMYFUNCTION("""COMPUTED_VALUE"""),0.13345878136200715)</f>
        <v>0.1334587814</v>
      </c>
      <c r="G17" s="32">
        <f>IFERROR(__xludf.DUMMYFUNCTION("""COMPUTED_VALUE"""),1827.15)</f>
        <v>1827.15</v>
      </c>
      <c r="H17" s="33">
        <f>IFERROR(__xludf.DUMMYFUNCTION("""COMPUTED_VALUE"""),0.32318091016063266)</f>
        <v>0.3231809102</v>
      </c>
      <c r="I17" s="32">
        <f>IFERROR(__xludf.DUMMYFUNCTION("""COMPUTED_VALUE"""),2445.65)</f>
        <v>2445.65</v>
      </c>
      <c r="J17" s="33">
        <f>IFERROR(__xludf.DUMMYFUNCTION("""COMPUTED_VALUE"""),-0.011448899065688058)</f>
        <v>-0.01144889907</v>
      </c>
      <c r="K17" s="34" t="str">
        <f t="array" ref="K17">if(VLOOKUP(A17,'NSEBSE Code'!$A$4:$C$219,2,0) &lt;&gt; "",VLOOKUP(A17,'NSEBSE Code'!$A$4:$C$219,2,0),"")</f>
        <v>Retail</v>
      </c>
      <c r="L17" s="34" t="str">
        <f t="array" ref="L17">VLOOKUP(A17,'NSEBSE Code'!$A$4:$C$219,3,0)</f>
        <v>BOM:500114</v>
      </c>
      <c r="M17" s="35" t="str">
        <f t="array" ref="M17">if(F17 &gt; 30%, "Yes", "No")</f>
        <v>No</v>
      </c>
      <c r="N17" s="36" t="str">
        <f t="array" ref="N17">if(H17 &lt; 30%, "Yes", "No")</f>
        <v>No</v>
      </c>
      <c r="O17" s="37" t="str">
        <f t="array" ref="O17">if(AND(D17&lt;65,M17="No",N17="No"),"Good Stock","")</f>
        <v/>
      </c>
      <c r="P17" s="37" t="str">
        <f t="array" ref="P17">ifs(B17/$B$2 &gt; 0.6,"Large Cap", B17/$B$2 &gt; 0.4, "Mid Cap",B17/$B$2&gt;0,"Low Cap")</f>
        <v>Low Cap</v>
      </c>
    </row>
    <row r="18">
      <c r="A18" s="38" t="str">
        <f>IFERROR(__xludf.DUMMYFUNCTION("""COMPUTED_VALUE"""),"Ultratech Cement")</f>
        <v>Ultratech Cement</v>
      </c>
      <c r="B18" s="31">
        <f>IFERROR(__xludf.DUMMYFUNCTION("""COMPUTED_VALUE"""),208975.8)</f>
        <v>208975.8</v>
      </c>
      <c r="C18" s="32">
        <f>IFERROR(__xludf.DUMMYFUNCTION("""COMPUTED_VALUE"""),7244.95)</f>
        <v>7244.95</v>
      </c>
      <c r="D18" s="32">
        <f>IFERROR(__xludf.DUMMYFUNCTION("""COMPUTED_VALUE"""),31.35)</f>
        <v>31.35</v>
      </c>
      <c r="E18" s="32">
        <f>IFERROR(__xludf.DUMMYFUNCTION("""COMPUTED_VALUE"""),7946.0)</f>
        <v>7946</v>
      </c>
      <c r="F18" s="33">
        <f>IFERROR(__xludf.DUMMYFUNCTION("""COMPUTED_VALUE"""),0.08822678077019887)</f>
        <v>0.08822678077</v>
      </c>
      <c r="G18" s="32">
        <f>IFERROR(__xludf.DUMMYFUNCTION("""COMPUTED_VALUE"""),5157.05)</f>
        <v>5157.05</v>
      </c>
      <c r="H18" s="33">
        <f>IFERROR(__xludf.DUMMYFUNCTION("""COMPUTED_VALUE"""),0.4048632454600982)</f>
        <v>0.4048632455</v>
      </c>
      <c r="I18" s="32">
        <f>IFERROR(__xludf.DUMMYFUNCTION("""COMPUTED_VALUE"""),7153.35)</f>
        <v>7153.35</v>
      </c>
      <c r="J18" s="33">
        <f>IFERROR(__xludf.DUMMYFUNCTION("""COMPUTED_VALUE"""),0.012805189177098764)</f>
        <v>0.01280518918</v>
      </c>
      <c r="K18" s="34" t="str">
        <f t="array" ref="K18">if(VLOOKUP(A18,'NSEBSE Code'!$A$4:$C$219,2,0) &lt;&gt; "",VLOOKUP(A18,'NSEBSE Code'!$A$4:$C$219,2,0),"")</f>
        <v>Cement</v>
      </c>
      <c r="L18" s="34" t="str">
        <f t="array" ref="L18">VLOOKUP(A18,'NSEBSE Code'!$A$4:$C$219,3,0)</f>
        <v>ULTRACEMCO</v>
      </c>
      <c r="M18" s="35" t="str">
        <f t="array" ref="M18">if(F18 &gt; 30%, "Yes", "No")</f>
        <v>No</v>
      </c>
      <c r="N18" s="36" t="str">
        <f t="array" ref="N18">if(H18 &lt; 30%, "Yes", "No")</f>
        <v>No</v>
      </c>
      <c r="O18" s="37" t="str">
        <f t="array" ref="O18">if(AND(D18&lt;65,M18="No",N18="No"),"Good Stock","")</f>
        <v>Good Stock</v>
      </c>
      <c r="P18" s="37" t="str">
        <f t="array" ref="P18">ifs(B18/$B$2 &gt; 0.6,"Large Cap", B18/$B$2 &gt; 0.4, "Mid Cap",B18/$B$2&gt;0,"Low Cap")</f>
        <v>Low Cap</v>
      </c>
    </row>
    <row r="19">
      <c r="A19" s="38" t="str">
        <f>IFERROR(__xludf.DUMMYFUNCTION("""COMPUTED_VALUE"""),"Nestle")</f>
        <v>Nestle</v>
      </c>
      <c r="B19" s="31">
        <f>IFERROR(__xludf.DUMMYFUNCTION("""COMPUTED_VALUE"""),190752.2)</f>
        <v>190752.2</v>
      </c>
      <c r="C19" s="32">
        <f>IFERROR(__xludf.DUMMYFUNCTION("""COMPUTED_VALUE"""),19782.3)</f>
        <v>19782.3</v>
      </c>
      <c r="D19" s="32">
        <f>IFERROR(__xludf.DUMMYFUNCTION("""COMPUTED_VALUE"""),88.1)</f>
        <v>88.1</v>
      </c>
      <c r="E19" s="32">
        <f>IFERROR(__xludf.DUMMYFUNCTION("""COMPUTED_VALUE"""),21050.0)</f>
        <v>21050</v>
      </c>
      <c r="F19" s="33">
        <f>IFERROR(__xludf.DUMMYFUNCTION("""COMPUTED_VALUE"""),0.060223277909738755)</f>
        <v>0.06022327791</v>
      </c>
      <c r="G19" s="32">
        <f>IFERROR(__xludf.DUMMYFUNCTION("""COMPUTED_VALUE"""),16000.0)</f>
        <v>16000</v>
      </c>
      <c r="H19" s="33">
        <f>IFERROR(__xludf.DUMMYFUNCTION("""COMPUTED_VALUE"""),0.23639374999999996)</f>
        <v>0.23639375</v>
      </c>
      <c r="I19" s="32">
        <f>IFERROR(__xludf.DUMMYFUNCTION("""COMPUTED_VALUE"""),19873.25)</f>
        <v>19873.25</v>
      </c>
      <c r="J19" s="33">
        <f>IFERROR(__xludf.DUMMYFUNCTION("""COMPUTED_VALUE"""),-0.004576503591511238)</f>
        <v>-0.004576503592</v>
      </c>
      <c r="K19" s="34" t="str">
        <f t="array" ref="K19">if(VLOOKUP(A19,'NSEBSE Code'!$A$4:$C$219,2,0) &lt;&gt; "",VLOOKUP(A19,'NSEBSE Code'!$A$4:$C$219,2,0),"")</f>
        <v>FMCG</v>
      </c>
      <c r="L19" s="34" t="str">
        <f t="array" ref="L19">VLOOKUP(A19,'NSEBSE Code'!$A$4:$C$219,3,0)</f>
        <v>NESTLEIND</v>
      </c>
      <c r="M19" s="35" t="str">
        <f t="array" ref="M19">if(F19 &gt; 30%, "Yes", "No")</f>
        <v>No</v>
      </c>
      <c r="N19" s="36" t="str">
        <f t="array" ref="N19">if(H19 &lt; 30%, "Yes", "No")</f>
        <v>Yes</v>
      </c>
      <c r="O19" s="37" t="str">
        <f t="array" ref="O19">if(AND(D19&lt;65,M19="No",N19="No"),"Good Stock","")</f>
        <v/>
      </c>
      <c r="P19" s="37" t="str">
        <f t="array" ref="P19">ifs(B19/$B$2 &gt; 0.6,"Large Cap", B19/$B$2 &gt; 0.4, "Mid Cap",B19/$B$2&gt;0,"Low Cap")</f>
        <v>Low Cap</v>
      </c>
    </row>
    <row r="20">
      <c r="A20" s="38" t="str">
        <f>IFERROR(__xludf.DUMMYFUNCTION("""COMPUTED_VALUE"""),"M&amp;M")</f>
        <v>M&amp;M</v>
      </c>
      <c r="B20" s="31">
        <f>IFERROR(__xludf.DUMMYFUNCTION("""COMPUTED_VALUE"""),158785.3716893)</f>
        <v>158785.3717</v>
      </c>
      <c r="C20" s="32">
        <f>IFERROR(__xludf.DUMMYFUNCTION("""COMPUTED_VALUE"""),1327.55)</f>
        <v>1327.55</v>
      </c>
      <c r="D20" s="32">
        <f>IFERROR(__xludf.DUMMYFUNCTION("""COMPUTED_VALUE"""),16.12)</f>
        <v>16.12</v>
      </c>
      <c r="E20" s="32">
        <f>IFERROR(__xludf.DUMMYFUNCTION("""COMPUTED_VALUE"""),1366.55)</f>
        <v>1366.55</v>
      </c>
      <c r="F20" s="33">
        <f>IFERROR(__xludf.DUMMYFUNCTION("""COMPUTED_VALUE"""),0.028539021623797154)</f>
        <v>0.02853902162</v>
      </c>
      <c r="G20" s="32">
        <f>IFERROR(__xludf.DUMMYFUNCTION("""COMPUTED_VALUE"""),671.15)</f>
        <v>671.15</v>
      </c>
      <c r="H20" s="33">
        <f>IFERROR(__xludf.DUMMYFUNCTION("""COMPUTED_VALUE"""),0.9780227966922447)</f>
        <v>0.9780227967</v>
      </c>
      <c r="I20" s="32">
        <f>IFERROR(__xludf.DUMMYFUNCTION("""COMPUTED_VALUE"""),1319.9)</f>
        <v>1319.9</v>
      </c>
      <c r="J20" s="33">
        <f>IFERROR(__xludf.DUMMYFUNCTION("""COMPUTED_VALUE"""),0.005795893628305071)</f>
        <v>0.005795893628</v>
      </c>
      <c r="K20" s="34" t="str">
        <f t="array" ref="K20">if(VLOOKUP(A20,'NSEBSE Code'!$A$4:$C$219,2,0) &lt;&gt; "",VLOOKUP(A20,'NSEBSE Code'!$A$4:$C$219,2,0),"")</f>
        <v>Automobile</v>
      </c>
      <c r="L20" s="34" t="str">
        <f t="array" ref="L20">VLOOKUP(A20,'NSEBSE Code'!$A$4:$C$219,3,0)</f>
        <v>M&amp;M</v>
      </c>
      <c r="M20" s="35" t="str">
        <f t="array" ref="M20">if(F20 &gt; 30%, "Yes", "No")</f>
        <v>No</v>
      </c>
      <c r="N20" s="36" t="str">
        <f t="array" ref="N20">if(H20 &lt; 30%, "Yes", "No")</f>
        <v>No</v>
      </c>
      <c r="O20" s="37" t="str">
        <f t="array" ref="O20">if(AND(D20&lt;65,M20="No",N20="No"),"Good Stock","")</f>
        <v>Good Stock</v>
      </c>
      <c r="P20" s="37" t="str">
        <f t="array" ref="P20">ifs(B20/$B$2 &gt; 0.6,"Large Cap", B20/$B$2 &gt; 0.4, "Mid Cap",B20/$B$2&gt;0,"Low Cap")</f>
        <v>Low Cap</v>
      </c>
    </row>
    <row r="21">
      <c r="A21" s="38" t="str">
        <f>IFERROR(__xludf.DUMMYFUNCTION("""COMPUTED_VALUE"""),"Tata Steel")</f>
        <v>Tata Steel</v>
      </c>
      <c r="B21" s="31">
        <f>IFERROR(__xludf.DUMMYFUNCTION("""COMPUTED_VALUE"""),147293.6037181)</f>
        <v>147293.6037</v>
      </c>
      <c r="C21" s="32">
        <f>IFERROR(__xludf.DUMMYFUNCTION("""COMPUTED_VALUE"""),120.45)</f>
        <v>120.45</v>
      </c>
      <c r="D21" s="32">
        <f>IFERROR(__xludf.DUMMYFUNCTION("""COMPUTED_VALUE"""),5.13)</f>
        <v>5.13</v>
      </c>
      <c r="E21" s="32">
        <f>IFERROR(__xludf.DUMMYFUNCTION("""COMPUTED_VALUE"""),138.63)</f>
        <v>138.63</v>
      </c>
      <c r="F21" s="33">
        <f>IFERROR(__xludf.DUMMYFUNCTION("""COMPUTED_VALUE"""),0.1311404457909543)</f>
        <v>0.1311404458</v>
      </c>
      <c r="G21" s="32">
        <f>IFERROR(__xludf.DUMMYFUNCTION("""COMPUTED_VALUE"""),82.71)</f>
        <v>82.71</v>
      </c>
      <c r="H21" s="33">
        <f>IFERROR(__xludf.DUMMYFUNCTION("""COMPUTED_VALUE"""),0.45629307217990583)</f>
        <v>0.4562930722</v>
      </c>
      <c r="I21" s="32">
        <f>IFERROR(__xludf.DUMMYFUNCTION("""COMPUTED_VALUE"""),118.05)</f>
        <v>118.05</v>
      </c>
      <c r="J21" s="33">
        <f>IFERROR(__xludf.DUMMYFUNCTION("""COMPUTED_VALUE"""),0.020330368487928893)</f>
        <v>0.02033036849</v>
      </c>
      <c r="K21" s="34" t="str">
        <f t="array" ref="K21">if(VLOOKUP(A21,'NSEBSE Code'!$A$4:$C$219,2,0) &lt;&gt; "",VLOOKUP(A21,'NSEBSE Code'!$A$4:$C$219,2,0),"")</f>
        <v>Infrastructure</v>
      </c>
      <c r="L21" s="34" t="str">
        <f t="array" ref="L21">VLOOKUP(A21,'NSEBSE Code'!$A$4:$C$219,3,0)</f>
        <v>BOM:500470</v>
      </c>
      <c r="M21" s="35" t="str">
        <f t="array" ref="M21">if(F21 &gt; 30%, "Yes", "No")</f>
        <v>No</v>
      </c>
      <c r="N21" s="36" t="str">
        <f t="array" ref="N21">if(H21 &lt; 30%, "Yes", "No")</f>
        <v>No</v>
      </c>
      <c r="O21" s="37" t="str">
        <f t="array" ref="O21">if(AND(D21&lt;65,M21="No",N21="No"),"Good Stock","")</f>
        <v>Good Stock</v>
      </c>
      <c r="P21" s="37" t="str">
        <f t="array" ref="P21">ifs(B21/$B$2 &gt; 0.6,"Large Cap", B21/$B$2 &gt; 0.4, "Mid Cap",B21/$B$2&gt;0,"Low Cap")</f>
        <v>Low Cap</v>
      </c>
    </row>
    <row r="22">
      <c r="A22" s="38" t="str">
        <f>IFERROR(__xludf.DUMMYFUNCTION("""COMPUTED_VALUE"""),"SBI life Insurance")</f>
        <v>SBI life Insurance</v>
      </c>
      <c r="B22" s="31">
        <f>IFERROR(__xludf.DUMMYFUNCTION("""COMPUTED_VALUE"""),130568.986925)</f>
        <v>130568.9869</v>
      </c>
      <c r="C22" s="32">
        <f>IFERROR(__xludf.DUMMYFUNCTION("""COMPUTED_VALUE"""),1307.0)</f>
        <v>1307</v>
      </c>
      <c r="D22" s="32">
        <f>IFERROR(__xludf.DUMMYFUNCTION("""COMPUTED_VALUE"""),78.07)</f>
        <v>78.07</v>
      </c>
      <c r="E22" s="32">
        <f>IFERROR(__xludf.DUMMYFUNCTION("""COMPUTED_VALUE"""),1340.35)</f>
        <v>1340.35</v>
      </c>
      <c r="F22" s="33">
        <f>IFERROR(__xludf.DUMMYFUNCTION("""COMPUTED_VALUE"""),0.024881560786361705)</f>
        <v>0.02488156079</v>
      </c>
      <c r="G22" s="32">
        <f>IFERROR(__xludf.DUMMYFUNCTION("""COMPUTED_VALUE"""),1003.5)</f>
        <v>1003.5</v>
      </c>
      <c r="H22" s="33">
        <f>IFERROR(__xludf.DUMMYFUNCTION("""COMPUTED_VALUE"""),0.3024414549078226)</f>
        <v>0.3024414549</v>
      </c>
      <c r="I22" s="32">
        <f>IFERROR(__xludf.DUMMYFUNCTION("""COMPUTED_VALUE"""),1315.7)</f>
        <v>1315.7</v>
      </c>
      <c r="J22" s="33">
        <f>IFERROR(__xludf.DUMMYFUNCTION("""COMPUTED_VALUE"""),-0.006612449646576001)</f>
        <v>-0.006612449647</v>
      </c>
      <c r="K22" s="34" t="str">
        <f t="array" ref="K22">if(VLOOKUP(A22,'NSEBSE Code'!$A$4:$C$219,2,0) &lt;&gt; "",VLOOKUP(A22,'NSEBSE Code'!$A$4:$C$219,2,0),"")</f>
        <v>Insurance</v>
      </c>
      <c r="L22" s="34" t="str">
        <f t="array" ref="L22">VLOOKUP(A22,'NSEBSE Code'!$A$4:$C$219,3,0)</f>
        <v>SBILIFE</v>
      </c>
      <c r="M22" s="35" t="str">
        <f t="array" ref="M22">if(F22 &gt; 30%, "Yes", "No")</f>
        <v>No</v>
      </c>
      <c r="N22" s="36" t="str">
        <f t="array" ref="N22">if(H22 &lt; 30%, "Yes", "No")</f>
        <v>No</v>
      </c>
      <c r="O22" s="37" t="str">
        <f t="array" ref="O22">if(AND(D22&lt;65,M22="No",N22="No"),"Good Stock","")</f>
        <v/>
      </c>
      <c r="P22" s="37" t="str">
        <f t="array" ref="P22">ifs(B22/$B$2 &gt; 0.6,"Large Cap", B22/$B$2 &gt; 0.4, "Mid Cap",B22/$B$2&gt;0,"Low Cap")</f>
        <v>Low Cap</v>
      </c>
    </row>
    <row r="23">
      <c r="A23" s="38" t="str">
        <f>IFERROR(__xludf.DUMMYFUNCTION("""COMPUTED_VALUE"""),"HDFC life Insurance")</f>
        <v>HDFC life Insurance</v>
      </c>
      <c r="B23" s="31">
        <f>IFERROR(__xludf.DUMMYFUNCTION("""COMPUTED_VALUE"""),129917.6)</f>
        <v>129917.6</v>
      </c>
      <c r="C23" s="32">
        <f>IFERROR(__xludf.DUMMYFUNCTION("""COMPUTED_VALUE"""),604.0)</f>
        <v>604</v>
      </c>
      <c r="D23" s="32">
        <f>IFERROR(__xludf.DUMMYFUNCTION("""COMPUTED_VALUE"""),85.12)</f>
        <v>85.12</v>
      </c>
      <c r="E23" s="32">
        <f>IFERROR(__xludf.DUMMYFUNCTION("""COMPUTED_VALUE"""),678.8)</f>
        <v>678.8</v>
      </c>
      <c r="F23" s="33">
        <f>IFERROR(__xludf.DUMMYFUNCTION("""COMPUTED_VALUE"""),0.11019446081319971)</f>
        <v>0.1101944608</v>
      </c>
      <c r="G23" s="32">
        <f>IFERROR(__xludf.DUMMYFUNCTION("""COMPUTED_VALUE"""),497.05)</f>
        <v>497.05</v>
      </c>
      <c r="H23" s="33">
        <f>IFERROR(__xludf.DUMMYFUNCTION("""COMPUTED_VALUE"""),0.21516950005029672)</f>
        <v>0.2151695001</v>
      </c>
      <c r="I23" s="32">
        <f>IFERROR(__xludf.DUMMYFUNCTION("""COMPUTED_VALUE"""),598.4)</f>
        <v>598.4</v>
      </c>
      <c r="J23" s="33">
        <f>IFERROR(__xludf.DUMMYFUNCTION("""COMPUTED_VALUE"""),0.009358288770053515)</f>
        <v>0.00935828877</v>
      </c>
      <c r="K23" s="34" t="str">
        <f t="array" ref="K23">if(VLOOKUP(A23,'NSEBSE Code'!$A$4:$C$219,2,0) &lt;&gt; "",VLOOKUP(A23,'NSEBSE Code'!$A$4:$C$219,2,0),"")</f>
        <v>Insurance</v>
      </c>
      <c r="L23" s="34" t="str">
        <f t="array" ref="L23">VLOOKUP(A23,'NSEBSE Code'!$A$4:$C$219,3,0)</f>
        <v>HDFCLIFE</v>
      </c>
      <c r="M23" s="35" t="str">
        <f t="array" ref="M23">if(F23 &gt; 30%, "Yes", "No")</f>
        <v>No</v>
      </c>
      <c r="N23" s="36" t="str">
        <f t="array" ref="N23">if(H23 &lt; 30%, "Yes", "No")</f>
        <v>Yes</v>
      </c>
      <c r="O23" s="37" t="str">
        <f t="array" ref="O23">if(AND(D23&lt;65,M23="No",N23="No"),"Good Stock","")</f>
        <v/>
      </c>
      <c r="P23" s="37" t="str">
        <f t="array" ref="P23">ifs(B23/$B$2 &gt; 0.6,"Large Cap", B23/$B$2 &gt; 0.4, "Mid Cap",B23/$B$2&gt;0,"Low Cap")</f>
        <v>Low Cap</v>
      </c>
    </row>
    <row r="24">
      <c r="A24" s="38" t="str">
        <f>IFERROR(__xludf.DUMMYFUNCTION("""COMPUTED_VALUE"""),"Pidilite Industries")</f>
        <v>Pidilite Industries</v>
      </c>
      <c r="B24" s="31">
        <f>IFERROR(__xludf.DUMMYFUNCTION("""COMPUTED_VALUE"""),127340.0)</f>
        <v>127340</v>
      </c>
      <c r="C24" s="32">
        <f>IFERROR(__xludf.DUMMYFUNCTION("""COMPUTED_VALUE"""),2513.0)</f>
        <v>2513</v>
      </c>
      <c r="D24" s="32">
        <f>IFERROR(__xludf.DUMMYFUNCTION("""COMPUTED_VALUE"""),98.38)</f>
        <v>98.38</v>
      </c>
      <c r="E24" s="32">
        <f>IFERROR(__xludf.DUMMYFUNCTION("""COMPUTED_VALUE"""),2918.95)</f>
        <v>2918.95</v>
      </c>
      <c r="F24" s="33">
        <f>IFERROR(__xludf.DUMMYFUNCTION("""COMPUTED_VALUE"""),0.13907398208259814)</f>
        <v>0.1390739821</v>
      </c>
      <c r="G24" s="32">
        <f>IFERROR(__xludf.DUMMYFUNCTION("""COMPUTED_VALUE"""),1988.55)</f>
        <v>1988.55</v>
      </c>
      <c r="H24" s="33">
        <f>IFERROR(__xludf.DUMMYFUNCTION("""COMPUTED_VALUE"""),0.26373488220059843)</f>
        <v>0.2637348822</v>
      </c>
      <c r="I24" s="32">
        <f>IFERROR(__xludf.DUMMYFUNCTION("""COMPUTED_VALUE"""),2495.5)</f>
        <v>2495.5</v>
      </c>
      <c r="J24" s="33">
        <f>IFERROR(__xludf.DUMMYFUNCTION("""COMPUTED_VALUE"""),0.0070126227208976155)</f>
        <v>0.007012622721</v>
      </c>
      <c r="K24" s="34" t="str">
        <f t="array" ref="K24">if(VLOOKUP(A24,'NSEBSE Code'!$A$4:$C$219,2,0) &lt;&gt; "",VLOOKUP(A24,'NSEBSE Code'!$A$4:$C$219,2,0),"")</f>
        <v>Chemical</v>
      </c>
      <c r="L24" s="34" t="str">
        <f t="array" ref="L24">VLOOKUP(A24,'NSEBSE Code'!$A$4:$C$219,3,0)</f>
        <v>PIDILITIND</v>
      </c>
      <c r="M24" s="35" t="str">
        <f t="array" ref="M24">if(F24 &gt; 30%, "Yes", "No")</f>
        <v>No</v>
      </c>
      <c r="N24" s="36" t="str">
        <f t="array" ref="N24">if(H24 &lt; 30%, "Yes", "No")</f>
        <v>Yes</v>
      </c>
      <c r="O24" s="37" t="str">
        <f t="array" ref="O24">if(AND(D24&lt;65,M24="No",N24="No"),"Good Stock","")</f>
        <v/>
      </c>
      <c r="P24" s="37" t="str">
        <f t="array" ref="P24">ifs(B24/$B$2 &gt; 0.6,"Large Cap", B24/$B$2 &gt; 0.4, "Mid Cap",B24/$B$2&gt;0,"Low Cap")</f>
        <v>Low Cap</v>
      </c>
    </row>
    <row r="25">
      <c r="A25" s="38" t="str">
        <f>IFERROR(__xludf.DUMMYFUNCTION("""COMPUTED_VALUE"""),"L&amp;T Infotech")</f>
        <v>L&amp;T Infotech</v>
      </c>
      <c r="B25" s="31">
        <f>IFERROR(__xludf.DUMMYFUNCTION("""COMPUTED_VALUE"""),126813.4)</f>
        <v>126813.4</v>
      </c>
      <c r="C25" s="32">
        <f>IFERROR(__xludf.DUMMYFUNCTION("""COMPUTED_VALUE"""),4289.8)</f>
        <v>4289.8</v>
      </c>
      <c r="D25" s="32">
        <f>IFERROR(__xludf.DUMMYFUNCTION("""COMPUTED_VALUE"""),34.73)</f>
        <v>34.73</v>
      </c>
      <c r="E25" s="32">
        <f>IFERROR(__xludf.DUMMYFUNCTION("""COMPUTED_VALUE"""),4293.25)</f>
        <v>4293.25</v>
      </c>
      <c r="F25" s="33">
        <f>IFERROR(__xludf.DUMMYFUNCTION("""COMPUTED_VALUE"""),8.035870261456514E-4)</f>
        <v>0.0008035870261</v>
      </c>
      <c r="G25" s="32">
        <f>IFERROR(__xludf.DUMMYFUNCTION("""COMPUTED_VALUE"""),4147.45)</f>
        <v>4147.45</v>
      </c>
      <c r="H25" s="33">
        <f>IFERROR(__xludf.DUMMYFUNCTION("""COMPUTED_VALUE"""),0.03432229442187377)</f>
        <v>0.03432229442</v>
      </c>
      <c r="I25" s="32">
        <f>IFERROR(__xludf.DUMMYFUNCTION("""COMPUTED_VALUE"""),4279.2)</f>
        <v>4279.2</v>
      </c>
      <c r="J25" s="33">
        <f>IFERROR(__xludf.DUMMYFUNCTION("""COMPUTED_VALUE"""),0.0024770985230885127)</f>
        <v>0.002477098523</v>
      </c>
      <c r="K25" s="34" t="str">
        <f t="array" ref="K25">if(VLOOKUP(A25,'NSEBSE Code'!$A$4:$C$219,2,0) &lt;&gt; "",VLOOKUP(A25,'NSEBSE Code'!$A$4:$C$219,2,0),"")</f>
        <v>IT</v>
      </c>
      <c r="L25" s="34" t="str">
        <f t="array" ref="L25">VLOOKUP(A25,'NSEBSE Code'!$A$4:$C$219,3,0)</f>
        <v>BOM:540005</v>
      </c>
      <c r="M25" s="35" t="str">
        <f t="array" ref="M25">if(F25 &gt; 30%, "Yes", "No")</f>
        <v>No</v>
      </c>
      <c r="N25" s="36" t="str">
        <f t="array" ref="N25">if(H25 &lt; 30%, "Yes", "No")</f>
        <v>Yes</v>
      </c>
      <c r="O25" s="37" t="str">
        <f t="array" ref="O25">if(AND(D25&lt;65,M25="No",N25="No"),"Good Stock","")</f>
        <v/>
      </c>
      <c r="P25" s="37" t="str">
        <f t="array" ref="P25">ifs(B25/$B$2 &gt; 0.6,"Large Cap", B25/$B$2 &gt; 0.4, "Mid Cap",B25/$B$2&gt;0,"Low Cap")</f>
        <v>Low Cap</v>
      </c>
    </row>
    <row r="26">
      <c r="A26" s="38" t="str">
        <f>IFERROR(__xludf.DUMMYFUNCTION("""COMPUTED_VALUE"""),"Britannia")</f>
        <v>Britannia</v>
      </c>
      <c r="B26" s="31">
        <f>IFERROR(__xludf.DUMMYFUNCTION("""COMPUTED_VALUE"""),104442.9)</f>
        <v>104442.9</v>
      </c>
      <c r="C26" s="32">
        <f>IFERROR(__xludf.DUMMYFUNCTION("""COMPUTED_VALUE"""),4328.0)</f>
        <v>4328</v>
      </c>
      <c r="D26" s="32">
        <f>IFERROR(__xludf.DUMMYFUNCTION("""COMPUTED_VALUE"""),65.9)</f>
        <v>65.9</v>
      </c>
      <c r="E26" s="32">
        <f>IFERROR(__xludf.DUMMYFUNCTION("""COMPUTED_VALUE"""),4537.0)</f>
        <v>4537</v>
      </c>
      <c r="F26" s="33">
        <f>IFERROR(__xludf.DUMMYFUNCTION("""COMPUTED_VALUE"""),0.046065682168834034)</f>
        <v>0.04606568217</v>
      </c>
      <c r="G26" s="32">
        <f>IFERROR(__xludf.DUMMYFUNCTION("""COMPUTED_VALUE"""),3050.0)</f>
        <v>3050</v>
      </c>
      <c r="H26" s="33">
        <f>IFERROR(__xludf.DUMMYFUNCTION("""COMPUTED_VALUE"""),0.4190163934426229)</f>
        <v>0.4190163934</v>
      </c>
      <c r="I26" s="32">
        <f>IFERROR(__xludf.DUMMYFUNCTION("""COMPUTED_VALUE"""),4299.25)</f>
        <v>4299.25</v>
      </c>
      <c r="J26" s="33">
        <f>IFERROR(__xludf.DUMMYFUNCTION("""COMPUTED_VALUE"""),0.006687212885968483)</f>
        <v>0.006687212886</v>
      </c>
      <c r="K26" s="34" t="str">
        <f t="array" ref="K26">if(VLOOKUP(A26,'NSEBSE Code'!$A$4:$C$219,2,0) &lt;&gt; "",VLOOKUP(A26,'NSEBSE Code'!$A$4:$C$219,2,0),"")</f>
        <v>FMCG</v>
      </c>
      <c r="L26" s="34" t="str">
        <f t="array" ref="L26">VLOOKUP(A26,'NSEBSE Code'!$A$4:$C$219,3,0)</f>
        <v>BRITANNIA</v>
      </c>
      <c r="M26" s="35" t="str">
        <f t="array" ref="M26">if(F26 &gt; 30%, "Yes", "No")</f>
        <v>No</v>
      </c>
      <c r="N26" s="36" t="str">
        <f t="array" ref="N26">if(H26 &lt; 30%, "Yes", "No")</f>
        <v>No</v>
      </c>
      <c r="O26" s="37" t="str">
        <f t="array" ref="O26">if(AND(D26&lt;65,M26="No",N26="No"),"Good Stock","")</f>
        <v/>
      </c>
      <c r="P26" s="37" t="str">
        <f t="array" ref="P26">ifs(B26/$B$2 &gt; 0.6,"Large Cap", B26/$B$2 &gt; 0.4, "Mid Cap",B26/$B$2&gt;0,"Low Cap")</f>
        <v>Low Cap</v>
      </c>
    </row>
    <row r="27">
      <c r="A27" s="38" t="str">
        <f>IFERROR(__xludf.DUMMYFUNCTION("""COMPUTED_VALUE"""),"Ambuja Cement")</f>
        <v>Ambuja Cement</v>
      </c>
      <c r="B27" s="31">
        <f>IFERROR(__xludf.DUMMYFUNCTION("""COMPUTED_VALUE"""),102995.3567038)</f>
        <v>102995.3567</v>
      </c>
      <c r="C27" s="32">
        <f>IFERROR(__xludf.DUMMYFUNCTION("""COMPUTED_VALUE"""),518.7)</f>
        <v>518.7</v>
      </c>
      <c r="D27" s="32">
        <f>IFERROR(__xludf.DUMMYFUNCTION("""COMPUTED_VALUE"""),57.36)</f>
        <v>57.36</v>
      </c>
      <c r="E27" s="32">
        <f>IFERROR(__xludf.DUMMYFUNCTION("""COMPUTED_VALUE"""),598.15)</f>
        <v>598.15</v>
      </c>
      <c r="F27" s="33">
        <f>IFERROR(__xludf.DUMMYFUNCTION("""COMPUTED_VALUE"""),0.13282621416032755)</f>
        <v>0.1328262142</v>
      </c>
      <c r="G27" s="32">
        <f>IFERROR(__xludf.DUMMYFUNCTION("""COMPUTED_VALUE"""),274.0)</f>
        <v>274</v>
      </c>
      <c r="H27" s="33">
        <f>IFERROR(__xludf.DUMMYFUNCTION("""COMPUTED_VALUE"""),0.8930656934306571)</f>
        <v>0.8930656934</v>
      </c>
      <c r="I27" s="32">
        <f>IFERROR(__xludf.DUMMYFUNCTION("""COMPUTED_VALUE"""),510.4)</f>
        <v>510.4</v>
      </c>
      <c r="J27" s="33">
        <f>IFERROR(__xludf.DUMMYFUNCTION("""COMPUTED_VALUE"""),0.01626175548589355)</f>
        <v>0.01626175549</v>
      </c>
      <c r="K27" s="34" t="str">
        <f t="array" ref="K27">if(VLOOKUP(A27,'NSEBSE Code'!$A$4:$C$219,2,0) &lt;&gt; "",VLOOKUP(A27,'NSEBSE Code'!$A$4:$C$219,2,0),"")</f>
        <v>Cement</v>
      </c>
      <c r="L27" s="34" t="str">
        <f t="array" ref="L27">VLOOKUP(A27,'NSEBSE Code'!$A$4:$C$219,3,0)</f>
        <v>BOM:500425</v>
      </c>
      <c r="M27" s="35" t="str">
        <f t="array" ref="M27">if(F27 &gt; 30%, "Yes", "No")</f>
        <v>No</v>
      </c>
      <c r="N27" s="36" t="str">
        <f t="array" ref="N27">if(H27 &lt; 30%, "Yes", "No")</f>
        <v>No</v>
      </c>
      <c r="O27" s="37" t="str">
        <f t="array" ref="O27">if(AND(D27&lt;65,M27="No",N27="No"),"Good Stock","")</f>
        <v>Good Stock</v>
      </c>
      <c r="P27" s="37" t="str">
        <f t="array" ref="P27">ifs(B27/$B$2 &gt; 0.6,"Large Cap", B27/$B$2 &gt; 0.4, "Mid Cap",B27/$B$2&gt;0,"Low Cap")</f>
        <v>Low Cap</v>
      </c>
    </row>
    <row r="28">
      <c r="A28" s="38" t="str">
        <f>IFERROR(__xludf.DUMMYFUNCTION("""COMPUTED_VALUE"""),"Bajaj Auto")</f>
        <v>Bajaj Auto</v>
      </c>
      <c r="B28" s="31">
        <f>IFERROR(__xludf.DUMMYFUNCTION("""COMPUTED_VALUE"""),101964.8629622)</f>
        <v>101964.863</v>
      </c>
      <c r="C28" s="32">
        <f>IFERROR(__xludf.DUMMYFUNCTION("""COMPUTED_VALUE"""),3602.45)</f>
        <v>3602.45</v>
      </c>
      <c r="D28" s="32">
        <f>IFERROR(__xludf.DUMMYFUNCTION("""COMPUTED_VALUE"""),17.79)</f>
        <v>17.79</v>
      </c>
      <c r="E28" s="32">
        <f>IFERROR(__xludf.DUMMYFUNCTION("""COMPUTED_VALUE"""),4131.75)</f>
        <v>4131.75</v>
      </c>
      <c r="F28" s="33">
        <f>IFERROR(__xludf.DUMMYFUNCTION("""COMPUTED_VALUE"""),0.12810552429358024)</f>
        <v>0.1281055243</v>
      </c>
      <c r="G28" s="32">
        <f>IFERROR(__xludf.DUMMYFUNCTION("""COMPUTED_VALUE"""),3125.0)</f>
        <v>3125</v>
      </c>
      <c r="H28" s="33">
        <f>IFERROR(__xludf.DUMMYFUNCTION("""COMPUTED_VALUE"""),0.15278399999999995)</f>
        <v>0.152784</v>
      </c>
      <c r="I28" s="32">
        <f>IFERROR(__xludf.DUMMYFUNCTION("""COMPUTED_VALUE"""),3570.3)</f>
        <v>3570.3</v>
      </c>
      <c r="J28" s="33">
        <f>IFERROR(__xludf.DUMMYFUNCTION("""COMPUTED_VALUE"""),0.009004845531187753)</f>
        <v>0.009004845531</v>
      </c>
      <c r="K28" s="34" t="str">
        <f t="array" ref="K28">if(VLOOKUP(A28,'NSEBSE Code'!$A$4:$C$219,2,0) &lt;&gt; "",VLOOKUP(A28,'NSEBSE Code'!$A$4:$C$219,2,0),"")</f>
        <v>Automobile</v>
      </c>
      <c r="L28" s="34" t="str">
        <f t="array" ref="L28">VLOOKUP(A28,'NSEBSE Code'!$A$4:$C$219,3,0)</f>
        <v>BAJAJ-AUTO</v>
      </c>
      <c r="M28" s="35" t="str">
        <f t="array" ref="M28">if(F28 &gt; 30%, "Yes", "No")</f>
        <v>No</v>
      </c>
      <c r="N28" s="36" t="str">
        <f t="array" ref="N28">if(H28 &lt; 30%, "Yes", "No")</f>
        <v>Yes</v>
      </c>
      <c r="O28" s="37" t="str">
        <f t="array" ref="O28">if(AND(D28&lt;65,M28="No",N28="No"),"Good Stock","")</f>
        <v/>
      </c>
      <c r="P28" s="37" t="str">
        <f t="array" ref="P28">ifs(B28/$B$2 &gt; 0.6,"Large Cap", B28/$B$2 &gt; 0.4, "Mid Cap",B28/$B$2&gt;0,"Low Cap")</f>
        <v>Low Cap</v>
      </c>
    </row>
    <row r="29">
      <c r="A29" s="38" t="str">
        <f>IFERROR(__xludf.DUMMYFUNCTION("""COMPUTED_VALUE"""),"Tech Mahindra")</f>
        <v>Tech Mahindra</v>
      </c>
      <c r="B29" s="31">
        <f>IFERROR(__xludf.DUMMYFUNCTION("""COMPUTED_VALUE"""),97631.0184537)</f>
        <v>97631.01845</v>
      </c>
      <c r="C29" s="32">
        <f>IFERROR(__xludf.DUMMYFUNCTION("""COMPUTED_VALUE"""),1002.8)</f>
        <v>1002.8</v>
      </c>
      <c r="D29" s="32">
        <f>IFERROR(__xludf.DUMMYFUNCTION("""COMPUTED_VALUE"""),16.8)</f>
        <v>16.8</v>
      </c>
      <c r="E29" s="32">
        <f>IFERROR(__xludf.DUMMYFUNCTION("""COMPUTED_VALUE"""),1751.0)</f>
        <v>1751</v>
      </c>
      <c r="F29" s="33">
        <f>IFERROR(__xludf.DUMMYFUNCTION("""COMPUTED_VALUE"""),0.42729868646487723)</f>
        <v>0.4272986865</v>
      </c>
      <c r="G29" s="32">
        <f>IFERROR(__xludf.DUMMYFUNCTION("""COMPUTED_VALUE"""),943.7)</f>
        <v>943.7</v>
      </c>
      <c r="H29" s="33">
        <f>IFERROR(__xludf.DUMMYFUNCTION("""COMPUTED_VALUE"""),0.06262583448129692)</f>
        <v>0.06262583448</v>
      </c>
      <c r="I29" s="32">
        <f>IFERROR(__xludf.DUMMYFUNCTION("""COMPUTED_VALUE"""),1001.55)</f>
        <v>1001.55</v>
      </c>
      <c r="J29" s="33">
        <f>IFERROR(__xludf.DUMMYFUNCTION("""COMPUTED_VALUE"""),0.0012480654984773601)</f>
        <v>0.001248065498</v>
      </c>
      <c r="K29" s="34" t="str">
        <f t="array" ref="K29">if(VLOOKUP(A29,'NSEBSE Code'!$A$4:$C$219,2,0) &lt;&gt; "",VLOOKUP(A29,'NSEBSE Code'!$A$4:$C$219,2,0),"")</f>
        <v>IT</v>
      </c>
      <c r="L29" s="34" t="str">
        <f t="array" ref="L29">VLOOKUP(A29,'NSEBSE Code'!$A$4:$C$219,3,0)</f>
        <v>TECHM</v>
      </c>
      <c r="M29" s="35" t="str">
        <f t="array" ref="M29">if(F29 &gt; 30%, "Yes", "No")</f>
        <v>Yes</v>
      </c>
      <c r="N29" s="36" t="str">
        <f t="array" ref="N29">if(H29 &lt; 30%, "Yes", "No")</f>
        <v>Yes</v>
      </c>
      <c r="O29" s="37" t="str">
        <f t="array" ref="O29">if(AND(D29&lt;65,M29="No",N29="No"),"Good Stock","")</f>
        <v/>
      </c>
      <c r="P29" s="37" t="str">
        <f t="array" ref="P29">ifs(B29/$B$2 &gt; 0.6,"Large Cap", B29/$B$2 &gt; 0.4, "Mid Cap",B29/$B$2&gt;0,"Low Cap")</f>
        <v>Low Cap</v>
      </c>
    </row>
    <row r="30">
      <c r="A30" s="38" t="str">
        <f>IFERROR(__xludf.DUMMYFUNCTION("""COMPUTED_VALUE"""),"Dabur")</f>
        <v>Dabur</v>
      </c>
      <c r="B30" s="31">
        <f>IFERROR(__xludf.DUMMYFUNCTION("""COMPUTED_VALUE"""),96383.9372552)</f>
        <v>96383.93726</v>
      </c>
      <c r="C30" s="32">
        <f>IFERROR(__xludf.DUMMYFUNCTION("""COMPUTED_VALUE"""),544.0)</f>
        <v>544</v>
      </c>
      <c r="D30" s="32">
        <f>IFERROR(__xludf.DUMMYFUNCTION("""COMPUTED_VALUE"""),55.79)</f>
        <v>55.79</v>
      </c>
      <c r="E30" s="32">
        <f>IFERROR(__xludf.DUMMYFUNCTION("""COMPUTED_VALUE"""),610.75)</f>
        <v>610.75</v>
      </c>
      <c r="F30" s="33">
        <f>IFERROR(__xludf.DUMMYFUNCTION("""COMPUTED_VALUE"""),0.10929185427752763)</f>
        <v>0.1092918543</v>
      </c>
      <c r="G30" s="32">
        <f>IFERROR(__xludf.DUMMYFUNCTION("""COMPUTED_VALUE"""),482.25)</f>
        <v>482.25</v>
      </c>
      <c r="H30" s="33">
        <f>IFERROR(__xludf.DUMMYFUNCTION("""COMPUTED_VALUE"""),0.12804561949196475)</f>
        <v>0.1280456195</v>
      </c>
      <c r="I30" s="32">
        <f>IFERROR(__xludf.DUMMYFUNCTION("""COMPUTED_VALUE"""),544.95)</f>
        <v>544.95</v>
      </c>
      <c r="J30" s="33">
        <f>IFERROR(__xludf.DUMMYFUNCTION("""COMPUTED_VALUE"""),-0.0017432791999266821)</f>
        <v>-0.0017432792</v>
      </c>
      <c r="K30" s="34" t="str">
        <f t="array" ref="K30">if(VLOOKUP(A30,'NSEBSE Code'!$A$4:$C$219,2,0) &lt;&gt; "",VLOOKUP(A30,'NSEBSE Code'!$A$4:$C$219,2,0),"")</f>
        <v>FMCG</v>
      </c>
      <c r="L30" s="34" t="str">
        <f t="array" ref="L30">VLOOKUP(A30,'NSEBSE Code'!$A$4:$C$219,3,0)</f>
        <v>DABUR</v>
      </c>
      <c r="M30" s="35" t="str">
        <f t="array" ref="M30">if(F30 &gt; 30%, "Yes", "No")</f>
        <v>No</v>
      </c>
      <c r="N30" s="36" t="str">
        <f t="array" ref="N30">if(H30 &lt; 30%, "Yes", "No")</f>
        <v>Yes</v>
      </c>
      <c r="O30" s="37" t="str">
        <f t="array" ref="O30">if(AND(D30&lt;65,M30="No",N30="No"),"Good Stock","")</f>
        <v/>
      </c>
      <c r="P30" s="37" t="str">
        <f t="array" ref="P30">ifs(B30/$B$2 &gt; 0.6,"Large Cap", B30/$B$2 &gt; 0.4, "Mid Cap",B30/$B$2&gt;0,"Low Cap")</f>
        <v>Low Cap</v>
      </c>
    </row>
    <row r="31">
      <c r="A31" s="38" t="str">
        <f>IFERROR(__xludf.DUMMYFUNCTION("""COMPUTED_VALUE"""),"Bank of Baroda")</f>
        <v>Bank of Baroda</v>
      </c>
      <c r="B31" s="31">
        <f>IFERROR(__xludf.DUMMYFUNCTION("""COMPUTED_VALUE"""),95565.8761753)</f>
        <v>95565.87618</v>
      </c>
      <c r="C31" s="32">
        <f>IFERROR(__xludf.DUMMYFUNCTION("""COMPUTED_VALUE"""),184.9)</f>
        <v>184.9</v>
      </c>
      <c r="D31" s="32">
        <f>IFERROR(__xludf.DUMMYFUNCTION("""COMPUTED_VALUE"""),9.72)</f>
        <v>9.72</v>
      </c>
      <c r="E31" s="32">
        <f>IFERROR(__xludf.DUMMYFUNCTION("""COMPUTED_VALUE"""),197.2)</f>
        <v>197.2</v>
      </c>
      <c r="F31" s="33">
        <f>IFERROR(__xludf.DUMMYFUNCTION("""COMPUTED_VALUE"""),0.06237322515212974)</f>
        <v>0.06237322515</v>
      </c>
      <c r="G31" s="32">
        <f>IFERROR(__xludf.DUMMYFUNCTION("""COMPUTED_VALUE"""),89.9)</f>
        <v>89.9</v>
      </c>
      <c r="H31" s="33">
        <f>IFERROR(__xludf.DUMMYFUNCTION("""COMPUTED_VALUE"""),1.0567296996662958)</f>
        <v>1.0567297</v>
      </c>
      <c r="I31" s="32">
        <f>IFERROR(__xludf.DUMMYFUNCTION("""COMPUTED_VALUE"""),181.8)</f>
        <v>181.8</v>
      </c>
      <c r="J31" s="33">
        <f>IFERROR(__xludf.DUMMYFUNCTION("""COMPUTED_VALUE"""),0.01705170517051702)</f>
        <v>0.01705170517</v>
      </c>
      <c r="K31" s="34" t="str">
        <f t="array" ref="K31">if(VLOOKUP(A31,'NSEBSE Code'!$A$4:$C$219,2,0) &lt;&gt; "",VLOOKUP(A31,'NSEBSE Code'!$A$4:$C$219,2,0),"")</f>
        <v>Bank</v>
      </c>
      <c r="L31" s="34" t="str">
        <f t="array" ref="L31">VLOOKUP(A31,'NSEBSE Code'!$A$4:$C$219,3,0)</f>
        <v>BOM:532134</v>
      </c>
      <c r="M31" s="35" t="str">
        <f t="array" ref="M31">if(F31 &gt; 30%, "Yes", "No")</f>
        <v>No</v>
      </c>
      <c r="N31" s="36" t="str">
        <f t="array" ref="N31">if(H31 &lt; 30%, "Yes", "No")</f>
        <v>No</v>
      </c>
      <c r="O31" s="37" t="str">
        <f t="array" ref="O31">if(AND(D31&lt;65,M31="No",N31="No"),"Good Stock","")</f>
        <v>Good Stock</v>
      </c>
      <c r="P31" s="37" t="str">
        <f t="array" ref="P31">ifs(B31/$B$2 &gt; 0.6,"Large Cap", B31/$B$2 &gt; 0.4, "Mid Cap",B31/$B$2&gt;0,"Low Cap")</f>
        <v>Low Cap</v>
      </c>
    </row>
    <row r="32">
      <c r="A32" s="38" t="str">
        <f>IFERROR(__xludf.DUMMYFUNCTION("""COMPUTED_VALUE"""),"Godrej Consumer")</f>
        <v>Godrej Consumer</v>
      </c>
      <c r="B32" s="31">
        <f>IFERROR(__xludf.DUMMYFUNCTION("""COMPUTED_VALUE"""),93678.862)</f>
        <v>93678.862</v>
      </c>
      <c r="C32" s="32">
        <f>IFERROR(__xludf.DUMMYFUNCTION("""COMPUTED_VALUE"""),916.75)</f>
        <v>916.75</v>
      </c>
      <c r="D32" s="32">
        <f>IFERROR(__xludf.DUMMYFUNCTION("""COMPUTED_VALUE"""),58.81)</f>
        <v>58.81</v>
      </c>
      <c r="E32" s="32">
        <f>IFERROR(__xludf.DUMMYFUNCTION("""COMPUTED_VALUE"""),955.65)</f>
        <v>955.65</v>
      </c>
      <c r="F32" s="33">
        <f>IFERROR(__xludf.DUMMYFUNCTION("""COMPUTED_VALUE"""),0.04070527912938835)</f>
        <v>0.04070527913</v>
      </c>
      <c r="G32" s="32">
        <f>IFERROR(__xludf.DUMMYFUNCTION("""COMPUTED_VALUE"""),660.2)</f>
        <v>660.2</v>
      </c>
      <c r="H32" s="33">
        <f>IFERROR(__xludf.DUMMYFUNCTION("""COMPUTED_VALUE"""),0.3885943653438351)</f>
        <v>0.3885943653</v>
      </c>
      <c r="I32" s="32">
        <f>IFERROR(__xludf.DUMMYFUNCTION("""COMPUTED_VALUE"""),914.9)</f>
        <v>914.9</v>
      </c>
      <c r="J32" s="33">
        <f>IFERROR(__xludf.DUMMYFUNCTION("""COMPUTED_VALUE"""),0.00202207891572852)</f>
        <v>0.002022078916</v>
      </c>
      <c r="K32" s="34" t="str">
        <f t="array" ref="K32">if(VLOOKUP(A32,'NSEBSE Code'!$A$4:$C$219,2,0) &lt;&gt; "",VLOOKUP(A32,'NSEBSE Code'!$A$4:$C$219,2,0),"")</f>
        <v>FMCG</v>
      </c>
      <c r="L32" s="34" t="str">
        <f t="array" ref="L32">VLOOKUP(A32,'NSEBSE Code'!$A$4:$C$219,3,0)</f>
        <v>BOM:532424</v>
      </c>
      <c r="M32" s="35" t="str">
        <f t="array" ref="M32">if(F32 &gt; 30%, "Yes", "No")</f>
        <v>No</v>
      </c>
      <c r="N32" s="36" t="str">
        <f t="array" ref="N32">if(H32 &lt; 30%, "Yes", "No")</f>
        <v>No</v>
      </c>
      <c r="O32" s="37" t="str">
        <f t="array" ref="O32">if(AND(D32&lt;65,M32="No",N32="No"),"Good Stock","")</f>
        <v>Good Stock</v>
      </c>
      <c r="P32" s="37" t="str">
        <f t="array" ref="P32">ifs(B32/$B$2 &gt; 0.6,"Large Cap", B32/$B$2 &gt; 0.4, "Mid Cap",B32/$B$2&gt;0,"Low Cap")</f>
        <v>Low Cap</v>
      </c>
    </row>
    <row r="33">
      <c r="A33" s="38" t="str">
        <f>IFERROR(__xludf.DUMMYFUNCTION("""COMPUTED_VALUE"""),"Divi's Lab")</f>
        <v>Divi's Lab</v>
      </c>
      <c r="B33" s="31">
        <f>IFERROR(__xludf.DUMMYFUNCTION("""COMPUTED_VALUE"""),88977.11)</f>
        <v>88977.11</v>
      </c>
      <c r="C33" s="32">
        <f>IFERROR(__xludf.DUMMYFUNCTION("""COMPUTED_VALUE"""),3352.15)</f>
        <v>3352.15</v>
      </c>
      <c r="D33" s="32">
        <f>IFERROR(__xludf.DUMMYFUNCTION("""COMPUTED_VALUE"""),29.74)</f>
        <v>29.74</v>
      </c>
      <c r="E33" s="32">
        <f>IFERROR(__xludf.DUMMYFUNCTION("""COMPUTED_VALUE"""),4668.0)</f>
        <v>4668</v>
      </c>
      <c r="F33" s="33">
        <f>IFERROR(__xludf.DUMMYFUNCTION("""COMPUTED_VALUE"""),0.28188731790916877)</f>
        <v>0.2818873179</v>
      </c>
      <c r="G33" s="32">
        <f>IFERROR(__xludf.DUMMYFUNCTION("""COMPUTED_VALUE"""),3195.15)</f>
        <v>3195.15</v>
      </c>
      <c r="H33" s="33">
        <f>IFERROR(__xludf.DUMMYFUNCTION("""COMPUTED_VALUE"""),0.049136973225044206)</f>
        <v>0.04913697323</v>
      </c>
      <c r="I33" s="32">
        <f>IFERROR(__xludf.DUMMYFUNCTION("""COMPUTED_VALUE"""),3305.3)</f>
        <v>3305.3</v>
      </c>
      <c r="J33" s="33">
        <f>IFERROR(__xludf.DUMMYFUNCTION("""COMPUTED_VALUE"""),0.014174205064593201)</f>
        <v>0.01417420506</v>
      </c>
      <c r="K33" s="34" t="str">
        <f t="array" ref="K33">if(VLOOKUP(A33,'NSEBSE Code'!$A$4:$C$219,2,0) &lt;&gt; "",VLOOKUP(A33,'NSEBSE Code'!$A$4:$C$219,2,0),"")</f>
        <v>Pharma</v>
      </c>
      <c r="L33" s="34" t="str">
        <f t="array" ref="L33">VLOOKUP(A33,'NSEBSE Code'!$A$4:$C$219,3,0)</f>
        <v>DIVISLAB</v>
      </c>
      <c r="M33" s="35" t="str">
        <f t="array" ref="M33">if(F33 &gt; 30%, "Yes", "No")</f>
        <v>No</v>
      </c>
      <c r="N33" s="36" t="str">
        <f t="array" ref="N33">if(H33 &lt; 30%, "Yes", "No")</f>
        <v>Yes</v>
      </c>
      <c r="O33" s="37" t="str">
        <f t="array" ref="O33">if(AND(D33&lt;65,M33="No",N33="No"),"Good Stock","")</f>
        <v/>
      </c>
      <c r="P33" s="37" t="str">
        <f t="array" ref="P33">ifs(B33/$B$2 &gt; 0.6,"Large Cap", B33/$B$2 &gt; 0.4, "Mid Cap",B33/$B$2&gt;0,"Low Cap")</f>
        <v>Low Cap</v>
      </c>
    </row>
    <row r="34">
      <c r="A34" s="38" t="str">
        <f>IFERROR(__xludf.DUMMYFUNCTION("""COMPUTED_VALUE"""),"Shree Cement")</f>
        <v>Shree Cement</v>
      </c>
      <c r="B34" s="31">
        <f>IFERROR(__xludf.DUMMYFUNCTION("""COMPUTED_VALUE"""),87098.03)</f>
        <v>87098.03</v>
      </c>
      <c r="C34" s="32">
        <f>IFERROR(__xludf.DUMMYFUNCTION("""COMPUTED_VALUE"""),24025.0)</f>
        <v>24025</v>
      </c>
      <c r="D34" s="32">
        <f>IFERROR(__xludf.DUMMYFUNCTION("""COMPUTED_VALUE"""),54.11)</f>
        <v>54.11</v>
      </c>
      <c r="E34" s="32">
        <f>IFERROR(__xludf.DUMMYFUNCTION("""COMPUTED_VALUE"""),27936.75)</f>
        <v>27936.75</v>
      </c>
      <c r="F34" s="33">
        <f>IFERROR(__xludf.DUMMYFUNCTION("""COMPUTED_VALUE"""),0.14002165606235514)</f>
        <v>0.1400216561</v>
      </c>
      <c r="G34" s="32">
        <f>IFERROR(__xludf.DUMMYFUNCTION("""COMPUTED_VALUE"""),17865.2)</f>
        <v>17865.2</v>
      </c>
      <c r="H34" s="33">
        <f>IFERROR(__xludf.DUMMYFUNCTION("""COMPUTED_VALUE"""),0.34479322929494205)</f>
        <v>0.3447932293</v>
      </c>
      <c r="I34" s="32">
        <f>IFERROR(__xludf.DUMMYFUNCTION("""COMPUTED_VALUE"""),23854.85)</f>
        <v>23854.85</v>
      </c>
      <c r="J34" s="33">
        <f>IFERROR(__xludf.DUMMYFUNCTION("""COMPUTED_VALUE"""),0.007132721438198163)</f>
        <v>0.007132721438</v>
      </c>
      <c r="K34" s="34" t="str">
        <f t="array" ref="K34">if(VLOOKUP(A34,'NSEBSE Code'!$A$4:$C$219,2,0) &lt;&gt; "",VLOOKUP(A34,'NSEBSE Code'!$A$4:$C$219,2,0),"")</f>
        <v>Cement</v>
      </c>
      <c r="L34" s="34" t="str">
        <f t="array" ref="L34">VLOOKUP(A34,'NSEBSE Code'!$A$4:$C$219,3,0)</f>
        <v>SHREECEM</v>
      </c>
      <c r="M34" s="35" t="str">
        <f t="array" ref="M34">if(F34 &gt; 30%, "Yes", "No")</f>
        <v>No</v>
      </c>
      <c r="N34" s="36" t="str">
        <f t="array" ref="N34">if(H34 &lt; 30%, "Yes", "No")</f>
        <v>No</v>
      </c>
      <c r="O34" s="37" t="str">
        <f t="array" ref="O34">if(AND(D34&lt;65,M34="No",N34="No"),"Good Stock","")</f>
        <v>Good Stock</v>
      </c>
      <c r="P34" s="37" t="str">
        <f t="array" ref="P34">ifs(B34/$B$2 &gt; 0.6,"Large Cap", B34/$B$2 &gt; 0.4, "Mid Cap",B34/$B$2&gt;0,"Low Cap")</f>
        <v>Low Cap</v>
      </c>
    </row>
    <row r="35">
      <c r="A35" s="38" t="str">
        <f>IFERROR(__xludf.DUMMYFUNCTION("""COMPUTED_VALUE"""),"Eicher Motor")</f>
        <v>Eicher Motor</v>
      </c>
      <c r="B35" s="31">
        <f>IFERROR(__xludf.DUMMYFUNCTION("""COMPUTED_VALUE"""),86543.2296232)</f>
        <v>86543.22962</v>
      </c>
      <c r="C35" s="32">
        <f>IFERROR(__xludf.DUMMYFUNCTION("""COMPUTED_VALUE"""),3164.9)</f>
        <v>3164.9</v>
      </c>
      <c r="D35" s="32">
        <f>IFERROR(__xludf.DUMMYFUNCTION("""COMPUTED_VALUE"""),37.12)</f>
        <v>37.12</v>
      </c>
      <c r="E35" s="32">
        <f>IFERROR(__xludf.DUMMYFUNCTION("""COMPUTED_VALUE"""),3889.65)</f>
        <v>3889.65</v>
      </c>
      <c r="F35" s="33">
        <f>IFERROR(__xludf.DUMMYFUNCTION("""COMPUTED_VALUE"""),0.18632781869834047)</f>
        <v>0.1863278187</v>
      </c>
      <c r="G35" s="32">
        <f>IFERROR(__xludf.DUMMYFUNCTION("""COMPUTED_VALUE"""),2159.55)</f>
        <v>2159.55</v>
      </c>
      <c r="H35" s="33">
        <f>IFERROR(__xludf.DUMMYFUNCTION("""COMPUTED_VALUE"""),0.4655368016484915)</f>
        <v>0.4655368016</v>
      </c>
      <c r="I35" s="32">
        <f>IFERROR(__xludf.DUMMYFUNCTION("""COMPUTED_VALUE"""),3103.25)</f>
        <v>3103.25</v>
      </c>
      <c r="J35" s="33">
        <f>IFERROR(__xludf.DUMMYFUNCTION("""COMPUTED_VALUE"""),0.019866269233867747)</f>
        <v>0.01986626923</v>
      </c>
      <c r="K35" s="34" t="str">
        <f t="array" ref="K35">if(VLOOKUP(A35,'NSEBSE Code'!$A$4:$C$219,2,0) &lt;&gt; "",VLOOKUP(A35,'NSEBSE Code'!$A$4:$C$219,2,0),"")</f>
        <v>Automobile</v>
      </c>
      <c r="L35" s="34" t="str">
        <f t="array" ref="L35">VLOOKUP(A35,'NSEBSE Code'!$A$4:$C$219,3,0)</f>
        <v>EICHERMOT</v>
      </c>
      <c r="M35" s="35" t="str">
        <f t="array" ref="M35">if(F35 &gt; 30%, "Yes", "No")</f>
        <v>No</v>
      </c>
      <c r="N35" s="36" t="str">
        <f t="array" ref="N35">if(H35 &lt; 30%, "Yes", "No")</f>
        <v>No</v>
      </c>
      <c r="O35" s="37" t="str">
        <f t="array" ref="O35">if(AND(D35&lt;65,M35="No",N35="No"),"Good Stock","")</f>
        <v>Good Stock</v>
      </c>
      <c r="P35" s="37" t="str">
        <f t="array" ref="P35">ifs(B35/$B$2 &gt; 0.6,"Large Cap", B35/$B$2 &gt; 0.4, "Mid Cap",B35/$B$2&gt;0,"Low Cap")</f>
        <v>Low Cap</v>
      </c>
    </row>
    <row r="36">
      <c r="A36" s="38" t="str">
        <f>IFERROR(__xludf.DUMMYFUNCTION("""COMPUTED_VALUE"""),"Cipla")</f>
        <v>Cipla</v>
      </c>
      <c r="B36" s="31">
        <f>IFERROR(__xludf.DUMMYFUNCTION("""COMPUTED_VALUE"""),86182.29)</f>
        <v>86182.29</v>
      </c>
      <c r="C36" s="32">
        <f>IFERROR(__xludf.DUMMYFUNCTION("""COMPUTED_VALUE"""),1068.85)</f>
        <v>1068.85</v>
      </c>
      <c r="D36" s="32">
        <f>IFERROR(__xludf.DUMMYFUNCTION("""COMPUTED_VALUE"""),33.64)</f>
        <v>33.64</v>
      </c>
      <c r="E36" s="32">
        <f>IFERROR(__xludf.DUMMYFUNCTION("""COMPUTED_VALUE"""),1185.25)</f>
        <v>1185.25</v>
      </c>
      <c r="F36" s="33">
        <f>IFERROR(__xludf.DUMMYFUNCTION("""COMPUTED_VALUE"""),0.09820712929761662)</f>
        <v>0.0982071293</v>
      </c>
      <c r="G36" s="32">
        <f>IFERROR(__xludf.DUMMYFUNCTION("""COMPUTED_VALUE"""),860.0)</f>
        <v>860</v>
      </c>
      <c r="H36" s="33">
        <f>IFERROR(__xludf.DUMMYFUNCTION("""COMPUTED_VALUE"""),0.24284883720930223)</f>
        <v>0.2428488372</v>
      </c>
      <c r="I36" s="32">
        <f>IFERROR(__xludf.DUMMYFUNCTION("""COMPUTED_VALUE"""),1061.15)</f>
        <v>1061.15</v>
      </c>
      <c r="J36" s="33">
        <f>IFERROR(__xludf.DUMMYFUNCTION("""COMPUTED_VALUE"""),0.007256278565706844)</f>
        <v>0.007256278566</v>
      </c>
      <c r="K36" s="34" t="str">
        <f t="array" ref="K36">if(VLOOKUP(A36,'NSEBSE Code'!$A$4:$C$219,2,0) &lt;&gt; "",VLOOKUP(A36,'NSEBSE Code'!$A$4:$C$219,2,0),"")</f>
        <v>Pharma</v>
      </c>
      <c r="L36" s="34" t="str">
        <f t="array" ref="L36">VLOOKUP(A36,'NSEBSE Code'!$A$4:$C$219,3,0)</f>
        <v>CIPLA</v>
      </c>
      <c r="M36" s="35" t="str">
        <f t="array" ref="M36">if(F36 &gt; 30%, "Yes", "No")</f>
        <v>No</v>
      </c>
      <c r="N36" s="36" t="str">
        <f t="array" ref="N36">if(H36 &lt; 30%, "Yes", "No")</f>
        <v>Yes</v>
      </c>
      <c r="O36" s="37" t="str">
        <f t="array" ref="O36">if(AND(D36&lt;65,M36="No",N36="No"),"Good Stock","")</f>
        <v/>
      </c>
      <c r="P36" s="37" t="str">
        <f t="array" ref="P36">ifs(B36/$B$2 &gt; 0.6,"Large Cap", B36/$B$2 &gt; 0.4, "Mid Cap",B36/$B$2&gt;0,"Low Cap")</f>
        <v>Low Cap</v>
      </c>
    </row>
    <row r="37">
      <c r="A37" s="38" t="str">
        <f>IFERROR(__xludf.DUMMYFUNCTION("""COMPUTED_VALUE"""),"SBI Cards")</f>
        <v>SBI Cards</v>
      </c>
      <c r="B37" s="31">
        <f>IFERROR(__xludf.DUMMYFUNCTION("""COMPUTED_VALUE"""),74336.7630665)</f>
        <v>74336.76307</v>
      </c>
      <c r="C37" s="32">
        <f>IFERROR(__xludf.DUMMYFUNCTION("""COMPUTED_VALUE"""),786.05)</f>
        <v>786.05</v>
      </c>
      <c r="D37" s="32">
        <f>IFERROR(__xludf.DUMMYFUNCTION("""COMPUTED_VALUE"""),35.28)</f>
        <v>35.28</v>
      </c>
      <c r="E37" s="32">
        <f>IFERROR(__xludf.DUMMYFUNCTION("""COMPUTED_VALUE"""),1028.65)</f>
        <v>1028.65</v>
      </c>
      <c r="F37" s="33">
        <f>IFERROR(__xludf.DUMMYFUNCTION("""COMPUTED_VALUE"""),0.2358430953191077)</f>
        <v>0.2358430953</v>
      </c>
      <c r="G37" s="32">
        <f>IFERROR(__xludf.DUMMYFUNCTION("""COMPUTED_VALUE"""),655.7)</f>
        <v>655.7</v>
      </c>
      <c r="H37" s="33">
        <f>IFERROR(__xludf.DUMMYFUNCTION("""COMPUTED_VALUE"""),0.1987951807228914)</f>
        <v>0.1987951807</v>
      </c>
      <c r="I37" s="32">
        <f>IFERROR(__xludf.DUMMYFUNCTION("""COMPUTED_VALUE"""),780.25)</f>
        <v>780.25</v>
      </c>
      <c r="J37" s="33">
        <f>IFERROR(__xludf.DUMMYFUNCTION("""COMPUTED_VALUE"""),0.007433514899070752)</f>
        <v>0.007433514899</v>
      </c>
      <c r="K37" s="34" t="str">
        <f t="array" ref="K37">if(VLOOKUP(A37,'NSEBSE Code'!$A$4:$C$219,2,0) &lt;&gt; "",VLOOKUP(A37,'NSEBSE Code'!$A$4:$C$219,2,0),"")</f>
        <v>Financial Servcies</v>
      </c>
      <c r="L37" s="34" t="str">
        <f t="array" ref="L37">VLOOKUP(A37,'NSEBSE Code'!$A$4:$C$219,3,0)</f>
        <v>SBICARD</v>
      </c>
      <c r="M37" s="35" t="str">
        <f t="array" ref="M37">if(F37 &gt; 30%, "Yes", "No")</f>
        <v>No</v>
      </c>
      <c r="N37" s="36" t="str">
        <f t="array" ref="N37">if(H37 &lt; 30%, "Yes", "No")</f>
        <v>Yes</v>
      </c>
      <c r="O37" s="37" t="str">
        <f t="array" ref="O37">if(AND(D37&lt;65,M37="No",N37="No"),"Good Stock","")</f>
        <v/>
      </c>
      <c r="P37" s="37" t="str">
        <f t="array" ref="P37">ifs(B37/$B$2 &gt; 0.6,"Large Cap", B37/$B$2 &gt; 0.4, "Mid Cap",B37/$B$2&gt;0,"Low Cap")</f>
        <v>Low Cap</v>
      </c>
    </row>
    <row r="38">
      <c r="A38" s="38" t="str">
        <f>IFERROR(__xludf.DUMMYFUNCTION("""COMPUTED_VALUE"""),"Varun Beverage")</f>
        <v>Varun Beverage</v>
      </c>
      <c r="B38" s="31">
        <f>IFERROR(__xludf.DUMMYFUNCTION("""COMPUTED_VALUE"""),73698.477067)</f>
        <v>73698.47707</v>
      </c>
      <c r="C38" s="32">
        <f>IFERROR(__xludf.DUMMYFUNCTION("""COMPUTED_VALUE"""),1134.8)</f>
        <v>1134.8</v>
      </c>
      <c r="D38" s="32">
        <f>IFERROR(__xludf.DUMMYFUNCTION("""COMPUTED_VALUE"""),51.22)</f>
        <v>51.22</v>
      </c>
      <c r="E38" s="32">
        <f>IFERROR(__xludf.DUMMYFUNCTION("""COMPUTED_VALUE"""),1432.05)</f>
        <v>1432.05</v>
      </c>
      <c r="F38" s="33">
        <f>IFERROR(__xludf.DUMMYFUNCTION("""COMPUTED_VALUE"""),0.20756956810167243)</f>
        <v>0.2075695681</v>
      </c>
      <c r="G38" s="32">
        <f>IFERROR(__xludf.DUMMYFUNCTION("""COMPUTED_VALUE"""),557.23)</f>
        <v>557.23</v>
      </c>
      <c r="H38" s="33">
        <f>IFERROR(__xludf.DUMMYFUNCTION("""COMPUTED_VALUE"""),1.036501983023168)</f>
        <v>1.036501983</v>
      </c>
      <c r="I38" s="32">
        <f>IFERROR(__xludf.DUMMYFUNCTION("""COMPUTED_VALUE"""),1187.3)</f>
        <v>1187.3</v>
      </c>
      <c r="J38" s="33">
        <f>IFERROR(__xludf.DUMMYFUNCTION("""COMPUTED_VALUE"""),-0.04421797355344058)</f>
        <v>-0.04421797355</v>
      </c>
      <c r="K38" s="34" t="str">
        <f t="array" ref="K38">if(VLOOKUP(A38,'NSEBSE Code'!$A$4:$C$219,2,0) &lt;&gt; "",VLOOKUP(A38,'NSEBSE Code'!$A$4:$C$219,2,0),"")</f>
        <v>Food</v>
      </c>
      <c r="L38" s="34" t="str">
        <f t="array" ref="L38">VLOOKUP(A38,'NSEBSE Code'!$A$4:$C$219,3,0)</f>
        <v>BOM:540180</v>
      </c>
      <c r="M38" s="35" t="str">
        <f t="array" ref="M38">if(F38 &gt; 30%, "Yes", "No")</f>
        <v>No</v>
      </c>
      <c r="N38" s="36" t="str">
        <f t="array" ref="N38">if(H38 &lt; 30%, "Yes", "No")</f>
        <v>No</v>
      </c>
      <c r="O38" s="37" t="str">
        <f t="array" ref="O38">if(AND(D38&lt;65,M38="No",N38="No"),"Good Stock","")</f>
        <v>Good Stock</v>
      </c>
      <c r="P38" s="37" t="str">
        <f t="array" ref="P38">ifs(B38/$B$2 &gt; 0.6,"Large Cap", B38/$B$2 &gt; 0.4, "Mid Cap",B38/$B$2&gt;0,"Low Cap")</f>
        <v>Low Cap</v>
      </c>
    </row>
    <row r="39">
      <c r="A39" s="38" t="str">
        <f>IFERROR(__xludf.DUMMYFUNCTION("""COMPUTED_VALUE"""),"Havells India")</f>
        <v>Havells India</v>
      </c>
      <c r="B39" s="31">
        <f>IFERROR(__xludf.DUMMYFUNCTION("""COMPUTED_VALUE"""),73418.66784)</f>
        <v>73418.66784</v>
      </c>
      <c r="C39" s="32">
        <f>IFERROR(__xludf.DUMMYFUNCTION("""COMPUTED_VALUE"""),1167.55)</f>
        <v>1167.55</v>
      </c>
      <c r="D39" s="32">
        <f>IFERROR(__xludf.DUMMYFUNCTION("""COMPUTED_VALUE"""),67.24)</f>
        <v>67.24</v>
      </c>
      <c r="E39" s="32">
        <f>IFERROR(__xludf.DUMMYFUNCTION("""COMPUTED_VALUE"""),1405.55)</f>
        <v>1405.55</v>
      </c>
      <c r="F39" s="33">
        <f>IFERROR(__xludf.DUMMYFUNCTION("""COMPUTED_VALUE"""),0.16932873252463448)</f>
        <v>0.1693287325</v>
      </c>
      <c r="G39" s="32">
        <f>IFERROR(__xludf.DUMMYFUNCTION("""COMPUTED_VALUE"""),1024.5)</f>
        <v>1024.5</v>
      </c>
      <c r="H39" s="33">
        <f>IFERROR(__xludf.DUMMYFUNCTION("""COMPUTED_VALUE"""),0.1396290873596876)</f>
        <v>0.1396290874</v>
      </c>
      <c r="I39" s="32">
        <f>IFERROR(__xludf.DUMMYFUNCTION("""COMPUTED_VALUE"""),1192.6)</f>
        <v>1192.6</v>
      </c>
      <c r="J39" s="33">
        <f>IFERROR(__xludf.DUMMYFUNCTION("""COMPUTED_VALUE"""),-0.021004527922186784)</f>
        <v>-0.02100452792</v>
      </c>
      <c r="K39" s="34" t="str">
        <f t="array" ref="K39">if(VLOOKUP(A39,'NSEBSE Code'!$A$4:$C$219,2,0) &lt;&gt; "",VLOOKUP(A39,'NSEBSE Code'!$A$4:$C$219,2,0),"")</f>
        <v>Consumer Electrical</v>
      </c>
      <c r="L39" s="34" t="str">
        <f t="array" ref="L39">VLOOKUP(A39,'NSEBSE Code'!$A$4:$C$219,3,0)</f>
        <v>HAVELLS</v>
      </c>
      <c r="M39" s="35" t="str">
        <f t="array" ref="M39">if(F39 &gt; 30%, "Yes", "No")</f>
        <v>No</v>
      </c>
      <c r="N39" s="36" t="str">
        <f t="array" ref="N39">if(H39 &lt; 30%, "Yes", "No")</f>
        <v>Yes</v>
      </c>
      <c r="O39" s="37" t="str">
        <f t="array" ref="O39">if(AND(D39&lt;65,M39="No",N39="No"),"Good Stock","")</f>
        <v/>
      </c>
      <c r="P39" s="37" t="str">
        <f t="array" ref="P39">ifs(B39/$B$2 &gt; 0.6,"Large Cap", B39/$B$2 &gt; 0.4, "Mid Cap",B39/$B$2&gt;0,"Low Cap")</f>
        <v>Low Cap</v>
      </c>
    </row>
    <row r="40">
      <c r="A40" s="38" t="str">
        <f>IFERROR(__xludf.DUMMYFUNCTION("""COMPUTED_VALUE"""),"Tata Consumer Product")</f>
        <v>Tata Consumer Product</v>
      </c>
      <c r="B40" s="31">
        <f>IFERROR(__xludf.DUMMYFUNCTION("""COMPUTED_VALUE"""),69898.9623697)</f>
        <v>69898.96237</v>
      </c>
      <c r="C40" s="32">
        <f>IFERROR(__xludf.DUMMYFUNCTION("""COMPUTED_VALUE"""),752.8)</f>
        <v>752.8</v>
      </c>
      <c r="D40" s="32">
        <f>IFERROR(__xludf.DUMMYFUNCTION("""COMPUTED_VALUE"""),65.04)</f>
        <v>65.04</v>
      </c>
      <c r="E40" s="32">
        <f>IFERROR(__xludf.DUMMYFUNCTION("""COMPUTED_VALUE"""),861.15)</f>
        <v>861.15</v>
      </c>
      <c r="F40" s="33">
        <f>IFERROR(__xludf.DUMMYFUNCTION("""COMPUTED_VALUE"""),0.12582012425245315)</f>
        <v>0.1258201243</v>
      </c>
      <c r="G40" s="32">
        <f>IFERROR(__xludf.DUMMYFUNCTION("""COMPUTED_VALUE"""),650.2)</f>
        <v>650.2</v>
      </c>
      <c r="H40" s="33">
        <f>IFERROR(__xludf.DUMMYFUNCTION("""COMPUTED_VALUE"""),0.15779760073823423)</f>
        <v>0.1577976007</v>
      </c>
      <c r="I40" s="32">
        <f>IFERROR(__xludf.DUMMYFUNCTION("""COMPUTED_VALUE"""),754.25)</f>
        <v>754.25</v>
      </c>
      <c r="J40" s="33">
        <f>IFERROR(__xludf.DUMMYFUNCTION("""COMPUTED_VALUE"""),-0.0019224395094465303)</f>
        <v>-0.001922439509</v>
      </c>
      <c r="K40" s="34" t="str">
        <f t="array" ref="K40">if(VLOOKUP(A40,'NSEBSE Code'!$A$4:$C$219,2,0) &lt;&gt; "",VLOOKUP(A40,'NSEBSE Code'!$A$4:$C$219,2,0),"")</f>
        <v>FMCG</v>
      </c>
      <c r="L40" s="34" t="str">
        <f t="array" ref="L40">VLOOKUP(A40,'NSEBSE Code'!$A$4:$C$219,3,0)</f>
        <v>TATACONSUM</v>
      </c>
      <c r="M40" s="35" t="str">
        <f t="array" ref="M40">if(F40 &gt; 30%, "Yes", "No")</f>
        <v>No</v>
      </c>
      <c r="N40" s="36" t="str">
        <f t="array" ref="N40">if(H40 &lt; 30%, "Yes", "No")</f>
        <v>Yes</v>
      </c>
      <c r="O40" s="37" t="str">
        <f t="array" ref="O40">if(AND(D40&lt;65,M40="No",N40="No"),"Good Stock","")</f>
        <v/>
      </c>
      <c r="P40" s="37" t="str">
        <f t="array" ref="P40">ifs(B40/$B$2 &gt; 0.6,"Large Cap", B40/$B$2 &gt; 0.4, "Mid Cap",B40/$B$2&gt;0,"Low Cap")</f>
        <v>Low Cap</v>
      </c>
    </row>
    <row r="41">
      <c r="A41" s="38" t="str">
        <f>IFERROR(__xludf.DUMMYFUNCTION("""COMPUTED_VALUE"""),"ICICI Pru life insurance")</f>
        <v>ICICI Pru life insurance</v>
      </c>
      <c r="B41" s="31">
        <f>IFERROR(__xludf.DUMMYFUNCTION("""COMPUTED_VALUE"""),67468.3198772)</f>
        <v>67468.31988</v>
      </c>
      <c r="C41" s="32">
        <f>IFERROR(__xludf.DUMMYFUNCTION("""COMPUTED_VALUE"""),468.9)</f>
        <v>468.9</v>
      </c>
      <c r="D41" s="32">
        <f>IFERROR(__xludf.DUMMYFUNCTION("""COMPUTED_VALUE"""),78.92)</f>
        <v>78.92</v>
      </c>
      <c r="E41" s="32">
        <f>IFERROR(__xludf.DUMMYFUNCTION("""COMPUTED_VALUE"""),648.85)</f>
        <v>648.85</v>
      </c>
      <c r="F41" s="33">
        <f>IFERROR(__xludf.DUMMYFUNCTION("""COMPUTED_VALUE"""),0.27733682669338067)</f>
        <v>0.2773368267</v>
      </c>
      <c r="G41" s="32">
        <f>IFERROR(__xludf.DUMMYFUNCTION("""COMPUTED_VALUE"""),430.0)</f>
        <v>430</v>
      </c>
      <c r="H41" s="33">
        <f>IFERROR(__xludf.DUMMYFUNCTION("""COMPUTED_VALUE"""),0.09046511627906971)</f>
        <v>0.09046511628</v>
      </c>
      <c r="I41" s="32">
        <f>IFERROR(__xludf.DUMMYFUNCTION("""COMPUTED_VALUE"""),464.7)</f>
        <v>464.7</v>
      </c>
      <c r="J41" s="33">
        <f>IFERROR(__xludf.DUMMYFUNCTION("""COMPUTED_VALUE"""),0.00903808908973529)</f>
        <v>0.00903808909</v>
      </c>
      <c r="K41" s="34" t="str">
        <f t="array" ref="K41">if(VLOOKUP(A41,'NSEBSE Code'!$A$4:$C$219,2,0) &lt;&gt; "",VLOOKUP(A41,'NSEBSE Code'!$A$4:$C$219,2,0),"")</f>
        <v>Insurance</v>
      </c>
      <c r="L41" s="34" t="str">
        <f t="array" ref="L41">VLOOKUP(A41,'NSEBSE Code'!$A$4:$C$219,3,0)</f>
        <v>ICICIPRULI</v>
      </c>
      <c r="M41" s="35" t="str">
        <f t="array" ref="M41">if(F41 &gt; 30%, "Yes", "No")</f>
        <v>No</v>
      </c>
      <c r="N41" s="36" t="str">
        <f t="array" ref="N41">if(H41 &lt; 30%, "Yes", "No")</f>
        <v>Yes</v>
      </c>
      <c r="O41" s="37" t="str">
        <f t="array" ref="O41">if(AND(D41&lt;65,M41="No",N41="No"),"Good Stock","")</f>
        <v/>
      </c>
      <c r="P41" s="37" t="str">
        <f t="array" ref="P41">ifs(B41/$B$2 &gt; 0.6,"Large Cap", B41/$B$2 &gt; 0.4, "Mid Cap",B41/$B$2&gt;0,"Low Cap")</f>
        <v>Low Cap</v>
      </c>
    </row>
    <row r="42">
      <c r="A42" s="38" t="str">
        <f>IFERROR(__xludf.DUMMYFUNCTION("""COMPUTED_VALUE"""),"Tata Power")</f>
        <v>Tata Power</v>
      </c>
      <c r="B42" s="31">
        <f>IFERROR(__xludf.DUMMYFUNCTION("""COMPUTED_VALUE"""),66015.7769553)</f>
        <v>66015.77696</v>
      </c>
      <c r="C42" s="32">
        <f>IFERROR(__xludf.DUMMYFUNCTION("""COMPUTED_VALUE"""),206.55)</f>
        <v>206.55</v>
      </c>
      <c r="D42" s="32">
        <f>IFERROR(__xludf.DUMMYFUNCTION("""COMPUTED_VALUE"""),25.89)</f>
        <v>25.89</v>
      </c>
      <c r="E42" s="32">
        <f>IFERROR(__xludf.DUMMYFUNCTION("""COMPUTED_VALUE"""),298.0)</f>
        <v>298</v>
      </c>
      <c r="F42" s="33">
        <f>IFERROR(__xludf.DUMMYFUNCTION("""COMPUTED_VALUE"""),0.30687919463087243)</f>
        <v>0.3068791946</v>
      </c>
      <c r="G42" s="32">
        <f>IFERROR(__xludf.DUMMYFUNCTION("""COMPUTED_VALUE"""),190.0)</f>
        <v>190</v>
      </c>
      <c r="H42" s="33">
        <f>IFERROR(__xludf.DUMMYFUNCTION("""COMPUTED_VALUE"""),0.0871052631578948)</f>
        <v>0.08710526316</v>
      </c>
      <c r="I42" s="32">
        <f>IFERROR(__xludf.DUMMYFUNCTION("""COMPUTED_VALUE"""),205.65)</f>
        <v>205.65</v>
      </c>
      <c r="J42" s="33">
        <f>IFERROR(__xludf.DUMMYFUNCTION("""COMPUTED_VALUE"""),0.0043763676148796775)</f>
        <v>0.004376367615</v>
      </c>
      <c r="K42" s="34" t="str">
        <f t="array" ref="K42">if(VLOOKUP(A42,'NSEBSE Code'!$A$4:$C$219,2,0) &lt;&gt; "",VLOOKUP(A42,'NSEBSE Code'!$A$4:$C$219,2,0),"")</f>
        <v>Infrastructure</v>
      </c>
      <c r="L42" s="34" t="str">
        <f t="array" ref="L42">VLOOKUP(A42,'NSEBSE Code'!$A$4:$C$219,3,0)</f>
        <v>BOM:500400</v>
      </c>
      <c r="M42" s="35" t="str">
        <f t="array" ref="M42">if(F42 &gt; 30%, "Yes", "No")</f>
        <v>Yes</v>
      </c>
      <c r="N42" s="36" t="str">
        <f t="array" ref="N42">if(H42 &lt; 30%, "Yes", "No")</f>
        <v>Yes</v>
      </c>
      <c r="O42" s="37" t="str">
        <f t="array" ref="O42">if(AND(D42&lt;65,M42="No",N42="No"),"Good Stock","")</f>
        <v/>
      </c>
      <c r="P42" s="37" t="str">
        <f t="array" ref="P42">ifs(B42/$B$2 &gt; 0.6,"Large Cap", B42/$B$2 &gt; 0.4, "Mid Cap",B42/$B$2&gt;0,"Low Cap")</f>
        <v>Low Cap</v>
      </c>
    </row>
    <row r="43">
      <c r="A43" s="38" t="str">
        <f>IFERROR(__xludf.DUMMYFUNCTION("""COMPUTED_VALUE"""),"Marico")</f>
        <v>Marico</v>
      </c>
      <c r="B43" s="31">
        <f>IFERROR(__xludf.DUMMYFUNCTION("""COMPUTED_VALUE"""),64133.35)</f>
        <v>64133.35</v>
      </c>
      <c r="C43" s="32">
        <f>IFERROR(__xludf.DUMMYFUNCTION("""COMPUTED_VALUE"""),497.5)</f>
        <v>497.5</v>
      </c>
      <c r="D43" s="32">
        <f>IFERROR(__xludf.DUMMYFUNCTION("""COMPUTED_VALUE"""),52.21)</f>
        <v>52.21</v>
      </c>
      <c r="E43" s="32">
        <f>IFERROR(__xludf.DUMMYFUNCTION("""COMPUTED_VALUE"""),554.35)</f>
        <v>554.35</v>
      </c>
      <c r="F43" s="33">
        <f>IFERROR(__xludf.DUMMYFUNCTION("""COMPUTED_VALUE"""),0.10255253900965097)</f>
        <v>0.102552539</v>
      </c>
      <c r="G43" s="32">
        <f>IFERROR(__xludf.DUMMYFUNCTION("""COMPUTED_VALUE"""),455.65)</f>
        <v>455.65</v>
      </c>
      <c r="H43" s="33">
        <f>IFERROR(__xludf.DUMMYFUNCTION("""COMPUTED_VALUE"""),0.0918468122462417)</f>
        <v>0.09184681225</v>
      </c>
      <c r="I43" s="32">
        <f>IFERROR(__xludf.DUMMYFUNCTION("""COMPUTED_VALUE"""),501.6)</f>
        <v>501.6</v>
      </c>
      <c r="J43" s="33">
        <f>IFERROR(__xludf.DUMMYFUNCTION("""COMPUTED_VALUE"""),-0.008173843700159535)</f>
        <v>-0.0081738437</v>
      </c>
      <c r="K43" s="34" t="str">
        <f t="array" ref="K43">if(VLOOKUP(A43,'NSEBSE Code'!$A$4:$C$219,2,0) &lt;&gt; "",VLOOKUP(A43,'NSEBSE Code'!$A$4:$C$219,2,0),"")</f>
        <v>FMCG</v>
      </c>
      <c r="L43" s="34" t="str">
        <f t="array" ref="L43">VLOOKUP(A43,'NSEBSE Code'!$A$4:$C$219,3,0)</f>
        <v>MARICO</v>
      </c>
      <c r="M43" s="35" t="str">
        <f t="array" ref="M43">if(F43 &gt; 30%, "Yes", "No")</f>
        <v>No</v>
      </c>
      <c r="N43" s="36" t="str">
        <f t="array" ref="N43">if(H43 &lt; 30%, "Yes", "No")</f>
        <v>Yes</v>
      </c>
      <c r="O43" s="37" t="str">
        <f t="array" ref="O43">if(AND(D43&lt;65,M43="No",N43="No"),"Good Stock","")</f>
        <v/>
      </c>
      <c r="P43" s="37" t="str">
        <f t="array" ref="P43">ifs(B43/$B$2 &gt; 0.6,"Large Cap", B43/$B$2 &gt; 0.4, "Mid Cap",B43/$B$2&gt;0,"Low Cap")</f>
        <v>Low Cap</v>
      </c>
    </row>
    <row r="44">
      <c r="A44" s="38" t="str">
        <f>IFERROR(__xludf.DUMMYFUNCTION("""COMPUTED_VALUE"""),"United Spirits")</f>
        <v>United Spirits</v>
      </c>
      <c r="B44" s="31">
        <f>IFERROR(__xludf.DUMMYFUNCTION("""COMPUTED_VALUE"""),61484.38668)</f>
        <v>61484.38668</v>
      </c>
      <c r="C44" s="32">
        <f>IFERROR(__xludf.DUMMYFUNCTION("""COMPUTED_VALUE"""),846.75)</f>
        <v>846.75</v>
      </c>
      <c r="D44" s="32">
        <f>IFERROR(__xludf.DUMMYFUNCTION("""COMPUTED_VALUE"""),46.19)</f>
        <v>46.19</v>
      </c>
      <c r="E44" s="32">
        <f>IFERROR(__xludf.DUMMYFUNCTION("""COMPUTED_VALUE"""),958.0)</f>
        <v>958</v>
      </c>
      <c r="F44" s="33">
        <f>IFERROR(__xludf.DUMMYFUNCTION("""COMPUTED_VALUE"""),0.11612734864300626)</f>
        <v>0.1161273486</v>
      </c>
      <c r="G44" s="32">
        <f>IFERROR(__xludf.DUMMYFUNCTION("""COMPUTED_VALUE"""),712.0)</f>
        <v>712</v>
      </c>
      <c r="H44" s="33">
        <f>IFERROR(__xludf.DUMMYFUNCTION("""COMPUTED_VALUE"""),0.1892556179775281)</f>
        <v>0.189255618</v>
      </c>
      <c r="I44" s="32">
        <f>IFERROR(__xludf.DUMMYFUNCTION("""COMPUTED_VALUE"""),857.75)</f>
        <v>857.75</v>
      </c>
      <c r="J44" s="33">
        <f>IFERROR(__xludf.DUMMYFUNCTION("""COMPUTED_VALUE"""),-0.012824249489944622)</f>
        <v>-0.01282424949</v>
      </c>
      <c r="K44" s="34" t="str">
        <f t="array" ref="K44">if(VLOOKUP(A44,'NSEBSE Code'!$A$4:$C$219,2,0) &lt;&gt; "",VLOOKUP(A44,'NSEBSE Code'!$A$4:$C$219,2,0),"")</f>
        <v>Spirits</v>
      </c>
      <c r="L44" s="34" t="str">
        <f t="array" ref="L44">VLOOKUP(A44,'NSEBSE Code'!$A$4:$C$219,3,0)</f>
        <v>MCDOWELL-N</v>
      </c>
      <c r="M44" s="35" t="str">
        <f t="array" ref="M44">if(F44 &gt; 30%, "Yes", "No")</f>
        <v>No</v>
      </c>
      <c r="N44" s="36" t="str">
        <f t="array" ref="N44">if(H44 &lt; 30%, "Yes", "No")</f>
        <v>Yes</v>
      </c>
      <c r="O44" s="37" t="str">
        <f t="array" ref="O44">if(AND(D44&lt;65,M44="No",N44="No"),"Good Stock","")</f>
        <v/>
      </c>
      <c r="P44" s="37" t="str">
        <f t="array" ref="P44">ifs(B44/$B$2 &gt; 0.6,"Large Cap", B44/$B$2 &gt; 0.4, "Mid Cap",B44/$B$2&gt;0,"Low Cap")</f>
        <v>Low Cap</v>
      </c>
    </row>
    <row r="45">
      <c r="A45" s="38" t="str">
        <f>IFERROR(__xludf.DUMMYFUNCTION("""COMPUTED_VALUE"""),"Yesbank")</f>
        <v>Yesbank</v>
      </c>
      <c r="B45" s="31">
        <f>IFERROR(__xludf.DUMMYFUNCTION("""COMPUTED_VALUE"""),57937.9387031)</f>
        <v>57937.9387</v>
      </c>
      <c r="C45" s="32">
        <f>IFERROR(__xludf.DUMMYFUNCTION("""COMPUTED_VALUE"""),20.15)</f>
        <v>20.15</v>
      </c>
      <c r="D45" s="32">
        <f>IFERROR(__xludf.DUMMYFUNCTION("""COMPUTED_VALUE"""),45.52)</f>
        <v>45.52</v>
      </c>
      <c r="E45" s="32">
        <f>IFERROR(__xludf.DUMMYFUNCTION("""COMPUTED_VALUE"""),24.75)</f>
        <v>24.75</v>
      </c>
      <c r="F45" s="33">
        <f>IFERROR(__xludf.DUMMYFUNCTION("""COMPUTED_VALUE"""),0.18585858585858592)</f>
        <v>0.1858585859</v>
      </c>
      <c r="G45" s="32">
        <f>IFERROR(__xludf.DUMMYFUNCTION("""COMPUTED_VALUE"""),12.11)</f>
        <v>12.11</v>
      </c>
      <c r="H45" s="33">
        <f>IFERROR(__xludf.DUMMYFUNCTION("""COMPUTED_VALUE"""),0.6639141205615193)</f>
        <v>0.6639141206</v>
      </c>
      <c r="I45" s="32">
        <f>IFERROR(__xludf.DUMMYFUNCTION("""COMPUTED_VALUE"""),19.9)</f>
        <v>19.9</v>
      </c>
      <c r="J45" s="33">
        <f>IFERROR(__xludf.DUMMYFUNCTION("""COMPUTED_VALUE"""),0.01256281407035176)</f>
        <v>0.01256281407</v>
      </c>
      <c r="K45" s="34" t="str">
        <f t="array" ref="K45">if(VLOOKUP(A45,'NSEBSE Code'!$A$4:$C$219,2,0) &lt;&gt; "",VLOOKUP(A45,'NSEBSE Code'!$A$4:$C$219,2,0),"")</f>
        <v>Bank</v>
      </c>
      <c r="L45" s="34" t="str">
        <f t="array" ref="L45">VLOOKUP(A45,'NSEBSE Code'!$A$4:$C$219,3,0)</f>
        <v>BOM:532648</v>
      </c>
      <c r="M45" s="35" t="str">
        <f t="array" ref="M45">if(F45 &gt; 30%, "Yes", "No")</f>
        <v>No</v>
      </c>
      <c r="N45" s="36" t="str">
        <f t="array" ref="N45">if(H45 &lt; 30%, "Yes", "No")</f>
        <v>No</v>
      </c>
      <c r="O45" s="37" t="str">
        <f t="array" ref="O45">if(AND(D45&lt;65,M45="No",N45="No"),"Good Stock","")</f>
        <v>Good Stock</v>
      </c>
      <c r="P45" s="37" t="str">
        <f t="array" ref="P45">ifs(B45/$B$2 &gt; 0.6,"Large Cap", B45/$B$2 &gt; 0.4, "Mid Cap",B45/$B$2&gt;0,"Low Cap")</f>
        <v>Low Cap</v>
      </c>
    </row>
    <row r="46">
      <c r="A46" s="38" t="str">
        <f>IFERROR(__xludf.DUMMYFUNCTION("""COMPUTED_VALUE"""),"Berger Paint")</f>
        <v>Berger Paint</v>
      </c>
      <c r="B46" s="31">
        <f>IFERROR(__xludf.DUMMYFUNCTION("""COMPUTED_VALUE"""),54643.2617004)</f>
        <v>54643.2617</v>
      </c>
      <c r="C46" s="32">
        <f>IFERROR(__xludf.DUMMYFUNCTION("""COMPUTED_VALUE"""),564.0)</f>
        <v>564</v>
      </c>
      <c r="D46" s="32">
        <f>IFERROR(__xludf.DUMMYFUNCTION("""COMPUTED_VALUE"""),57.95)</f>
        <v>57.95</v>
      </c>
      <c r="E46" s="32">
        <f>IFERROR(__xludf.DUMMYFUNCTION("""COMPUTED_VALUE"""),793.05)</f>
        <v>793.05</v>
      </c>
      <c r="F46" s="33">
        <f>IFERROR(__xludf.DUMMYFUNCTION("""COMPUTED_VALUE"""),0.2888216379799508)</f>
        <v>0.288821638</v>
      </c>
      <c r="G46" s="32">
        <f>IFERROR(__xludf.DUMMYFUNCTION("""COMPUTED_VALUE"""),543.6)</f>
        <v>543.6</v>
      </c>
      <c r="H46" s="33">
        <f>IFERROR(__xludf.DUMMYFUNCTION("""COMPUTED_VALUE"""),0.0375275938189845)</f>
        <v>0.03752759382</v>
      </c>
      <c r="I46" s="32">
        <f>IFERROR(__xludf.DUMMYFUNCTION("""COMPUTED_VALUE"""),561.95)</f>
        <v>561.95</v>
      </c>
      <c r="J46" s="33">
        <f>IFERROR(__xludf.DUMMYFUNCTION("""COMPUTED_VALUE"""),0.0036480113889135234)</f>
        <v>0.003648011389</v>
      </c>
      <c r="K46" s="34" t="str">
        <f t="array" ref="K46">if(VLOOKUP(A46,'NSEBSE Code'!$A$4:$C$219,2,0) &lt;&gt; "",VLOOKUP(A46,'NSEBSE Code'!$A$4:$C$219,2,0),"")</f>
        <v>Paint</v>
      </c>
      <c r="L46" s="34" t="str">
        <f t="array" ref="L46">VLOOKUP(A46,'NSEBSE Code'!$A$4:$C$219,3,0)</f>
        <v>BERGEPAINT</v>
      </c>
      <c r="M46" s="35" t="str">
        <f t="array" ref="M46">if(F46 &gt; 30%, "Yes", "No")</f>
        <v>No</v>
      </c>
      <c r="N46" s="36" t="str">
        <f t="array" ref="N46">if(H46 &lt; 30%, "Yes", "No")</f>
        <v>Yes</v>
      </c>
      <c r="O46" s="37" t="str">
        <f t="array" ref="O46">if(AND(D46&lt;65,M46="No",N46="No"),"Good Stock","")</f>
        <v/>
      </c>
      <c r="P46" s="37" t="str">
        <f t="array" ref="P46">ifs(B46/$B$2 &gt; 0.6,"Large Cap", B46/$B$2 &gt; 0.4, "Mid Cap",B46/$B$2&gt;0,"Low Cap")</f>
        <v>Low Cap</v>
      </c>
    </row>
    <row r="47">
      <c r="A47" s="38" t="str">
        <f>IFERROR(__xludf.DUMMYFUNCTION("""COMPUTED_VALUE"""),"Hero Motocorp")</f>
        <v>Hero Motocorp</v>
      </c>
      <c r="B47" s="31">
        <f>IFERROR(__xludf.DUMMYFUNCTION("""COMPUTED_VALUE"""),54522.74)</f>
        <v>54522.74</v>
      </c>
      <c r="C47" s="32">
        <f>IFERROR(__xludf.DUMMYFUNCTION("""COMPUTED_VALUE"""),2732.0)</f>
        <v>2732</v>
      </c>
      <c r="D47" s="32">
        <f>IFERROR(__xludf.DUMMYFUNCTION("""COMPUTED_VALUE"""),21.06)</f>
        <v>21.06</v>
      </c>
      <c r="E47" s="32">
        <f>IFERROR(__xludf.DUMMYFUNCTION("""COMPUTED_VALUE"""),2938.6)</f>
        <v>2938.6</v>
      </c>
      <c r="F47" s="33">
        <f>IFERROR(__xludf.DUMMYFUNCTION("""COMPUTED_VALUE"""),0.07030558769482063)</f>
        <v>0.07030558769</v>
      </c>
      <c r="G47" s="32">
        <f>IFERROR(__xludf.DUMMYFUNCTION("""COMPUTED_VALUE"""),2146.85)</f>
        <v>2146.85</v>
      </c>
      <c r="H47" s="33">
        <f>IFERROR(__xludf.DUMMYFUNCTION("""COMPUTED_VALUE"""),0.27256212590539636)</f>
        <v>0.2725621259</v>
      </c>
      <c r="I47" s="32">
        <f>IFERROR(__xludf.DUMMYFUNCTION("""COMPUTED_VALUE"""),2694.25)</f>
        <v>2694.25</v>
      </c>
      <c r="J47" s="33">
        <f>IFERROR(__xludf.DUMMYFUNCTION("""COMPUTED_VALUE"""),0.014011320404565278)</f>
        <v>0.0140113204</v>
      </c>
      <c r="K47" s="34" t="str">
        <f t="array" ref="K47">if(VLOOKUP(A47,'NSEBSE Code'!$A$4:$C$219,2,0) &lt;&gt; "",VLOOKUP(A47,'NSEBSE Code'!$A$4:$C$219,2,0),"")</f>
        <v>Automobile</v>
      </c>
      <c r="L47" s="34" t="str">
        <f t="array" ref="L47">VLOOKUP(A47,'NSEBSE Code'!$A$4:$C$219,3,0)</f>
        <v>HEROMOTOCO</v>
      </c>
      <c r="M47" s="35" t="str">
        <f t="array" ref="M47">if(F47 &gt; 30%, "Yes", "No")</f>
        <v>No</v>
      </c>
      <c r="N47" s="36" t="str">
        <f t="array" ref="N47">if(H47 &lt; 30%, "Yes", "No")</f>
        <v>Yes</v>
      </c>
      <c r="O47" s="37" t="str">
        <f t="array" ref="O47">if(AND(D47&lt;65,M47="No",N47="No"),"Good Stock","")</f>
        <v/>
      </c>
      <c r="P47" s="37" t="str">
        <f t="array" ref="P47">ifs(B47/$B$2 &gt; 0.6,"Large Cap", B47/$B$2 &gt; 0.4, "Mid Cap",B47/$B$2&gt;0,"Low Cap")</f>
        <v>Low Cap</v>
      </c>
    </row>
    <row r="48">
      <c r="A48" s="38" t="str">
        <f>IFERROR(__xludf.DUMMYFUNCTION("""COMPUTED_VALUE"""),"UPL")</f>
        <v>UPL</v>
      </c>
      <c r="B48" s="31">
        <f>IFERROR(__xludf.DUMMYFUNCTION("""COMPUTED_VALUE"""),53833.6605806)</f>
        <v>53833.66058</v>
      </c>
      <c r="C48" s="32">
        <f>IFERROR(__xludf.DUMMYFUNCTION("""COMPUTED_VALUE"""),718.45)</f>
        <v>718.45</v>
      </c>
      <c r="D48" s="32">
        <f>IFERROR(__xludf.DUMMYFUNCTION("""COMPUTED_VALUE"""),13.58)</f>
        <v>13.58</v>
      </c>
      <c r="E48" s="32">
        <f>IFERROR(__xludf.DUMMYFUNCTION("""COMPUTED_VALUE"""),848.0)</f>
        <v>848</v>
      </c>
      <c r="F48" s="33">
        <f>IFERROR(__xludf.DUMMYFUNCTION("""COMPUTED_VALUE"""),0.15277122641509427)</f>
        <v>0.1527712264</v>
      </c>
      <c r="G48" s="32">
        <f>IFERROR(__xludf.DUMMYFUNCTION("""COMPUTED_VALUE"""),607.8)</f>
        <v>607.8</v>
      </c>
      <c r="H48" s="33">
        <f>IFERROR(__xludf.DUMMYFUNCTION("""COMPUTED_VALUE"""),0.18205001645278068)</f>
        <v>0.1820500165</v>
      </c>
      <c r="I48" s="32">
        <f>IFERROR(__xludf.DUMMYFUNCTION("""COMPUTED_VALUE"""),719.05)</f>
        <v>719.05</v>
      </c>
      <c r="J48" s="33">
        <f>IFERROR(__xludf.DUMMYFUNCTION("""COMPUTED_VALUE"""),-8.344343230650289E-4)</f>
        <v>-0.0008344343231</v>
      </c>
      <c r="K48" s="34" t="str">
        <f t="array" ref="K48">if(VLOOKUP(A48,'NSEBSE Code'!$A$4:$C$219,2,0) &lt;&gt; "",VLOOKUP(A48,'NSEBSE Code'!$A$4:$C$219,2,0),"")</f>
        <v>Agrochemical</v>
      </c>
      <c r="L48" s="34" t="str">
        <f t="array" ref="L48">VLOOKUP(A48,'NSEBSE Code'!$A$4:$C$219,3,0)</f>
        <v>BOM:512070</v>
      </c>
      <c r="M48" s="35" t="str">
        <f t="array" ref="M48">if(F48 &gt; 30%, "Yes", "No")</f>
        <v>No</v>
      </c>
      <c r="N48" s="36" t="str">
        <f t="array" ref="N48">if(H48 &lt; 30%, "Yes", "No")</f>
        <v>Yes</v>
      </c>
      <c r="O48" s="37" t="str">
        <f t="array" ref="O48">if(AND(D48&lt;65,M48="No",N48="No"),"Good Stock","")</f>
        <v/>
      </c>
      <c r="P48" s="37" t="str">
        <f t="array" ref="P48">ifs(B48/$B$2 &gt; 0.6,"Large Cap", B48/$B$2 &gt; 0.4, "Mid Cap",B48/$B$2&gt;0,"Low Cap")</f>
        <v>Low Cap</v>
      </c>
    </row>
    <row r="49">
      <c r="A49" s="38" t="str">
        <f>IFERROR(__xludf.DUMMYFUNCTION("""COMPUTED_VALUE"""),"Motherson Sumi")</f>
        <v>Motherson Sumi</v>
      </c>
      <c r="B49" s="31">
        <f>IFERROR(__xludf.DUMMYFUNCTION("""COMPUTED_VALUE"""),52280.0813339)</f>
        <v>52280.08133</v>
      </c>
      <c r="C49" s="32">
        <f>IFERROR(__xludf.DUMMYFUNCTION("""COMPUTED_VALUE"""),77.15)</f>
        <v>77.15</v>
      </c>
      <c r="D49" s="32">
        <f>IFERROR(__xludf.DUMMYFUNCTION("""COMPUTED_VALUE"""),67.22)</f>
        <v>67.22</v>
      </c>
      <c r="E49" s="32">
        <f>IFERROR(__xludf.DUMMYFUNCTION("""COMPUTED_VALUE"""),165.03)</f>
        <v>165.03</v>
      </c>
      <c r="F49" s="33">
        <f>IFERROR(__xludf.DUMMYFUNCTION("""COMPUTED_VALUE"""),0.5325092407441071)</f>
        <v>0.5325092407</v>
      </c>
      <c r="G49" s="32">
        <f>IFERROR(__xludf.DUMMYFUNCTION("""COMPUTED_VALUE"""),61.85)</f>
        <v>61.85</v>
      </c>
      <c r="H49" s="33">
        <f>IFERROR(__xludf.DUMMYFUNCTION("""COMPUTED_VALUE"""),0.2473726758286177)</f>
        <v>0.2473726758</v>
      </c>
      <c r="I49" s="32">
        <f>IFERROR(__xludf.DUMMYFUNCTION("""COMPUTED_VALUE"""),78.15)</f>
        <v>78.15</v>
      </c>
      <c r="J49" s="33">
        <f>IFERROR(__xludf.DUMMYFUNCTION("""COMPUTED_VALUE"""),-0.012795905310300703)</f>
        <v>-0.01279590531</v>
      </c>
      <c r="K49" s="34" t="str">
        <f t="array" ref="K49">if(VLOOKUP(A49,'NSEBSE Code'!$A$4:$C$219,2,0) &lt;&gt; "",VLOOKUP(A49,'NSEBSE Code'!$A$4:$C$219,2,0),"")</f>
        <v>Automobile Ancilliary</v>
      </c>
      <c r="L49" s="34" t="str">
        <f t="array" ref="L49">VLOOKUP(A49,'NSEBSE Code'!$A$4:$C$219,3,0)</f>
        <v>BOM:517334</v>
      </c>
      <c r="M49" s="35" t="str">
        <f t="array" ref="M49">if(F49 &gt; 30%, "Yes", "No")</f>
        <v>Yes</v>
      </c>
      <c r="N49" s="36" t="str">
        <f t="array" ref="N49">if(H49 &lt; 30%, "Yes", "No")</f>
        <v>Yes</v>
      </c>
      <c r="O49" s="37" t="str">
        <f t="array" ref="O49">if(AND(D49&lt;65,M49="No",N49="No"),"Good Stock","")</f>
        <v/>
      </c>
      <c r="P49" s="37" t="str">
        <f t="array" ref="P49">ifs(B49/$B$2 &gt; 0.6,"Large Cap", B49/$B$2 &gt; 0.4, "Mid Cap",B49/$B$2&gt;0,"Low Cap")</f>
        <v>Low Cap</v>
      </c>
    </row>
    <row r="50">
      <c r="A50" s="38" t="str">
        <f>IFERROR(__xludf.DUMMYFUNCTION("""COMPUTED_VALUE"""),"IRCTC")</f>
        <v>IRCTC</v>
      </c>
      <c r="B50" s="31">
        <f>IFERROR(__xludf.DUMMYFUNCTION("""COMPUTED_VALUE"""),51348.0038553)</f>
        <v>51348.00386</v>
      </c>
      <c r="C50" s="32">
        <f>IFERROR(__xludf.DUMMYFUNCTION("""COMPUTED_VALUE"""),641.0)</f>
        <v>641</v>
      </c>
      <c r="D50" s="32">
        <f>IFERROR(__xludf.DUMMYFUNCTION("""COMPUTED_VALUE"""),57.32)</f>
        <v>57.32</v>
      </c>
      <c r="E50" s="32">
        <f>IFERROR(__xludf.DUMMYFUNCTION("""COMPUTED_VALUE"""),918.65)</f>
        <v>918.65</v>
      </c>
      <c r="F50" s="33">
        <f>IFERROR(__xludf.DUMMYFUNCTION("""COMPUTED_VALUE"""),0.3022369781744952)</f>
        <v>0.3022369782</v>
      </c>
      <c r="G50" s="32">
        <f>IFERROR(__xludf.DUMMYFUNCTION("""COMPUTED_VALUE"""),557.0)</f>
        <v>557</v>
      </c>
      <c r="H50" s="33">
        <f>IFERROR(__xludf.DUMMYFUNCTION("""COMPUTED_VALUE"""),0.15080789946140036)</f>
        <v>0.1508078995</v>
      </c>
      <c r="I50" s="32">
        <f>IFERROR(__xludf.DUMMYFUNCTION("""COMPUTED_VALUE"""),640.65)</f>
        <v>640.65</v>
      </c>
      <c r="J50" s="33">
        <f>IFERROR(__xludf.DUMMYFUNCTION("""COMPUTED_VALUE"""),5.463201436041876E-4)</f>
        <v>0.0005463201436</v>
      </c>
      <c r="K50" s="34" t="str">
        <f t="array" ref="K50">if(VLOOKUP(A50,'NSEBSE Code'!$A$4:$C$219,2,0) &lt;&gt; "",VLOOKUP(A50,'NSEBSE Code'!$A$4:$C$219,2,0),"")</f>
        <v>Catering</v>
      </c>
      <c r="L50" s="34" t="str">
        <f t="array" ref="L50">VLOOKUP(A50,'NSEBSE Code'!$A$4:$C$219,3,0)</f>
        <v>IRCTC</v>
      </c>
      <c r="M50" s="35" t="str">
        <f t="array" ref="M50">if(F50 &gt; 30%, "Yes", "No")</f>
        <v>Yes</v>
      </c>
      <c r="N50" s="36" t="str">
        <f t="array" ref="N50">if(H50 &lt; 30%, "Yes", "No")</f>
        <v>Yes</v>
      </c>
      <c r="O50" s="37" t="str">
        <f t="array" ref="O50">if(AND(D50&lt;65,M50="No",N50="No"),"Good Stock","")</f>
        <v/>
      </c>
      <c r="P50" s="37" t="str">
        <f t="array" ref="P50">ifs(B50/$B$2 &gt; 0.6,"Large Cap", B50/$B$2 &gt; 0.4, "Mid Cap",B50/$B$2&gt;0,"Low Cap")</f>
        <v>Low Cap</v>
      </c>
    </row>
    <row r="51">
      <c r="A51" s="38" t="str">
        <f>IFERROR(__xludf.DUMMYFUNCTION("""COMPUTED_VALUE"""),"PI industries")</f>
        <v>PI industries</v>
      </c>
      <c r="B51" s="31">
        <f>IFERROR(__xludf.DUMMYFUNCTION("""COMPUTED_VALUE"""),49475.63474)</f>
        <v>49475.63474</v>
      </c>
      <c r="C51" s="32">
        <f>IFERROR(__xludf.DUMMYFUNCTION("""COMPUTED_VALUE"""),3262.0)</f>
        <v>3262</v>
      </c>
      <c r="D51" s="32">
        <f>IFERROR(__xludf.DUMMYFUNCTION("""COMPUTED_VALUE"""),48.33)</f>
        <v>48.33</v>
      </c>
      <c r="E51" s="32">
        <f>IFERROR(__xludf.DUMMYFUNCTION("""COMPUTED_VALUE"""),3698.45)</f>
        <v>3698.45</v>
      </c>
      <c r="F51" s="33">
        <f>IFERROR(__xludf.DUMMYFUNCTION("""COMPUTED_VALUE"""),0.11800889561843471)</f>
        <v>0.1180088956</v>
      </c>
      <c r="G51" s="32">
        <f>IFERROR(__xludf.DUMMYFUNCTION("""COMPUTED_VALUE"""),2333.55)</f>
        <v>2333.55</v>
      </c>
      <c r="H51" s="33">
        <f>IFERROR(__xludf.DUMMYFUNCTION("""COMPUTED_VALUE"""),0.39787019776735005)</f>
        <v>0.3978701978</v>
      </c>
      <c r="I51" s="32">
        <f>IFERROR(__xludf.DUMMYFUNCTION("""COMPUTED_VALUE"""),3292.65)</f>
        <v>3292.65</v>
      </c>
      <c r="J51" s="33">
        <f>IFERROR(__xludf.DUMMYFUNCTION("""COMPUTED_VALUE"""),-0.009308611604634592)</f>
        <v>-0.009308611605</v>
      </c>
      <c r="K51" s="34" t="str">
        <f t="array" ref="K51">if(VLOOKUP(A51,'NSEBSE Code'!$A$4:$C$219,2,0) &lt;&gt; "",VLOOKUP(A51,'NSEBSE Code'!$A$4:$C$219,2,0),"")</f>
        <v>Agrochemical</v>
      </c>
      <c r="L51" s="34" t="str">
        <f t="array" ref="L51">VLOOKUP(A51,'NSEBSE Code'!$A$4:$C$219,3,0)</f>
        <v>PIIND</v>
      </c>
      <c r="M51" s="35" t="str">
        <f t="array" ref="M51">if(F51 &gt; 30%, "Yes", "No")</f>
        <v>No</v>
      </c>
      <c r="N51" s="36" t="str">
        <f t="array" ref="N51">if(H51 &lt; 30%, "Yes", "No")</f>
        <v>No</v>
      </c>
      <c r="O51" s="37" t="str">
        <f t="array" ref="O51">if(AND(D51&lt;65,M51="No",N51="No"),"Good Stock","")</f>
        <v>Good Stock</v>
      </c>
      <c r="P51" s="37" t="str">
        <f t="array" ref="P51">ifs(B51/$B$2 &gt; 0.6,"Large Cap", B51/$B$2 &gt; 0.4, "Mid Cap",B51/$B$2&gt;0,"Low Cap")</f>
        <v>Low Cap</v>
      </c>
    </row>
    <row r="52">
      <c r="A52" s="38" t="str">
        <f>IFERROR(__xludf.DUMMYFUNCTION("""COMPUTED_VALUE"""),"Infoedge")</f>
        <v>Infoedge</v>
      </c>
      <c r="B52" s="31">
        <f>IFERROR(__xludf.DUMMYFUNCTION("""COMPUTED_VALUE"""),48135.11)</f>
        <v>48135.11</v>
      </c>
      <c r="C52" s="32">
        <f>IFERROR(__xludf.DUMMYFUNCTION("""COMPUTED_VALUE"""),3731.8)</f>
        <v>3731.8</v>
      </c>
      <c r="D52" s="32">
        <f>IFERROR(__xludf.DUMMYFUNCTION("""COMPUTED_VALUE"""),8.76)</f>
        <v>8.76</v>
      </c>
      <c r="E52" s="32">
        <f>IFERROR(__xludf.DUMMYFUNCTION("""COMPUTED_VALUE"""),5790.0)</f>
        <v>5790</v>
      </c>
      <c r="F52" s="33">
        <f>IFERROR(__xludf.DUMMYFUNCTION("""COMPUTED_VALUE"""),0.35547495682210706)</f>
        <v>0.3554749568</v>
      </c>
      <c r="G52" s="32">
        <f>IFERROR(__xludf.DUMMYFUNCTION("""COMPUTED_VALUE"""),3314.0)</f>
        <v>3314</v>
      </c>
      <c r="H52" s="33">
        <f>IFERROR(__xludf.DUMMYFUNCTION("""COMPUTED_VALUE"""),0.12607121303560656)</f>
        <v>0.126071213</v>
      </c>
      <c r="I52" s="32">
        <f>IFERROR(__xludf.DUMMYFUNCTION("""COMPUTED_VALUE"""),3719.3)</f>
        <v>3719.3</v>
      </c>
      <c r="J52" s="33">
        <f>IFERROR(__xludf.DUMMYFUNCTION("""COMPUTED_VALUE"""),0.0033608474712983625)</f>
        <v>0.003360847471</v>
      </c>
      <c r="K52" s="34" t="str">
        <f t="array" ref="K52">if(VLOOKUP(A52,'NSEBSE Code'!$A$4:$C$219,2,0) &lt;&gt; "",VLOOKUP(A52,'NSEBSE Code'!$A$4:$C$219,2,0),"")</f>
        <v>Technology</v>
      </c>
      <c r="L52" s="34" t="str">
        <f t="array" ref="L52">VLOOKUP(A52,'NSEBSE Code'!$A$4:$C$219,3,0)</f>
        <v>BOM:532777</v>
      </c>
      <c r="M52" s="35" t="str">
        <f t="array" ref="M52">if(F52 &gt; 30%, "Yes", "No")</f>
        <v>Yes</v>
      </c>
      <c r="N52" s="36" t="str">
        <f t="array" ref="N52">if(H52 &lt; 30%, "Yes", "No")</f>
        <v>Yes</v>
      </c>
      <c r="O52" s="37" t="str">
        <f t="array" ref="O52">if(AND(D52&lt;65,M52="No",N52="No"),"Good Stock","")</f>
        <v/>
      </c>
      <c r="P52" s="37" t="str">
        <f t="array" ref="P52">ifs(B52/$B$2 &gt; 0.6,"Large Cap", B52/$B$2 &gt; 0.4, "Mid Cap",B52/$B$2&gt;0,"Low Cap")</f>
        <v>Low Cap</v>
      </c>
    </row>
    <row r="53">
      <c r="A53" s="38" t="str">
        <f>IFERROR(__xludf.DUMMYFUNCTION("""COMPUTED_VALUE"""),"TVS")</f>
        <v>TVS</v>
      </c>
      <c r="B53" s="31">
        <f>IFERROR(__xludf.DUMMYFUNCTION("""COMPUTED_VALUE"""),47610.86)</f>
        <v>47610.86</v>
      </c>
      <c r="C53" s="32">
        <f>IFERROR(__xludf.DUMMYFUNCTION("""COMPUTED_VALUE"""),999.5)</f>
        <v>999.5</v>
      </c>
      <c r="D53" s="32">
        <f>IFERROR(__xludf.DUMMYFUNCTION("""COMPUTED_VALUE"""),39.03)</f>
        <v>39.03</v>
      </c>
      <c r="E53" s="32">
        <f>IFERROR(__xludf.DUMMYFUNCTION("""COMPUTED_VALUE"""),1177.0)</f>
        <v>1177</v>
      </c>
      <c r="F53" s="33">
        <f>IFERROR(__xludf.DUMMYFUNCTION("""COMPUTED_VALUE"""),0.1508071367884452)</f>
        <v>0.1508071368</v>
      </c>
      <c r="G53" s="32">
        <f>IFERROR(__xludf.DUMMYFUNCTION("""COMPUTED_VALUE"""),513.0)</f>
        <v>513</v>
      </c>
      <c r="H53" s="33">
        <f>IFERROR(__xludf.DUMMYFUNCTION("""COMPUTED_VALUE"""),0.9483430799220273)</f>
        <v>0.9483430799</v>
      </c>
      <c r="I53" s="32">
        <f>IFERROR(__xludf.DUMMYFUNCTION("""COMPUTED_VALUE"""),1005.2)</f>
        <v>1005.2</v>
      </c>
      <c r="J53" s="33">
        <f>IFERROR(__xludf.DUMMYFUNCTION("""COMPUTED_VALUE"""),-0.005670513330680507)</f>
        <v>-0.005670513331</v>
      </c>
      <c r="K53" s="34" t="str">
        <f t="array" ref="K53">if(VLOOKUP(A53,'NSEBSE Code'!$A$4:$C$219,2,0) &lt;&gt; "",VLOOKUP(A53,'NSEBSE Code'!$A$4:$C$219,2,0),"")</f>
        <v>Automobile</v>
      </c>
      <c r="L53" s="34" t="str">
        <f t="array" ref="L53">VLOOKUP(A53,'NSEBSE Code'!$A$4:$C$219,3,0)</f>
        <v>BOM:532343</v>
      </c>
      <c r="M53" s="35" t="str">
        <f t="array" ref="M53">if(F53 &gt; 30%, "Yes", "No")</f>
        <v>No</v>
      </c>
      <c r="N53" s="36" t="str">
        <f t="array" ref="N53">if(H53 &lt; 30%, "Yes", "No")</f>
        <v>No</v>
      </c>
      <c r="O53" s="37" t="str">
        <f t="array" ref="O53">if(AND(D53&lt;65,M53="No",N53="No"),"Good Stock","")</f>
        <v>Good Stock</v>
      </c>
      <c r="P53" s="37" t="str">
        <f t="array" ref="P53">ifs(B53/$B$2 &gt; 0.6,"Large Cap", B53/$B$2 &gt; 0.4, "Mid Cap",B53/$B$2&gt;0,"Low Cap")</f>
        <v>Low Cap</v>
      </c>
    </row>
    <row r="54">
      <c r="A54" s="38" t="str">
        <f>IFERROR(__xludf.DUMMYFUNCTION("""COMPUTED_VALUE"""),"Abbott India")</f>
        <v>Abbott India</v>
      </c>
      <c r="B54" s="31">
        <f>IFERROR(__xludf.DUMMYFUNCTION("""COMPUTED_VALUE"""),47348.12)</f>
        <v>47348.12</v>
      </c>
      <c r="C54" s="32">
        <f>IFERROR(__xludf.DUMMYFUNCTION("""COMPUTED_VALUE"""),22241.0)</f>
        <v>22241</v>
      </c>
      <c r="D54" s="32">
        <f>IFERROR(__xludf.DUMMYFUNCTION("""COMPUTED_VALUE"""),53.6)</f>
        <v>53.6</v>
      </c>
      <c r="E54" s="32">
        <f>IFERROR(__xludf.DUMMYFUNCTION("""COMPUTED_VALUE"""),22499.0)</f>
        <v>22499</v>
      </c>
      <c r="F54" s="33">
        <f>IFERROR(__xludf.DUMMYFUNCTION("""COMPUTED_VALUE"""),0.011467176318947508)</f>
        <v>0.01146717632</v>
      </c>
      <c r="G54" s="32">
        <f>IFERROR(__xludf.DUMMYFUNCTION("""COMPUTED_VALUE"""),15514.0)</f>
        <v>15514</v>
      </c>
      <c r="H54" s="33">
        <f>IFERROR(__xludf.DUMMYFUNCTION("""COMPUTED_VALUE"""),0.4336083537450045)</f>
        <v>0.4336083537</v>
      </c>
      <c r="I54" s="32">
        <f>IFERROR(__xludf.DUMMYFUNCTION("""COMPUTED_VALUE"""),22162.55)</f>
        <v>22162.55</v>
      </c>
      <c r="J54" s="33">
        <f>IFERROR(__xludf.DUMMYFUNCTION("""COMPUTED_VALUE"""),0.0035397551274560343)</f>
        <v>0.003539755127</v>
      </c>
      <c r="K54" s="34" t="str">
        <f t="array" ref="K54">if(VLOOKUP(A54,'NSEBSE Code'!$A$4:$C$219,2,0) &lt;&gt; "",VLOOKUP(A54,'NSEBSE Code'!$A$4:$C$219,2,0),"")</f>
        <v>Pharma</v>
      </c>
      <c r="L54" s="34" t="str">
        <f t="array" ref="L54">VLOOKUP(A54,'NSEBSE Code'!$A$4:$C$219,3,0)</f>
        <v>ABBOTINDIA</v>
      </c>
      <c r="M54" s="35" t="str">
        <f t="array" ref="M54">if(F54 &gt; 30%, "Yes", "No")</f>
        <v>No</v>
      </c>
      <c r="N54" s="36" t="str">
        <f t="array" ref="N54">if(H54 &lt; 30%, "Yes", "No")</f>
        <v>No</v>
      </c>
      <c r="O54" s="37" t="str">
        <f t="array" ref="O54">if(AND(D54&lt;65,M54="No",N54="No"),"Good Stock","")</f>
        <v>Good Stock</v>
      </c>
      <c r="P54" s="37" t="str">
        <f t="array" ref="P54">ifs(B54/$B$2 &gt; 0.6,"Large Cap", B54/$B$2 &gt; 0.4, "Mid Cap",B54/$B$2&gt;0,"Low Cap")</f>
        <v>Low Cap</v>
      </c>
    </row>
    <row r="55">
      <c r="A55" s="38" t="str">
        <f>IFERROR(__xludf.DUMMYFUNCTION("""COMPUTED_VALUE"""),"HDFC AMC")</f>
        <v>HDFC AMC</v>
      </c>
      <c r="B55" s="31">
        <f>IFERROR(__xludf.DUMMYFUNCTION("""COMPUTED_VALUE"""),45934.43)</f>
        <v>45934.43</v>
      </c>
      <c r="C55" s="32">
        <f>IFERROR(__xludf.DUMMYFUNCTION("""COMPUTED_VALUE"""),2148.0)</f>
        <v>2148</v>
      </c>
      <c r="D55" s="32">
        <f>IFERROR(__xludf.DUMMYFUNCTION("""COMPUTED_VALUE"""),33.2)</f>
        <v>33.2</v>
      </c>
      <c r="E55" s="32">
        <f>IFERROR(__xludf.DUMMYFUNCTION("""COMPUTED_VALUE"""),2507.35)</f>
        <v>2507.35</v>
      </c>
      <c r="F55" s="33">
        <f>IFERROR(__xludf.DUMMYFUNCTION("""COMPUTED_VALUE"""),0.14331864318902424)</f>
        <v>0.1433186432</v>
      </c>
      <c r="G55" s="32">
        <f>IFERROR(__xludf.DUMMYFUNCTION("""COMPUTED_VALUE"""),1690.0)</f>
        <v>1690</v>
      </c>
      <c r="H55" s="33">
        <f>IFERROR(__xludf.DUMMYFUNCTION("""COMPUTED_VALUE"""),0.2710059171597633)</f>
        <v>0.2710059172</v>
      </c>
      <c r="I55" s="32">
        <f>IFERROR(__xludf.DUMMYFUNCTION("""COMPUTED_VALUE"""),2150.75)</f>
        <v>2150.75</v>
      </c>
      <c r="J55" s="33">
        <f>IFERROR(__xludf.DUMMYFUNCTION("""COMPUTED_VALUE"""),-0.0012786237359060793)</f>
        <v>-0.001278623736</v>
      </c>
      <c r="K55" s="34" t="str">
        <f t="array" ref="K55">if(VLOOKUP(A55,'NSEBSE Code'!$A$4:$C$219,2,0) &lt;&gt; "",VLOOKUP(A55,'NSEBSE Code'!$A$4:$C$219,2,0),"")</f>
        <v>AMC</v>
      </c>
      <c r="L55" s="34" t="str">
        <f t="array" ref="L55">VLOOKUP(A55,'NSEBSE Code'!$A$4:$C$219,3,0)</f>
        <v>HDFCAMC</v>
      </c>
      <c r="M55" s="35" t="str">
        <f t="array" ref="M55">if(F55 &gt; 30%, "Yes", "No")</f>
        <v>No</v>
      </c>
      <c r="N55" s="36" t="str">
        <f t="array" ref="N55">if(H55 &lt; 30%, "Yes", "No")</f>
        <v>Yes</v>
      </c>
      <c r="O55" s="37" t="str">
        <f t="array" ref="O55">if(AND(D55&lt;65,M55="No",N55="No"),"Good Stock","")</f>
        <v/>
      </c>
      <c r="P55" s="37" t="str">
        <f t="array" ref="P55">ifs(B55/$B$2 &gt; 0.6,"Large Cap", B55/$B$2 &gt; 0.4, "Mid Cap",B55/$B$2&gt;0,"Low Cap")</f>
        <v>Low Cap</v>
      </c>
    </row>
    <row r="56">
      <c r="A56" s="38" t="str">
        <f>IFERROR(__xludf.DUMMYFUNCTION("""COMPUTED_VALUE"""),"Page Industries")</f>
        <v>Page Industries</v>
      </c>
      <c r="B56" s="31">
        <f>IFERROR(__xludf.DUMMYFUNCTION("""COMPUTED_VALUE"""),44894.62)</f>
        <v>44894.62</v>
      </c>
      <c r="C56" s="32">
        <f>IFERROR(__xludf.DUMMYFUNCTION("""COMPUTED_VALUE"""),40260.0)</f>
        <v>40260</v>
      </c>
      <c r="D56" s="32">
        <f>IFERROR(__xludf.DUMMYFUNCTION("""COMPUTED_VALUE"""),61.16)</f>
        <v>61.16</v>
      </c>
      <c r="E56" s="32">
        <f>IFERROR(__xludf.DUMMYFUNCTION("""COMPUTED_VALUE"""),54349.1)</f>
        <v>54349.1</v>
      </c>
      <c r="F56" s="33">
        <f>IFERROR(__xludf.DUMMYFUNCTION("""COMPUTED_VALUE"""),0.2592333635699579)</f>
        <v>0.2592333636</v>
      </c>
      <c r="G56" s="32">
        <f>IFERROR(__xludf.DUMMYFUNCTION("""COMPUTED_VALUE"""),37825.0)</f>
        <v>37825</v>
      </c>
      <c r="H56" s="33">
        <f>IFERROR(__xludf.DUMMYFUNCTION("""COMPUTED_VALUE"""),0.06437541308658294)</f>
        <v>0.06437541309</v>
      </c>
      <c r="I56" s="32">
        <f>IFERROR(__xludf.DUMMYFUNCTION("""COMPUTED_VALUE"""),40639.05)</f>
        <v>40639.05</v>
      </c>
      <c r="J56" s="33">
        <f>IFERROR(__xludf.DUMMYFUNCTION("""COMPUTED_VALUE"""),-0.009327235749851507)</f>
        <v>-0.00932723575</v>
      </c>
      <c r="K56" s="34" t="str">
        <f t="array" ref="K56">if(VLOOKUP(A56,'NSEBSE Code'!$A$4:$C$219,2,0) &lt;&gt; "",VLOOKUP(A56,'NSEBSE Code'!$A$4:$C$219,2,0),"")</f>
        <v>Textile</v>
      </c>
      <c r="L56" s="34" t="str">
        <f t="array" ref="L56">VLOOKUP(A56,'NSEBSE Code'!$A$4:$C$219,3,0)</f>
        <v>PAGEIND</v>
      </c>
      <c r="M56" s="35" t="str">
        <f t="array" ref="M56">if(F56 &gt; 30%, "Yes", "No")</f>
        <v>No</v>
      </c>
      <c r="N56" s="36" t="str">
        <f t="array" ref="N56">if(H56 &lt; 30%, "Yes", "No")</f>
        <v>Yes</v>
      </c>
      <c r="O56" s="37" t="str">
        <f t="array" ref="O56">if(AND(D56&lt;65,M56="No",N56="No"),"Good Stock","")</f>
        <v/>
      </c>
      <c r="P56" s="37" t="str">
        <f t="array" ref="P56">ifs(B56/$B$2 &gt; 0.6,"Large Cap", B56/$B$2 &gt; 0.4, "Mid Cap",B56/$B$2&gt;0,"Low Cap")</f>
        <v>Low Cap</v>
      </c>
    </row>
    <row r="57">
      <c r="A57" s="38" t="str">
        <f>IFERROR(__xludf.DUMMYFUNCTION("""COMPUTED_VALUE"""),"Balkrishna Industries")</f>
        <v>Balkrishna Industries</v>
      </c>
      <c r="B57" s="31">
        <f>IFERROR(__xludf.DUMMYFUNCTION("""COMPUTED_VALUE"""),43195.8704177)</f>
        <v>43195.87042</v>
      </c>
      <c r="C57" s="32">
        <f>IFERROR(__xludf.DUMMYFUNCTION("""COMPUTED_VALUE"""),2229.0)</f>
        <v>2229</v>
      </c>
      <c r="D57" s="32">
        <f>IFERROR(__xludf.DUMMYFUNCTION("""COMPUTED_VALUE"""),30.72)</f>
        <v>30.72</v>
      </c>
      <c r="E57" s="32">
        <f>IFERROR(__xludf.DUMMYFUNCTION("""COMPUTED_VALUE"""),2537.45)</f>
        <v>2537.45</v>
      </c>
      <c r="F57" s="33">
        <f>IFERROR(__xludf.DUMMYFUNCTION("""COMPUTED_VALUE"""),0.12155904549843341)</f>
        <v>0.1215590455</v>
      </c>
      <c r="G57" s="32">
        <f>IFERROR(__xludf.DUMMYFUNCTION("""COMPUTED_VALUE"""),1690.55)</f>
        <v>1690.55</v>
      </c>
      <c r="H57" s="33">
        <f>IFERROR(__xludf.DUMMYFUNCTION("""COMPUTED_VALUE"""),0.31850581171807996)</f>
        <v>0.3185058117</v>
      </c>
      <c r="I57" s="32">
        <f>IFERROR(__xludf.DUMMYFUNCTION("""COMPUTED_VALUE"""),2214.25)</f>
        <v>2214.25</v>
      </c>
      <c r="J57" s="33">
        <f>IFERROR(__xludf.DUMMYFUNCTION("""COMPUTED_VALUE"""),0.0066613977644800725)</f>
        <v>0.006661397764</v>
      </c>
      <c r="K57" s="34" t="str">
        <f t="array" ref="K57">if(VLOOKUP(A57,'NSEBSE Code'!$A$4:$C$219,2,0) &lt;&gt; "",VLOOKUP(A57,'NSEBSE Code'!$A$4:$C$219,2,0),"")</f>
        <v>Tyre</v>
      </c>
      <c r="L57" s="34" t="str">
        <f t="array" ref="L57">VLOOKUP(A57,'NSEBSE Code'!$A$4:$C$219,3,0)</f>
        <v>BALKRISIND</v>
      </c>
      <c r="M57" s="35" t="str">
        <f t="array" ref="M57">if(F57 &gt; 30%, "Yes", "No")</f>
        <v>No</v>
      </c>
      <c r="N57" s="36" t="str">
        <f t="array" ref="N57">if(H57 &lt; 30%, "Yes", "No")</f>
        <v>No</v>
      </c>
      <c r="O57" s="37" t="str">
        <f t="array" ref="O57">if(AND(D57&lt;65,M57="No",N57="No"),"Good Stock","")</f>
        <v>Good Stock</v>
      </c>
      <c r="P57" s="37" t="str">
        <f t="array" ref="P57">ifs(B57/$B$2 &gt; 0.6,"Large Cap", B57/$B$2 &gt; 0.4, "Mid Cap",B57/$B$2&gt;0,"Low Cap")</f>
        <v>Low Cap</v>
      </c>
    </row>
    <row r="58">
      <c r="A58" s="38" t="str">
        <f>IFERROR(__xludf.DUMMYFUNCTION("""COMPUTED_VALUE"""),"United Breweries")</f>
        <v>United Breweries</v>
      </c>
      <c r="B58" s="31">
        <f>IFERROR(__xludf.DUMMYFUNCTION("""COMPUTED_VALUE"""),42833.63)</f>
        <v>42833.63</v>
      </c>
      <c r="C58" s="32">
        <f>IFERROR(__xludf.DUMMYFUNCTION("""COMPUTED_VALUE"""),1625.0)</f>
        <v>1625</v>
      </c>
      <c r="D58" s="32">
        <f>IFERROR(__xludf.DUMMYFUNCTION("""COMPUTED_VALUE"""),78.07)</f>
        <v>78.07</v>
      </c>
      <c r="E58" s="32">
        <f>IFERROR(__xludf.DUMMYFUNCTION("""COMPUTED_VALUE"""),1806.45)</f>
        <v>1806.45</v>
      </c>
      <c r="F58" s="33">
        <f>IFERROR(__xludf.DUMMYFUNCTION("""COMPUTED_VALUE"""),0.10044562539787984)</f>
        <v>0.1004456254</v>
      </c>
      <c r="G58" s="32">
        <f>IFERROR(__xludf.DUMMYFUNCTION("""COMPUTED_VALUE"""),1274.5)</f>
        <v>1274.5</v>
      </c>
      <c r="H58" s="33">
        <f>IFERROR(__xludf.DUMMYFUNCTION("""COMPUTED_VALUE"""),0.2750098077677521)</f>
        <v>0.2750098078</v>
      </c>
      <c r="I58" s="32">
        <f>IFERROR(__xludf.DUMMYFUNCTION("""COMPUTED_VALUE"""),1644.15)</f>
        <v>1644.15</v>
      </c>
      <c r="J58" s="33">
        <f>IFERROR(__xludf.DUMMYFUNCTION("""COMPUTED_VALUE"""),-0.011647355776541125)</f>
        <v>-0.01164735578</v>
      </c>
      <c r="K58" s="34" t="str">
        <f t="array" ref="K58">if(VLOOKUP(A58,'NSEBSE Code'!$A$4:$C$219,2,0) &lt;&gt; "",VLOOKUP(A58,'NSEBSE Code'!$A$4:$C$219,2,0),"")</f>
        <v>Spirits</v>
      </c>
      <c r="L58" s="34" t="str">
        <f t="array" ref="L58">VLOOKUP(A58,'NSEBSE Code'!$A$4:$C$219,3,0)</f>
        <v>UBL</v>
      </c>
      <c r="M58" s="35" t="str">
        <f t="array" ref="M58">if(F58 &gt; 30%, "Yes", "No")</f>
        <v>No</v>
      </c>
      <c r="N58" s="36" t="str">
        <f t="array" ref="N58">if(H58 &lt; 30%, "Yes", "No")</f>
        <v>Yes</v>
      </c>
      <c r="O58" s="37" t="str">
        <f t="array" ref="O58">if(AND(D58&lt;65,M58="No",N58="No"),"Good Stock","")</f>
        <v/>
      </c>
      <c r="P58" s="37" t="str">
        <f t="array" ref="P58">ifs(B58/$B$2 &gt; 0.6,"Large Cap", B58/$B$2 &gt; 0.4, "Mid Cap",B58/$B$2&gt;0,"Low Cap")</f>
        <v>Low Cap</v>
      </c>
    </row>
    <row r="59">
      <c r="A59" s="38" t="str">
        <f>IFERROR(__xludf.DUMMYFUNCTION("""COMPUTED_VALUE"""),"Muthoot Finance")</f>
        <v>Muthoot Finance</v>
      </c>
      <c r="B59" s="31">
        <f>IFERROR(__xludf.DUMMYFUNCTION("""COMPUTED_VALUE"""),42774.19916)</f>
        <v>42774.19916</v>
      </c>
      <c r="C59" s="32">
        <f>IFERROR(__xludf.DUMMYFUNCTION("""COMPUTED_VALUE"""),1065.5)</f>
        <v>1065.5</v>
      </c>
      <c r="D59" s="32">
        <f>IFERROR(__xludf.DUMMYFUNCTION("""COMPUTED_VALUE"""),11.41)</f>
        <v>11.41</v>
      </c>
      <c r="E59" s="32">
        <f>IFERROR(__xludf.DUMMYFUNCTION("""COMPUTED_VALUE"""),1526.4)</f>
        <v>1526.4</v>
      </c>
      <c r="F59" s="33">
        <f>IFERROR(__xludf.DUMMYFUNCTION("""COMPUTED_VALUE"""),0.3019523060796646)</f>
        <v>0.3019523061</v>
      </c>
      <c r="G59" s="32">
        <f>IFERROR(__xludf.DUMMYFUNCTION("""COMPUTED_VALUE"""),950.2)</f>
        <v>950.2</v>
      </c>
      <c r="H59" s="33">
        <f>IFERROR(__xludf.DUMMYFUNCTION("""COMPUTED_VALUE"""),0.1213428751841717)</f>
        <v>0.1213428752</v>
      </c>
      <c r="I59" s="32">
        <f>IFERROR(__xludf.DUMMYFUNCTION("""COMPUTED_VALUE"""),1063.3)</f>
        <v>1063.3</v>
      </c>
      <c r="J59" s="33">
        <f>IFERROR(__xludf.DUMMYFUNCTION("""COMPUTED_VALUE"""),0.0020690303771278523)</f>
        <v>0.002069030377</v>
      </c>
      <c r="K59" s="34" t="str">
        <f t="array" ref="K59">if(VLOOKUP(A59,'NSEBSE Code'!$A$4:$C$219,2,0) &lt;&gt; "",VLOOKUP(A59,'NSEBSE Code'!$A$4:$C$219,2,0),"")</f>
        <v>NBFC</v>
      </c>
      <c r="L59" s="34" t="str">
        <f t="array" ref="L59">VLOOKUP(A59,'NSEBSE Code'!$A$4:$C$219,3,0)</f>
        <v>MUTHOOTFIN</v>
      </c>
      <c r="M59" s="35" t="str">
        <f t="array" ref="M59">if(F59 &gt; 30%, "Yes", "No")</f>
        <v>Yes</v>
      </c>
      <c r="N59" s="36" t="str">
        <f t="array" ref="N59">if(H59 &lt; 30%, "Yes", "No")</f>
        <v>Yes</v>
      </c>
      <c r="O59" s="37" t="str">
        <f t="array" ref="O59">if(AND(D59&lt;65,M59="No",N59="No"),"Good Stock","")</f>
        <v/>
      </c>
      <c r="P59" s="37" t="str">
        <f t="array" ref="P59">ifs(B59/$B$2 &gt; 0.6,"Large Cap", B59/$B$2 &gt; 0.4, "Mid Cap",B59/$B$2&gt;0,"Low Cap")</f>
        <v>Low Cap</v>
      </c>
    </row>
    <row r="60">
      <c r="A60" s="38" t="str">
        <f>IFERROR(__xludf.DUMMYFUNCTION("""COMPUTED_VALUE"""),"AU Small Finance")</f>
        <v>AU Small Finance</v>
      </c>
      <c r="B60" s="31">
        <f>IFERROR(__xludf.DUMMYFUNCTION("""COMPUTED_VALUE"""),41307.1280064)</f>
        <v>41307.12801</v>
      </c>
      <c r="C60" s="32">
        <f>IFERROR(__xludf.DUMMYFUNCTION("""COMPUTED_VALUE"""),619.0)</f>
        <v>619</v>
      </c>
      <c r="D60" s="32">
        <f>IFERROR(__xludf.DUMMYFUNCTION("""COMPUTED_VALUE"""),31.44)</f>
        <v>31.44</v>
      </c>
      <c r="E60" s="32">
        <f>IFERROR(__xludf.DUMMYFUNCTION("""COMPUTED_VALUE"""),732.98)</f>
        <v>732.98</v>
      </c>
      <c r="F60" s="33">
        <f>IFERROR(__xludf.DUMMYFUNCTION("""COMPUTED_VALUE"""),0.15550219651286531)</f>
        <v>0.1555021965</v>
      </c>
      <c r="G60" s="32">
        <f>IFERROR(__xludf.DUMMYFUNCTION("""COMPUTED_VALUE"""),525.0)</f>
        <v>525</v>
      </c>
      <c r="H60" s="33">
        <f>IFERROR(__xludf.DUMMYFUNCTION("""COMPUTED_VALUE"""),0.17904761904761904)</f>
        <v>0.179047619</v>
      </c>
      <c r="I60" s="32">
        <f>IFERROR(__xludf.DUMMYFUNCTION("""COMPUTED_VALUE"""),628.15)</f>
        <v>628.15</v>
      </c>
      <c r="J60" s="33">
        <f>IFERROR(__xludf.DUMMYFUNCTION("""COMPUTED_VALUE"""),-0.014566584414550629)</f>
        <v>-0.01456658441</v>
      </c>
      <c r="K60" s="34" t="str">
        <f t="array" ref="K60">if(VLOOKUP(A60,'NSEBSE Code'!$A$4:$C$219,2,0) &lt;&gt; "",VLOOKUP(A60,'NSEBSE Code'!$A$4:$C$219,2,0),"")</f>
        <v>Small Finance</v>
      </c>
      <c r="L60" s="34" t="str">
        <f t="array" ref="L60">VLOOKUP(A60,'NSEBSE Code'!$A$4:$C$219,3,0)</f>
        <v>AUBANK</v>
      </c>
      <c r="M60" s="35" t="str">
        <f t="array" ref="M60">if(F60 &gt; 30%, "Yes", "No")</f>
        <v>No</v>
      </c>
      <c r="N60" s="36" t="str">
        <f t="array" ref="N60">if(H60 &lt; 30%, "Yes", "No")</f>
        <v>Yes</v>
      </c>
      <c r="O60" s="37" t="str">
        <f t="array" ref="O60">if(AND(D60&lt;65,M60="No",N60="No"),"Good Stock","")</f>
        <v/>
      </c>
      <c r="P60" s="37" t="str">
        <f t="array" ref="P60">ifs(B60/$B$2 &gt; 0.6,"Large Cap", B60/$B$2 &gt; 0.4, "Mid Cap",B60/$B$2&gt;0,"Low Cap")</f>
        <v>Low Cap</v>
      </c>
    </row>
    <row r="61">
      <c r="A61" s="38" t="str">
        <f>IFERROR(__xludf.DUMMYFUNCTION("""COMPUTED_VALUE"""),"Astral Poly Technic")</f>
        <v>Astral Poly Technic</v>
      </c>
      <c r="B61" s="31">
        <f>IFERROR(__xludf.DUMMYFUNCTION("""COMPUTED_VALUE"""),41248.67)</f>
        <v>41248.67</v>
      </c>
      <c r="C61" s="32">
        <f>IFERROR(__xludf.DUMMYFUNCTION("""COMPUTED_VALUE"""),2046.5)</f>
        <v>2046.5</v>
      </c>
      <c r="D61" s="32">
        <f>IFERROR(__xludf.DUMMYFUNCTION("""COMPUTED_VALUE"""),96.08)</f>
        <v>96.08</v>
      </c>
      <c r="E61" s="32">
        <f>IFERROR(__xludf.DUMMYFUNCTION("""COMPUTED_VALUE"""),2654.8)</f>
        <v>2654.8</v>
      </c>
      <c r="F61" s="33">
        <f>IFERROR(__xludf.DUMMYFUNCTION("""COMPUTED_VALUE"""),0.22913213801416307)</f>
        <v>0.229132138</v>
      </c>
      <c r="G61" s="32">
        <f>IFERROR(__xludf.DUMMYFUNCTION("""COMPUTED_VALUE"""),1581.55)</f>
        <v>1581.55</v>
      </c>
      <c r="H61" s="33">
        <f>IFERROR(__xludf.DUMMYFUNCTION("""COMPUTED_VALUE"""),0.2939837501185546)</f>
        <v>0.2939837501</v>
      </c>
      <c r="I61" s="32">
        <f>IFERROR(__xludf.DUMMYFUNCTION("""COMPUTED_VALUE"""),2063.75)</f>
        <v>2063.75</v>
      </c>
      <c r="J61" s="33">
        <f>IFERROR(__xludf.DUMMYFUNCTION("""COMPUTED_VALUE"""),-0.008358570563294972)</f>
        <v>-0.008358570563</v>
      </c>
      <c r="K61" s="34" t="str">
        <f t="array" ref="K61">if(VLOOKUP(A61,'NSEBSE Code'!$A$4:$C$219,2,0) &lt;&gt; "",VLOOKUP(A61,'NSEBSE Code'!$A$4:$C$219,2,0),"")</f>
        <v>Piping</v>
      </c>
      <c r="L61" s="34" t="str">
        <f t="array" ref="L61">VLOOKUP(A61,'NSEBSE Code'!$A$4:$C$219,3,0)</f>
        <v>ASTRAL</v>
      </c>
      <c r="M61" s="35" t="str">
        <f t="array" ref="M61">if(F61 &gt; 30%, "Yes", "No")</f>
        <v>No</v>
      </c>
      <c r="N61" s="36" t="str">
        <f t="array" ref="N61">if(H61 &lt; 30%, "Yes", "No")</f>
        <v>Yes</v>
      </c>
      <c r="O61" s="37" t="str">
        <f t="array" ref="O61">if(AND(D61&lt;65,M61="No",N61="No"),"Good Stock","")</f>
        <v/>
      </c>
      <c r="P61" s="37" t="str">
        <f t="array" ref="P61">ifs(B61/$B$2 &gt; 0.6,"Large Cap", B61/$B$2 &gt; 0.4, "Mid Cap",B61/$B$2&gt;0,"Low Cap")</f>
        <v>Low Cap</v>
      </c>
    </row>
    <row r="62">
      <c r="A62" s="38" t="str">
        <f>IFERROR(__xludf.DUMMYFUNCTION("""COMPUTED_VALUE"""),"Polycab")</f>
        <v>Polycab</v>
      </c>
      <c r="B62" s="31">
        <f>IFERROR(__xludf.DUMMYFUNCTION("""COMPUTED_VALUE"""),39945.4022299)</f>
        <v>39945.40223</v>
      </c>
      <c r="C62" s="32">
        <f>IFERROR(__xludf.DUMMYFUNCTION("""COMPUTED_VALUE"""),2662.0)</f>
        <v>2662</v>
      </c>
      <c r="D62" s="32">
        <f>IFERROR(__xludf.DUMMYFUNCTION("""COMPUTED_VALUE"""),35.5)</f>
        <v>35.5</v>
      </c>
      <c r="E62" s="32">
        <f>IFERROR(__xludf.DUMMYFUNCTION("""COMPUTED_VALUE"""),3025.0)</f>
        <v>3025</v>
      </c>
      <c r="F62" s="33">
        <f>IFERROR(__xludf.DUMMYFUNCTION("""COMPUTED_VALUE"""),0.12)</f>
        <v>0.12</v>
      </c>
      <c r="G62" s="32">
        <f>IFERROR(__xludf.DUMMYFUNCTION("""COMPUTED_VALUE"""),2043.85)</f>
        <v>2043.85</v>
      </c>
      <c r="H62" s="33">
        <f>IFERROR(__xludf.DUMMYFUNCTION("""COMPUTED_VALUE"""),0.3024439171172053)</f>
        <v>0.3024439171</v>
      </c>
      <c r="I62" s="32">
        <f>IFERROR(__xludf.DUMMYFUNCTION("""COMPUTED_VALUE"""),2677.05)</f>
        <v>2677.05</v>
      </c>
      <c r="J62" s="33">
        <f>IFERROR(__xludf.DUMMYFUNCTION("""COMPUTED_VALUE"""),-0.005621859883080324)</f>
        <v>-0.005621859883</v>
      </c>
      <c r="K62" s="34" t="str">
        <f t="array" ref="K62">if(VLOOKUP(A62,'NSEBSE Code'!$A$4:$C$219,2,0) &lt;&gt; "",VLOOKUP(A62,'NSEBSE Code'!$A$4:$C$219,2,0),"")</f>
        <v>Consumer Electrical</v>
      </c>
      <c r="L62" s="34" t="str">
        <f t="array" ref="L62">VLOOKUP(A62,'NSEBSE Code'!$A$4:$C$219,3,0)</f>
        <v>POLYCAB</v>
      </c>
      <c r="M62" s="35" t="str">
        <f t="array" ref="M62">if(F62 &gt; 30%, "Yes", "No")</f>
        <v>No</v>
      </c>
      <c r="N62" s="36" t="str">
        <f t="array" ref="N62">if(H62 &lt; 30%, "Yes", "No")</f>
        <v>No</v>
      </c>
      <c r="O62" s="37" t="str">
        <f t="array" ref="O62">if(AND(D62&lt;65,M62="No",N62="No"),"Good Stock","")</f>
        <v>Good Stock</v>
      </c>
      <c r="P62" s="37" t="str">
        <f t="array" ref="P62">ifs(B62/$B$2 &gt; 0.6,"Large Cap", B62/$B$2 &gt; 0.4, "Mid Cap",B62/$B$2&gt;0,"Low Cap")</f>
        <v>Low Cap</v>
      </c>
    </row>
    <row r="63">
      <c r="A63" s="38" t="str">
        <f>IFERROR(__xludf.DUMMYFUNCTION("""COMPUTED_VALUE"""),"Solar Industries")</f>
        <v>Solar Industries</v>
      </c>
      <c r="B63" s="31">
        <f>IFERROR(__xludf.DUMMYFUNCTION("""COMPUTED_VALUE"""),38859.14)</f>
        <v>38859.14</v>
      </c>
      <c r="C63" s="32">
        <f>IFERROR(__xludf.DUMMYFUNCTION("""COMPUTED_VALUE"""),4338.0)</f>
        <v>4338</v>
      </c>
      <c r="D63" s="32">
        <f>IFERROR(__xludf.DUMMYFUNCTION("""COMPUTED_VALUE"""),63.66)</f>
        <v>63.66</v>
      </c>
      <c r="E63" s="32">
        <f>IFERROR(__xludf.DUMMYFUNCTION("""COMPUTED_VALUE"""),4535.95)</f>
        <v>4535.95</v>
      </c>
      <c r="F63" s="33">
        <f>IFERROR(__xludf.DUMMYFUNCTION("""COMPUTED_VALUE"""),0.043640251766443594)</f>
        <v>0.04364025177</v>
      </c>
      <c r="G63" s="32">
        <f>IFERROR(__xludf.DUMMYFUNCTION("""COMPUTED_VALUE"""),2160.05)</f>
        <v>2160.05</v>
      </c>
      <c r="H63" s="33">
        <f>IFERROR(__xludf.DUMMYFUNCTION("""COMPUTED_VALUE"""),1.0082868452119162)</f>
        <v>1.008286845</v>
      </c>
      <c r="I63" s="32">
        <f>IFERROR(__xludf.DUMMYFUNCTION("""COMPUTED_VALUE"""),4340.15)</f>
        <v>4340.15</v>
      </c>
      <c r="J63" s="33">
        <f>IFERROR(__xludf.DUMMYFUNCTION("""COMPUTED_VALUE"""),-4.953745838276641E-4)</f>
        <v>-0.0004953745838</v>
      </c>
      <c r="K63" s="34" t="str">
        <f t="array" ref="K63">if(VLOOKUP(A63,'NSEBSE Code'!$A$4:$C$219,2,0) &lt;&gt; "",VLOOKUP(A63,'NSEBSE Code'!$A$4:$C$219,2,0),"")</f>
        <v>Defence</v>
      </c>
      <c r="L63" s="34" t="str">
        <f t="array" ref="L63">VLOOKUP(A63,'NSEBSE Code'!$A$4:$C$219,3,0)</f>
        <v>BOM:532725</v>
      </c>
      <c r="M63" s="35" t="str">
        <f t="array" ref="M63">if(F63 &gt; 30%, "Yes", "No")</f>
        <v>No</v>
      </c>
      <c r="N63" s="36" t="str">
        <f t="array" ref="N63">if(H63 &lt; 30%, "Yes", "No")</f>
        <v>No</v>
      </c>
      <c r="O63" s="37" t="str">
        <f t="array" ref="O63">if(AND(D63&lt;65,M63="No",N63="No"),"Good Stock","")</f>
        <v>Good Stock</v>
      </c>
      <c r="P63" s="37" t="str">
        <f t="array" ref="P63">ifs(B63/$B$2 &gt; 0.6,"Large Cap", B63/$B$2 &gt; 0.4, "Mid Cap",B63/$B$2&gt;0,"Low Cap")</f>
        <v>Low Cap</v>
      </c>
    </row>
    <row r="64">
      <c r="A64" s="38" t="str">
        <f>IFERROR(__xludf.DUMMYFUNCTION("""COMPUTED_VALUE"""),"Tata Elxsi")</f>
        <v>Tata Elxsi</v>
      </c>
      <c r="B64" s="31">
        <f>IFERROR(__xludf.DUMMYFUNCTION("""COMPUTED_VALUE"""),38754.622389)</f>
        <v>38754.62239</v>
      </c>
      <c r="C64" s="32">
        <f>IFERROR(__xludf.DUMMYFUNCTION("""COMPUTED_VALUE"""),6223.0)</f>
        <v>6223</v>
      </c>
      <c r="D64" s="32">
        <f>IFERROR(__xludf.DUMMYFUNCTION("""COMPUTED_VALUE"""),57.85)</f>
        <v>57.85</v>
      </c>
      <c r="E64" s="32">
        <f>IFERROR(__xludf.DUMMYFUNCTION("""COMPUTED_VALUE"""),10760.0)</f>
        <v>10760</v>
      </c>
      <c r="F64" s="33">
        <f>IFERROR(__xludf.DUMMYFUNCTION("""COMPUTED_VALUE"""),0.4216542750929368)</f>
        <v>0.4216542751</v>
      </c>
      <c r="G64" s="32">
        <f>IFERROR(__xludf.DUMMYFUNCTION("""COMPUTED_VALUE"""),5709.05)</f>
        <v>5709.05</v>
      </c>
      <c r="H64" s="33">
        <f>IFERROR(__xludf.DUMMYFUNCTION("""COMPUTED_VALUE"""),0.09002373424650333)</f>
        <v>0.09002373425</v>
      </c>
      <c r="I64" s="32">
        <f>IFERROR(__xludf.DUMMYFUNCTION("""COMPUTED_VALUE"""),6196.65)</f>
        <v>6196.65</v>
      </c>
      <c r="J64" s="33">
        <f>IFERROR(__xludf.DUMMYFUNCTION("""COMPUTED_VALUE"""),0.004252297612419673)</f>
        <v>0.004252297612</v>
      </c>
      <c r="K64" s="34" t="str">
        <f t="array" ref="K64">if(VLOOKUP(A64,'NSEBSE Code'!$A$4:$C$219,2,0) &lt;&gt; "",VLOOKUP(A64,'NSEBSE Code'!$A$4:$C$219,2,0),"")</f>
        <v>IT-Software</v>
      </c>
      <c r="L64" s="34" t="str">
        <f t="array" ref="L64">VLOOKUP(A64,'NSEBSE Code'!$A$4:$C$219,3,0)</f>
        <v>TATAELXSI</v>
      </c>
      <c r="M64" s="35" t="str">
        <f t="array" ref="M64">if(F64 &gt; 30%, "Yes", "No")</f>
        <v>Yes</v>
      </c>
      <c r="N64" s="36" t="str">
        <f t="array" ref="N64">if(H64 &lt; 30%, "Yes", "No")</f>
        <v>Yes</v>
      </c>
      <c r="O64" s="37" t="str">
        <f t="array" ref="O64">if(AND(D64&lt;65,M64="No",N64="No"),"Good Stock","")</f>
        <v/>
      </c>
      <c r="P64" s="37" t="str">
        <f t="array" ref="P64">ifs(B64/$B$2 &gt; 0.6,"Large Cap", B64/$B$2 &gt; 0.4, "Mid Cap",B64/$B$2&gt;0,"Low Cap")</f>
        <v>Low Cap</v>
      </c>
    </row>
    <row r="65">
      <c r="A65" s="38" t="str">
        <f>IFERROR(__xludf.DUMMYFUNCTION("""COMPUTED_VALUE"""),"Mphasis")</f>
        <v>Mphasis</v>
      </c>
      <c r="B65" s="31">
        <f>IFERROR(__xludf.DUMMYFUNCTION("""COMPUTED_VALUE"""),38348.8672779)</f>
        <v>38348.86728</v>
      </c>
      <c r="C65" s="32">
        <f>IFERROR(__xludf.DUMMYFUNCTION("""COMPUTED_VALUE"""),2035.55)</f>
        <v>2035.55</v>
      </c>
      <c r="D65" s="32">
        <f>IFERROR(__xludf.DUMMYFUNCTION("""COMPUTED_VALUE"""),24.59)</f>
        <v>24.59</v>
      </c>
      <c r="E65" s="32">
        <f>IFERROR(__xludf.DUMMYFUNCTION("""COMPUTED_VALUE"""),3466.4)</f>
        <v>3466.4</v>
      </c>
      <c r="F65" s="33">
        <f>IFERROR(__xludf.DUMMYFUNCTION("""COMPUTED_VALUE"""),0.41277694438033696)</f>
        <v>0.4127769444</v>
      </c>
      <c r="G65" s="32">
        <f>IFERROR(__xludf.DUMMYFUNCTION("""COMPUTED_VALUE"""),1897.35)</f>
        <v>1897.35</v>
      </c>
      <c r="H65" s="33">
        <f>IFERROR(__xludf.DUMMYFUNCTION("""COMPUTED_VALUE"""),0.07283843255066279)</f>
        <v>0.07283843255</v>
      </c>
      <c r="I65" s="32">
        <f>IFERROR(__xludf.DUMMYFUNCTION("""COMPUTED_VALUE"""),2013.55)</f>
        <v>2013.55</v>
      </c>
      <c r="J65" s="33">
        <f>IFERROR(__xludf.DUMMYFUNCTION("""COMPUTED_VALUE"""),0.010925976509150505)</f>
        <v>0.01092597651</v>
      </c>
      <c r="K65" s="34" t="str">
        <f t="array" ref="K65">if(VLOOKUP(A65,'NSEBSE Code'!$A$4:$C$219,2,0) &lt;&gt; "",VLOOKUP(A65,'NSEBSE Code'!$A$4:$C$219,2,0),"")</f>
        <v>IT</v>
      </c>
      <c r="L65" s="34" t="str">
        <f t="array" ref="L65">VLOOKUP(A65,'NSEBSE Code'!$A$4:$C$219,3,0)</f>
        <v>BOM:526299</v>
      </c>
      <c r="M65" s="35" t="str">
        <f t="array" ref="M65">if(F65 &gt; 30%, "Yes", "No")</f>
        <v>Yes</v>
      </c>
      <c r="N65" s="36" t="str">
        <f t="array" ref="N65">if(H65 &lt; 30%, "Yes", "No")</f>
        <v>Yes</v>
      </c>
      <c r="O65" s="37" t="str">
        <f t="array" ref="O65">if(AND(D65&lt;65,M65="No",N65="No"),"Good Stock","")</f>
        <v/>
      </c>
      <c r="P65" s="37" t="str">
        <f t="array" ref="P65">ifs(B65/$B$2 &gt; 0.6,"Large Cap", B65/$B$2 &gt; 0.4, "Mid Cap",B65/$B$2&gt;0,"Low Cap")</f>
        <v>Low Cap</v>
      </c>
    </row>
    <row r="66">
      <c r="A66" s="38" t="str">
        <f>IFERROR(__xludf.DUMMYFUNCTION("""COMPUTED_VALUE"""),"Bandhan Bank")</f>
        <v>Bandhan Bank</v>
      </c>
      <c r="B66" s="31">
        <f>IFERROR(__xludf.DUMMYFUNCTION("""COMPUTED_VALUE"""),38329.8286)</f>
        <v>38329.8286</v>
      </c>
      <c r="C66" s="32">
        <f>IFERROR(__xludf.DUMMYFUNCTION("""COMPUTED_VALUE"""),237.75)</f>
        <v>237.75</v>
      </c>
      <c r="D66" s="32">
        <f>IFERROR(__xludf.DUMMYFUNCTION("""COMPUTED_VALUE"""),9.94)</f>
        <v>9.94</v>
      </c>
      <c r="E66" s="32">
        <f>IFERROR(__xludf.DUMMYFUNCTION("""COMPUTED_VALUE"""),349.55)</f>
        <v>349.55</v>
      </c>
      <c r="F66" s="33">
        <f>IFERROR(__xludf.DUMMYFUNCTION("""COMPUTED_VALUE"""),0.319839794020884)</f>
        <v>0.319839794</v>
      </c>
      <c r="G66" s="32">
        <f>IFERROR(__xludf.DUMMYFUNCTION("""COMPUTED_VALUE"""),209.55)</f>
        <v>209.55</v>
      </c>
      <c r="H66" s="33">
        <f>IFERROR(__xludf.DUMMYFUNCTION("""COMPUTED_VALUE"""),0.1345740873299928)</f>
        <v>0.1345740873</v>
      </c>
      <c r="I66" s="32">
        <f>IFERROR(__xludf.DUMMYFUNCTION("""COMPUTED_VALUE"""),239.25)</f>
        <v>239.25</v>
      </c>
      <c r="J66" s="33">
        <f>IFERROR(__xludf.DUMMYFUNCTION("""COMPUTED_VALUE"""),-0.006269592476489028)</f>
        <v>-0.006269592476</v>
      </c>
      <c r="K66" s="34" t="str">
        <f t="array" ref="K66">if(VLOOKUP(A66,'NSEBSE Code'!$A$4:$C$219,2,0) &lt;&gt; "",VLOOKUP(A66,'NSEBSE Code'!$A$4:$C$219,2,0),"")</f>
        <v>Bank</v>
      </c>
      <c r="L66" s="34" t="str">
        <f t="array" ref="L66">VLOOKUP(A66,'NSEBSE Code'!$A$4:$C$219,3,0)</f>
        <v>BANDHANBNK</v>
      </c>
      <c r="M66" s="35" t="str">
        <f t="array" ref="M66">if(F66 &gt; 30%, "Yes", "No")</f>
        <v>Yes</v>
      </c>
      <c r="N66" s="36" t="str">
        <f t="array" ref="N66">if(H66 &lt; 30%, "Yes", "No")</f>
        <v>Yes</v>
      </c>
      <c r="O66" s="37" t="str">
        <f t="array" ref="O66">if(AND(D66&lt;65,M66="No",N66="No"),"Good Stock","")</f>
        <v/>
      </c>
      <c r="P66" s="37" t="str">
        <f t="array" ref="P66">ifs(B66/$B$2 &gt; 0.6,"Large Cap", B66/$B$2 &gt; 0.4, "Mid Cap",B66/$B$2&gt;0,"Low Cap")</f>
        <v>Low Cap</v>
      </c>
    </row>
    <row r="67">
      <c r="A67" s="38" t="str">
        <f>IFERROR(__xludf.DUMMYFUNCTION("""COMPUTED_VALUE"""),"MRF")</f>
        <v>MRF</v>
      </c>
      <c r="B67" s="31">
        <f>IFERROR(__xludf.DUMMYFUNCTION("""COMPUTED_VALUE"""),38048.54)</f>
        <v>38048.54</v>
      </c>
      <c r="C67" s="32">
        <f>IFERROR(__xludf.DUMMYFUNCTION("""COMPUTED_VALUE"""),89700.0)</f>
        <v>89700</v>
      </c>
      <c r="D67" s="32">
        <f>IFERROR(__xludf.DUMMYFUNCTION("""COMPUTED_VALUE"""),66.97)</f>
        <v>66.97</v>
      </c>
      <c r="E67" s="32">
        <f>IFERROR(__xludf.DUMMYFUNCTION("""COMPUTED_VALUE"""),95954.35)</f>
        <v>95954.35</v>
      </c>
      <c r="F67" s="33">
        <f>IFERROR(__xludf.DUMMYFUNCTION("""COMPUTED_VALUE"""),0.06518047383990414)</f>
        <v>0.06518047384</v>
      </c>
      <c r="G67" s="32">
        <f>IFERROR(__xludf.DUMMYFUNCTION("""COMPUTED_VALUE"""),62944.5)</f>
        <v>62944.5</v>
      </c>
      <c r="H67" s="33">
        <f>IFERROR(__xludf.DUMMYFUNCTION("""COMPUTED_VALUE"""),0.42506493815980745)</f>
        <v>0.4250649382</v>
      </c>
      <c r="I67" s="32">
        <f>IFERROR(__xludf.DUMMYFUNCTION("""COMPUTED_VALUE"""),89498.35)</f>
        <v>89498.35</v>
      </c>
      <c r="J67" s="33">
        <f>IFERROR(__xludf.DUMMYFUNCTION("""COMPUTED_VALUE"""),0.00225311416355714)</f>
        <v>0.002253114164</v>
      </c>
      <c r="K67" s="34" t="str">
        <f t="array" ref="K67">if(VLOOKUP(A67,'NSEBSE Code'!$A$4:$C$219,2,0) &lt;&gt; "",VLOOKUP(A67,'NSEBSE Code'!$A$4:$C$219,2,0),"")</f>
        <v>Tyre</v>
      </c>
      <c r="L67" s="34" t="str">
        <f t="array" ref="L67">VLOOKUP(A67,'NSEBSE Code'!$A$4:$C$219,3,0)</f>
        <v>BOM:500290</v>
      </c>
      <c r="M67" s="35" t="str">
        <f t="array" ref="M67">if(F67 &gt; 30%, "Yes", "No")</f>
        <v>No</v>
      </c>
      <c r="N67" s="36" t="str">
        <f t="array" ref="N67">if(H67 &lt; 30%, "Yes", "No")</f>
        <v>No</v>
      </c>
      <c r="O67" s="37" t="str">
        <f t="array" ref="O67">if(AND(D67&lt;65,M67="No",N67="No"),"Good Stock","")</f>
        <v/>
      </c>
      <c r="P67" s="37" t="str">
        <f t="array" ref="P67">ifs(B67/$B$2 &gt; 0.6,"Large Cap", B67/$B$2 &gt; 0.4, "Mid Cap",B67/$B$2&gt;0,"Low Cap")</f>
        <v>Low Cap</v>
      </c>
    </row>
    <row r="68">
      <c r="A68" s="38" t="str">
        <f>IFERROR(__xludf.DUMMYFUNCTION("""COMPUTED_VALUE"""),"L&amp;T Technology")</f>
        <v>L&amp;T Technology</v>
      </c>
      <c r="B68" s="31">
        <f>IFERROR(__xludf.DUMMYFUNCTION("""COMPUTED_VALUE"""),36421.231513)</f>
        <v>36421.23151</v>
      </c>
      <c r="C68" s="32">
        <f>IFERROR(__xludf.DUMMYFUNCTION("""COMPUTED_VALUE"""),3446.95)</f>
        <v>3446.95</v>
      </c>
      <c r="D68" s="32">
        <f>IFERROR(__xludf.DUMMYFUNCTION("""COMPUTED_VALUE"""),34.13)</f>
        <v>34.13</v>
      </c>
      <c r="E68" s="32">
        <f>IFERROR(__xludf.DUMMYFUNCTION("""COMPUTED_VALUE"""),5714.0)</f>
        <v>5714</v>
      </c>
      <c r="F68" s="33">
        <f>IFERROR(__xludf.DUMMYFUNCTION("""COMPUTED_VALUE"""),0.396753587679384)</f>
        <v>0.3967535877</v>
      </c>
      <c r="G68" s="32">
        <f>IFERROR(__xludf.DUMMYFUNCTION("""COMPUTED_VALUE"""),2923.35)</f>
        <v>2923.35</v>
      </c>
      <c r="H68" s="33">
        <f>IFERROR(__xludf.DUMMYFUNCTION("""COMPUTED_VALUE"""),0.17910958318367623)</f>
        <v>0.1791095832</v>
      </c>
      <c r="I68" s="32">
        <f>IFERROR(__xludf.DUMMYFUNCTION("""COMPUTED_VALUE"""),3640.5)</f>
        <v>3640.5</v>
      </c>
      <c r="J68" s="33">
        <f>IFERROR(__xludf.DUMMYFUNCTION("""COMPUTED_VALUE"""),-0.05316577393215223)</f>
        <v>-0.05316577393</v>
      </c>
      <c r="K68" s="34" t="str">
        <f t="array" ref="K68">if(VLOOKUP(A68,'NSEBSE Code'!$A$4:$C$219,2,0) &lt;&gt; "",VLOOKUP(A68,'NSEBSE Code'!$A$4:$C$219,2,0),"")</f>
        <v>Technology</v>
      </c>
      <c r="L68" s="34" t="str">
        <f t="array" ref="L68">VLOOKUP(A68,'NSEBSE Code'!$A$4:$C$219,3,0)</f>
        <v>BOM:540115</v>
      </c>
      <c r="M68" s="35" t="str">
        <f t="array" ref="M68">if(F68 &gt; 30%, "Yes", "No")</f>
        <v>Yes</v>
      </c>
      <c r="N68" s="36" t="str">
        <f t="array" ref="N68">if(H68 &lt; 30%, "Yes", "No")</f>
        <v>Yes</v>
      </c>
      <c r="O68" s="37" t="str">
        <f t="array" ref="O68">if(AND(D68&lt;65,M68="No",N68="No"),"Good Stock","")</f>
        <v/>
      </c>
      <c r="P68" s="37" t="str">
        <f t="array" ref="P68">ifs(B68/$B$2 &gt; 0.6,"Large Cap", B68/$B$2 &gt; 0.4, "Mid Cap",B68/$B$2&gt;0,"Low Cap")</f>
        <v>Low Cap</v>
      </c>
    </row>
    <row r="69">
      <c r="A69" s="38" t="str">
        <f>IFERROR(__xludf.DUMMYFUNCTION("""COMPUTED_VALUE"""),"Honeywell Auto")</f>
        <v>Honeywell Auto</v>
      </c>
      <c r="B69" s="31">
        <f>IFERROR(__xludf.DUMMYFUNCTION("""COMPUTED_VALUE"""),35109.687833)</f>
        <v>35109.68783</v>
      </c>
      <c r="C69" s="32">
        <f>IFERROR(__xludf.DUMMYFUNCTION("""COMPUTED_VALUE"""),39710.0)</f>
        <v>39710</v>
      </c>
      <c r="D69" s="32">
        <f>IFERROR(__xludf.DUMMYFUNCTION("""COMPUTED_VALUE"""),91.84)</f>
        <v>91.84</v>
      </c>
      <c r="E69" s="32">
        <f>IFERROR(__xludf.DUMMYFUNCTION("""COMPUTED_VALUE"""),46397.7)</f>
        <v>46397.7</v>
      </c>
      <c r="F69" s="33">
        <f>IFERROR(__xludf.DUMMYFUNCTION("""COMPUTED_VALUE"""),0.14413861031904593)</f>
        <v>0.1441386103</v>
      </c>
      <c r="G69" s="32">
        <f>IFERROR(__xludf.DUMMYFUNCTION("""COMPUTED_VALUE"""),30185.35)</f>
        <v>30185.35</v>
      </c>
      <c r="H69" s="33">
        <f>IFERROR(__xludf.DUMMYFUNCTION("""COMPUTED_VALUE"""),0.3155388292665151)</f>
        <v>0.3155388293</v>
      </c>
      <c r="I69" s="32">
        <f>IFERROR(__xludf.DUMMYFUNCTION("""COMPUTED_VALUE"""),39677.1)</f>
        <v>39677.1</v>
      </c>
      <c r="J69" s="33">
        <f>IFERROR(__xludf.DUMMYFUNCTION("""COMPUTED_VALUE"""),8.291936658677538E-4)</f>
        <v>0.0008291936659</v>
      </c>
      <c r="K69" s="34" t="str">
        <f t="array" ref="K69">if(VLOOKUP(A69,'NSEBSE Code'!$A$4:$C$219,2,0) &lt;&gt; "",VLOOKUP(A69,'NSEBSE Code'!$A$4:$C$219,2,0),"")</f>
        <v>Automobile Ancilliary</v>
      </c>
      <c r="L69" s="34" t="str">
        <f t="array" ref="L69">VLOOKUP(A69,'NSEBSE Code'!$A$4:$C$219,3,0)</f>
        <v>HONAUT</v>
      </c>
      <c r="M69" s="35" t="str">
        <f t="array" ref="M69">if(F69 &gt; 30%, "Yes", "No")</f>
        <v>No</v>
      </c>
      <c r="N69" s="36" t="str">
        <f t="array" ref="N69">if(H69 &lt; 30%, "Yes", "No")</f>
        <v>No</v>
      </c>
      <c r="O69" s="37" t="str">
        <f t="array" ref="O69">if(AND(D69&lt;65,M69="No",N69="No"),"Good Stock","")</f>
        <v/>
      </c>
      <c r="P69" s="37" t="str">
        <f t="array" ref="P69">ifs(B69/$B$2 &gt; 0.6,"Large Cap", B69/$B$2 &gt; 0.4, "Mid Cap",B69/$B$2&gt;0,"Low Cap")</f>
        <v>Low Cap</v>
      </c>
    </row>
    <row r="70">
      <c r="A70" s="38" t="str">
        <f>IFERROR(__xludf.DUMMYFUNCTION("""COMPUTED_VALUE"""),"Jubilant FoodWorks")</f>
        <v>Jubilant FoodWorks</v>
      </c>
      <c r="B70" s="31">
        <f>IFERROR(__xludf.DUMMYFUNCTION("""COMPUTED_VALUE"""),32766.2786899)</f>
        <v>32766.27869</v>
      </c>
      <c r="C70" s="32">
        <f>IFERROR(__xludf.DUMMYFUNCTION("""COMPUTED_VALUE"""),498.25)</f>
        <v>498.25</v>
      </c>
      <c r="D70" s="32">
        <f>IFERROR(__xludf.DUMMYFUNCTION("""COMPUTED_VALUE"""),69.25)</f>
        <v>69.25</v>
      </c>
      <c r="E70" s="32">
        <f>IFERROR(__xludf.DUMMYFUNCTION("""COMPUTED_VALUE"""),806.4)</f>
        <v>806.4</v>
      </c>
      <c r="F70" s="33">
        <f>IFERROR(__xludf.DUMMYFUNCTION("""COMPUTED_VALUE"""),0.38213045634920634)</f>
        <v>0.3821304563</v>
      </c>
      <c r="G70" s="32">
        <f>IFERROR(__xludf.DUMMYFUNCTION("""COMPUTED_VALUE"""),451.2)</f>
        <v>451.2</v>
      </c>
      <c r="H70" s="33">
        <f>IFERROR(__xludf.DUMMYFUNCTION("""COMPUTED_VALUE"""),0.10427748226950358)</f>
        <v>0.1042774823</v>
      </c>
      <c r="I70" s="32">
        <f>IFERROR(__xludf.DUMMYFUNCTION("""COMPUTED_VALUE"""),488.55)</f>
        <v>488.55</v>
      </c>
      <c r="J70" s="33">
        <f>IFERROR(__xludf.DUMMYFUNCTION("""COMPUTED_VALUE"""),0.019854671988537485)</f>
        <v>0.01985467199</v>
      </c>
      <c r="K70" s="34" t="str">
        <f t="array" ref="K70">if(VLOOKUP(A70,'NSEBSE Code'!$A$4:$C$219,2,0) &lt;&gt; "",VLOOKUP(A70,'NSEBSE Code'!$A$4:$C$219,2,0),"")</f>
        <v>Food</v>
      </c>
      <c r="L70" s="34" t="str">
        <f t="array" ref="L70">VLOOKUP(A70,'NSEBSE Code'!$A$4:$C$219,3,0)</f>
        <v>JUBLFOOD</v>
      </c>
      <c r="M70" s="35" t="str">
        <f t="array" ref="M70">if(F70 &gt; 30%, "Yes", "No")</f>
        <v>Yes</v>
      </c>
      <c r="N70" s="36" t="str">
        <f t="array" ref="N70">if(H70 &lt; 30%, "Yes", "No")</f>
        <v>Yes</v>
      </c>
      <c r="O70" s="37" t="str">
        <f t="array" ref="O70">if(AND(D70&lt;65,M70="No",N70="No"),"Good Stock","")</f>
        <v/>
      </c>
      <c r="P70" s="37" t="str">
        <f t="array" ref="P70">ifs(B70/$B$2 &gt; 0.6,"Large Cap", B70/$B$2 &gt; 0.4, "Mid Cap",B70/$B$2&gt;0,"Low Cap")</f>
        <v>Low Cap</v>
      </c>
    </row>
    <row r="71">
      <c r="A71" s="38" t="str">
        <f>IFERROR(__xludf.DUMMYFUNCTION("""COMPUTED_VALUE"""),"APL Apollo")</f>
        <v>APL Apollo</v>
      </c>
      <c r="B71" s="31">
        <f>IFERROR(__xludf.DUMMYFUNCTION("""COMPUTED_VALUE"""),31477.05)</f>
        <v>31477.05</v>
      </c>
      <c r="C71" s="32">
        <f>IFERROR(__xludf.DUMMYFUNCTION("""COMPUTED_VALUE"""),1136.0)</f>
        <v>1136</v>
      </c>
      <c r="D71" s="32">
        <f>IFERROR(__xludf.DUMMYFUNCTION("""COMPUTED_VALUE"""),54.9)</f>
        <v>54.9</v>
      </c>
      <c r="E71" s="32">
        <f>IFERROR(__xludf.DUMMYFUNCTION("""COMPUTED_VALUE"""),1193.85)</f>
        <v>1193.85</v>
      </c>
      <c r="F71" s="33">
        <f>IFERROR(__xludf.DUMMYFUNCTION("""COMPUTED_VALUE"""),0.04845667378648902)</f>
        <v>0.04845667379</v>
      </c>
      <c r="G71" s="32">
        <f>IFERROR(__xludf.DUMMYFUNCTION("""COMPUTED_VALUE"""),771.0)</f>
        <v>771</v>
      </c>
      <c r="H71" s="33">
        <f>IFERROR(__xludf.DUMMYFUNCTION("""COMPUTED_VALUE"""),0.47341115434500647)</f>
        <v>0.4734111543</v>
      </c>
      <c r="I71" s="32">
        <f>IFERROR(__xludf.DUMMYFUNCTION("""COMPUTED_VALUE"""),1127.95)</f>
        <v>1127.95</v>
      </c>
      <c r="J71" s="33">
        <f>IFERROR(__xludf.DUMMYFUNCTION("""COMPUTED_VALUE"""),0.007136841172037727)</f>
        <v>0.007136841172</v>
      </c>
      <c r="K71" s="34" t="str">
        <f t="array" ref="K71">if(VLOOKUP(A71,'NSEBSE Code'!$A$4:$C$219,2,0) &lt;&gt; "",VLOOKUP(A71,'NSEBSE Code'!$A$4:$C$219,2,0),"")</f>
        <v>Steel</v>
      </c>
      <c r="L71" s="34" t="str">
        <f t="array" ref="L71">VLOOKUP(A71,'NSEBSE Code'!$A$4:$C$219,3,0)</f>
        <v>BOM:533758</v>
      </c>
      <c r="M71" s="35" t="str">
        <f t="array" ref="M71">if(F71 &gt; 30%, "Yes", "No")</f>
        <v>No</v>
      </c>
      <c r="N71" s="36" t="str">
        <f t="array" ref="N71">if(H71 &lt; 30%, "Yes", "No")</f>
        <v>No</v>
      </c>
      <c r="O71" s="37" t="str">
        <f t="array" ref="O71">if(AND(D71&lt;65,M71="No",N71="No"),"Good Stock","")</f>
        <v>Good Stock</v>
      </c>
      <c r="P71" s="37" t="str">
        <f t="array" ref="P71">ifs(B71/$B$2 &gt; 0.6,"Large Cap", B71/$B$2 &gt; 0.4, "Mid Cap",B71/$B$2&gt;0,"Low Cap")</f>
        <v>Low Cap</v>
      </c>
    </row>
    <row r="72">
      <c r="A72" s="38" t="str">
        <f>IFERROR(__xludf.DUMMYFUNCTION("""COMPUTED_VALUE"""),"Supreme Industries")</f>
        <v>Supreme Industries</v>
      </c>
      <c r="B72" s="31">
        <f>IFERROR(__xludf.DUMMYFUNCTION("""COMPUTED_VALUE"""),31369.92)</f>
        <v>31369.92</v>
      </c>
      <c r="C72" s="32">
        <f>IFERROR(__xludf.DUMMYFUNCTION("""COMPUTED_VALUE"""),2461.0)</f>
        <v>2461</v>
      </c>
      <c r="D72" s="32">
        <f>IFERROR(__xludf.DUMMYFUNCTION("""COMPUTED_VALUE"""),36.12)</f>
        <v>36.12</v>
      </c>
      <c r="E72" s="32">
        <f>IFERROR(__xludf.DUMMYFUNCTION("""COMPUTED_VALUE"""),2607.65)</f>
        <v>2607.65</v>
      </c>
      <c r="F72" s="33">
        <f>IFERROR(__xludf.DUMMYFUNCTION("""COMPUTED_VALUE"""),0.05623837554886587)</f>
        <v>0.05623837555</v>
      </c>
      <c r="G72" s="32">
        <f>IFERROR(__xludf.DUMMYFUNCTION("""COMPUTED_VALUE"""),1666.25)</f>
        <v>1666.25</v>
      </c>
      <c r="H72" s="33">
        <f>IFERROR(__xludf.DUMMYFUNCTION("""COMPUTED_VALUE"""),0.47696924231057763)</f>
        <v>0.4769692423</v>
      </c>
      <c r="I72" s="32">
        <f>IFERROR(__xludf.DUMMYFUNCTION("""COMPUTED_VALUE"""),2452.7)</f>
        <v>2452.7</v>
      </c>
      <c r="J72" s="33">
        <f>IFERROR(__xludf.DUMMYFUNCTION("""COMPUTED_VALUE"""),0.003384025767521581)</f>
        <v>0.003384025768</v>
      </c>
      <c r="K72" s="34" t="str">
        <f t="array" ref="K72">if(VLOOKUP(A72,'NSEBSE Code'!$A$4:$C$219,2,0) &lt;&gt; "",VLOOKUP(A72,'NSEBSE Code'!$A$4:$C$219,2,0),"")</f>
        <v>Plastic</v>
      </c>
      <c r="L72" s="34" t="str">
        <f t="array" ref="L72">VLOOKUP(A72,'NSEBSE Code'!$A$4:$C$219,3,0)</f>
        <v>SUPREMEIND</v>
      </c>
      <c r="M72" s="35" t="str">
        <f t="array" ref="M72">if(F72 &gt; 30%, "Yes", "No")</f>
        <v>No</v>
      </c>
      <c r="N72" s="36" t="str">
        <f t="array" ref="N72">if(H72 &lt; 30%, "Yes", "No")</f>
        <v>No</v>
      </c>
      <c r="O72" s="37" t="str">
        <f t="array" ref="O72">if(AND(D72&lt;65,M72="No",N72="No"),"Good Stock","")</f>
        <v>Good Stock</v>
      </c>
      <c r="P72" s="37" t="str">
        <f t="array" ref="P72">ifs(B72/$B$2 &gt; 0.6,"Large Cap", B72/$B$2 &gt; 0.4, "Mid Cap",B72/$B$2&gt;0,"Low Cap")</f>
        <v>Low Cap</v>
      </c>
    </row>
    <row r="73">
      <c r="A73" s="38" t="str">
        <f>IFERROR(__xludf.DUMMYFUNCTION("""COMPUTED_VALUE"""),"Gujarat Gas")</f>
        <v>Gujarat Gas</v>
      </c>
      <c r="B73" s="31">
        <f>IFERROR(__xludf.DUMMYFUNCTION("""COMPUTED_VALUE"""),31008.5328948)</f>
        <v>31008.53289</v>
      </c>
      <c r="C73" s="32">
        <f>IFERROR(__xludf.DUMMYFUNCTION("""COMPUTED_VALUE"""),450.2)</f>
        <v>450.2</v>
      </c>
      <c r="D73" s="32">
        <f>IFERROR(__xludf.DUMMYFUNCTION("""COMPUTED_VALUE"""),22.9)</f>
        <v>22.9</v>
      </c>
      <c r="E73" s="32">
        <f>IFERROR(__xludf.DUMMYFUNCTION("""COMPUTED_VALUE"""),721.8)</f>
        <v>721.8</v>
      </c>
      <c r="F73" s="33">
        <f>IFERROR(__xludf.DUMMYFUNCTION("""COMPUTED_VALUE"""),0.3762815184261568)</f>
        <v>0.3762815184</v>
      </c>
      <c r="G73" s="32">
        <f>IFERROR(__xludf.DUMMYFUNCTION("""COMPUTED_VALUE"""),403.55)</f>
        <v>403.55</v>
      </c>
      <c r="H73" s="33">
        <f>IFERROR(__xludf.DUMMYFUNCTION("""COMPUTED_VALUE"""),0.11559905835708084)</f>
        <v>0.1155990584</v>
      </c>
      <c r="I73" s="32">
        <f>IFERROR(__xludf.DUMMYFUNCTION("""COMPUTED_VALUE"""),466.8)</f>
        <v>466.8</v>
      </c>
      <c r="J73" s="33">
        <f>IFERROR(__xludf.DUMMYFUNCTION("""COMPUTED_VALUE"""),-0.03556126820908317)</f>
        <v>-0.03556126821</v>
      </c>
      <c r="K73" s="34" t="str">
        <f t="array" ref="K73">if(VLOOKUP(A73,'NSEBSE Code'!$A$4:$C$219,2,0) &lt;&gt; "",VLOOKUP(A73,'NSEBSE Code'!$A$4:$C$219,2,0),"")</f>
        <v>Utility</v>
      </c>
      <c r="L73" s="34" t="str">
        <f t="array" ref="L73">VLOOKUP(A73,'NSEBSE Code'!$A$4:$C$219,3,0)</f>
        <v>GUJGASLTD</v>
      </c>
      <c r="M73" s="35" t="str">
        <f t="array" ref="M73">if(F73 &gt; 30%, "Yes", "No")</f>
        <v>Yes</v>
      </c>
      <c r="N73" s="36" t="str">
        <f t="array" ref="N73">if(H73 &lt; 30%, "Yes", "No")</f>
        <v>Yes</v>
      </c>
      <c r="O73" s="37" t="str">
        <f t="array" ref="O73">if(AND(D73&lt;65,M73="No",N73="No"),"Good Stock","")</f>
        <v/>
      </c>
      <c r="P73" s="37" t="str">
        <f t="array" ref="P73">ifs(B73/$B$2 &gt; 0.6,"Large Cap", B73/$B$2 &gt; 0.4, "Mid Cap",B73/$B$2&gt;0,"Low Cap")</f>
        <v>Low Cap</v>
      </c>
    </row>
    <row r="74">
      <c r="A74" s="38" t="str">
        <f>IFERROR(__xludf.DUMMYFUNCTION("""COMPUTED_VALUE"""),"Gujarat Florochemical")</f>
        <v>Gujarat Florochemical</v>
      </c>
      <c r="B74" s="31">
        <f>IFERROR(__xludf.DUMMYFUNCTION("""COMPUTED_VALUE"""),30664.6275)</f>
        <v>30664.6275</v>
      </c>
      <c r="C74" s="32">
        <f>IFERROR(__xludf.DUMMYFUNCTION("""COMPUTED_VALUE"""),2793.5)</f>
        <v>2793.5</v>
      </c>
      <c r="D74" s="32">
        <f>IFERROR(__xludf.DUMMYFUNCTION("""COMPUTED_VALUE"""),28.23)</f>
        <v>28.23</v>
      </c>
      <c r="E74" s="32">
        <f>IFERROR(__xludf.DUMMYFUNCTION("""COMPUTED_VALUE"""),4172.95)</f>
        <v>4172.95</v>
      </c>
      <c r="F74" s="33">
        <f>IFERROR(__xludf.DUMMYFUNCTION("""COMPUTED_VALUE"""),0.33056950119220213)</f>
        <v>0.3305695012</v>
      </c>
      <c r="G74" s="32">
        <f>IFERROR(__xludf.DUMMYFUNCTION("""COMPUTED_VALUE"""),2105.15)</f>
        <v>2105.15</v>
      </c>
      <c r="H74" s="33">
        <f>IFERROR(__xludf.DUMMYFUNCTION("""COMPUTED_VALUE"""),0.32698382538061416)</f>
        <v>0.3269838254</v>
      </c>
      <c r="I74" s="32">
        <f>IFERROR(__xludf.DUMMYFUNCTION("""COMPUTED_VALUE"""),2841.6)</f>
        <v>2841.6</v>
      </c>
      <c r="J74" s="33">
        <f>IFERROR(__xludf.DUMMYFUNCTION("""COMPUTED_VALUE"""),-0.0169270833333333)</f>
        <v>-0.01692708333</v>
      </c>
      <c r="K74" s="34" t="str">
        <f t="array" ref="K74">if(VLOOKUP(A74,'NSEBSE Code'!$A$4:$C$219,2,0) &lt;&gt; "",VLOOKUP(A74,'NSEBSE Code'!$A$4:$C$219,2,0),"")</f>
        <v>chemical</v>
      </c>
      <c r="L74" s="34" t="str">
        <f t="array" ref="L74">VLOOKUP(A74,'NSEBSE Code'!$A$4:$C$219,3,0)</f>
        <v>BOM:542812</v>
      </c>
      <c r="M74" s="35" t="str">
        <f t="array" ref="M74">if(F74 &gt; 30%, "Yes", "No")</f>
        <v>Yes</v>
      </c>
      <c r="N74" s="36" t="str">
        <f t="array" ref="N74">if(H74 &lt; 30%, "Yes", "No")</f>
        <v>No</v>
      </c>
      <c r="O74" s="37" t="str">
        <f t="array" ref="O74">if(AND(D74&lt;65,M74="No",N74="No"),"Good Stock","")</f>
        <v/>
      </c>
      <c r="P74" s="37" t="str">
        <f t="array" ref="P74">ifs(B74/$B$2 &gt; 0.6,"Large Cap", B74/$B$2 &gt; 0.4, "Mid Cap",B74/$B$2&gt;0,"Low Cap")</f>
        <v>Low Cap</v>
      </c>
    </row>
    <row r="75">
      <c r="A75" s="38" t="str">
        <f>IFERROR(__xludf.DUMMYFUNCTION("""COMPUTED_VALUE"""),"Persistent System")</f>
        <v>Persistent System</v>
      </c>
      <c r="B75" s="31">
        <f>IFERROR(__xludf.DUMMYFUNCTION("""COMPUTED_VALUE"""),30617.09)</f>
        <v>30617.09</v>
      </c>
      <c r="C75" s="32">
        <f>IFERROR(__xludf.DUMMYFUNCTION("""COMPUTED_VALUE"""),4009.0)</f>
        <v>4009</v>
      </c>
      <c r="D75" s="32">
        <f>IFERROR(__xludf.DUMMYFUNCTION("""COMPUTED_VALUE"""),37.59)</f>
        <v>37.59</v>
      </c>
      <c r="E75" s="32">
        <f>IFERROR(__xludf.DUMMYFUNCTION("""COMPUTED_VALUE"""),4954.0)</f>
        <v>4954</v>
      </c>
      <c r="F75" s="33">
        <f>IFERROR(__xludf.DUMMYFUNCTION("""COMPUTED_VALUE"""),0.19075494549858701)</f>
        <v>0.1907549455</v>
      </c>
      <c r="G75" s="32">
        <f>IFERROR(__xludf.DUMMYFUNCTION("""COMPUTED_VALUE"""),3092.05)</f>
        <v>3092.05</v>
      </c>
      <c r="H75" s="33">
        <f>IFERROR(__xludf.DUMMYFUNCTION("""COMPUTED_VALUE"""),0.296550831972316)</f>
        <v>0.296550832</v>
      </c>
      <c r="I75" s="32">
        <f>IFERROR(__xludf.DUMMYFUNCTION("""COMPUTED_VALUE"""),3978.2)</f>
        <v>3978.2</v>
      </c>
      <c r="J75" s="33">
        <f>IFERROR(__xludf.DUMMYFUNCTION("""COMPUTED_VALUE"""),0.007742194962545921)</f>
        <v>0.007742194963</v>
      </c>
      <c r="K75" s="34" t="str">
        <f t="array" ref="K75">if(VLOOKUP(A75,'NSEBSE Code'!$A$4:$C$219,2,0) &lt;&gt; "",VLOOKUP(A75,'NSEBSE Code'!$A$4:$C$219,2,0),"")</f>
        <v>IT</v>
      </c>
      <c r="L75" s="34" t="str">
        <f t="array" ref="L75">VLOOKUP(A75,'NSEBSE Code'!$A$4:$C$219,3,0)</f>
        <v>PERSISTENT</v>
      </c>
      <c r="M75" s="35" t="str">
        <f t="array" ref="M75">if(F75 &gt; 30%, "Yes", "No")</f>
        <v>No</v>
      </c>
      <c r="N75" s="36" t="str">
        <f t="array" ref="N75">if(H75 &lt; 30%, "Yes", "No")</f>
        <v>Yes</v>
      </c>
      <c r="O75" s="37" t="str">
        <f t="array" ref="O75">if(AND(D75&lt;65,M75="No",N75="No"),"Good Stock","")</f>
        <v/>
      </c>
      <c r="P75" s="37" t="str">
        <f t="array" ref="P75">ifs(B75/$B$2 &gt; 0.6,"Large Cap", B75/$B$2 &gt; 0.4, "Mid Cap",B75/$B$2&gt;0,"Low Cap")</f>
        <v>Low Cap</v>
      </c>
    </row>
    <row r="76">
      <c r="A76" s="38" t="str">
        <f>IFERROR(__xludf.DUMMYFUNCTION("""COMPUTED_VALUE"""),"Federal Bank")</f>
        <v>Federal Bank</v>
      </c>
      <c r="B76" s="31">
        <f>IFERROR(__xludf.DUMMYFUNCTION("""COMPUTED_VALUE"""),29278.4915846)</f>
        <v>29278.49158</v>
      </c>
      <c r="C76" s="32">
        <f>IFERROR(__xludf.DUMMYFUNCTION("""COMPUTED_VALUE"""),138.45)</f>
        <v>138.45</v>
      </c>
      <c r="D76" s="32">
        <f>IFERROR(__xludf.DUMMYFUNCTION("""COMPUTED_VALUE"""),11.78)</f>
        <v>11.78</v>
      </c>
      <c r="E76" s="32">
        <f>IFERROR(__xludf.DUMMYFUNCTION("""COMPUTED_VALUE"""),142.25)</f>
        <v>142.25</v>
      </c>
      <c r="F76" s="33">
        <f>IFERROR(__xludf.DUMMYFUNCTION("""COMPUTED_VALUE"""),0.0267135325131811)</f>
        <v>0.02671353251</v>
      </c>
      <c r="G76" s="32">
        <f>IFERROR(__xludf.DUMMYFUNCTION("""COMPUTED_VALUE"""),82.5)</f>
        <v>82.5</v>
      </c>
      <c r="H76" s="33">
        <f>IFERROR(__xludf.DUMMYFUNCTION("""COMPUTED_VALUE"""),0.678181818181818)</f>
        <v>0.6781818182</v>
      </c>
      <c r="I76" s="32">
        <f>IFERROR(__xludf.DUMMYFUNCTION("""COMPUTED_VALUE"""),135.05)</f>
        <v>135.05</v>
      </c>
      <c r="J76" s="33">
        <f>IFERROR(__xludf.DUMMYFUNCTION("""COMPUTED_VALUE"""),0.025175860792298978)</f>
        <v>0.02517586079</v>
      </c>
      <c r="K76" s="34" t="str">
        <f t="array" ref="K76">if(VLOOKUP(A76,'NSEBSE Code'!$A$4:$C$219,2,0) &lt;&gt; "",VLOOKUP(A76,'NSEBSE Code'!$A$4:$C$219,2,0),"")</f>
        <v>Bank</v>
      </c>
      <c r="L76" s="34" t="str">
        <f t="array" ref="L76">VLOOKUP(A76,'NSEBSE Code'!$A$4:$C$219,3,0)</f>
        <v>BOM:500469</v>
      </c>
      <c r="M76" s="35" t="str">
        <f t="array" ref="M76">if(F76 &gt; 30%, "Yes", "No")</f>
        <v>No</v>
      </c>
      <c r="N76" s="36" t="str">
        <f t="array" ref="N76">if(H76 &lt; 30%, "Yes", "No")</f>
        <v>No</v>
      </c>
      <c r="O76" s="37" t="str">
        <f t="array" ref="O76">if(AND(D76&lt;65,M76="No",N76="No"),"Good Stock","")</f>
        <v>Good Stock</v>
      </c>
      <c r="P76" s="37" t="str">
        <f t="array" ref="P76">ifs(B76/$B$2 &gt; 0.6,"Large Cap", B76/$B$2 &gt; 0.4, "Mid Cap",B76/$B$2&gt;0,"Low Cap")</f>
        <v>Low Cap</v>
      </c>
    </row>
    <row r="77">
      <c r="A77" s="38" t="str">
        <f>IFERROR(__xludf.DUMMYFUNCTION("""COMPUTED_VALUE"""),"Indraprastha Gas")</f>
        <v>Indraprastha Gas</v>
      </c>
      <c r="B77" s="31">
        <f>IFERROR(__xludf.DUMMYFUNCTION("""COMPUTED_VALUE"""),29162.03)</f>
        <v>29162.03</v>
      </c>
      <c r="C77" s="32">
        <f>IFERROR(__xludf.DUMMYFUNCTION("""COMPUTED_VALUE"""),416.85)</f>
        <v>416.85</v>
      </c>
      <c r="D77" s="32">
        <f>IFERROR(__xludf.DUMMYFUNCTION("""COMPUTED_VALUE"""),17.03)</f>
        <v>17.03</v>
      </c>
      <c r="E77" s="32">
        <f>IFERROR(__xludf.DUMMYFUNCTION("""COMPUTED_VALUE"""),466.65)</f>
        <v>466.65</v>
      </c>
      <c r="F77" s="33">
        <f>IFERROR(__xludf.DUMMYFUNCTION("""COMPUTED_VALUE"""),0.10671809707489543)</f>
        <v>0.1067180971</v>
      </c>
      <c r="G77" s="32">
        <f>IFERROR(__xludf.DUMMYFUNCTION("""COMPUTED_VALUE"""),322.1)</f>
        <v>322.1</v>
      </c>
      <c r="H77" s="33">
        <f>IFERROR(__xludf.DUMMYFUNCTION("""COMPUTED_VALUE"""),0.2941633033219497)</f>
        <v>0.2941633033</v>
      </c>
      <c r="I77" s="32">
        <f>IFERROR(__xludf.DUMMYFUNCTION("""COMPUTED_VALUE"""),418.6)</f>
        <v>418.6</v>
      </c>
      <c r="J77" s="33">
        <f>IFERROR(__xludf.DUMMYFUNCTION("""COMPUTED_VALUE"""),-0.004180602006688963)</f>
        <v>-0.004180602007</v>
      </c>
      <c r="K77" s="34" t="str">
        <f t="array" ref="K77">if(VLOOKUP(A77,'NSEBSE Code'!$A$4:$C$219,2,0) &lt;&gt; "",VLOOKUP(A77,'NSEBSE Code'!$A$4:$C$219,2,0),"")</f>
        <v>Utility</v>
      </c>
      <c r="L77" s="34" t="str">
        <f t="array" ref="L77">VLOOKUP(A77,'NSEBSE Code'!$A$4:$C$219,3,0)</f>
        <v>BOM:532514</v>
      </c>
      <c r="M77" s="35" t="str">
        <f t="array" ref="M77">if(F77 &gt; 30%, "Yes", "No")</f>
        <v>No</v>
      </c>
      <c r="N77" s="36" t="str">
        <f t="array" ref="N77">if(H77 &lt; 30%, "Yes", "No")</f>
        <v>Yes</v>
      </c>
      <c r="O77" s="37" t="str">
        <f t="array" ref="O77">if(AND(D77&lt;65,M77="No",N77="No"),"Good Stock","")</f>
        <v/>
      </c>
      <c r="P77" s="37" t="str">
        <f t="array" ref="P77">ifs(B77/$B$2 &gt; 0.6,"Large Cap", B77/$B$2 &gt; 0.4, "Mid Cap",B77/$B$2&gt;0,"Low Cap")</f>
        <v>Low Cap</v>
      </c>
    </row>
    <row r="78">
      <c r="A78" s="38" t="str">
        <f>IFERROR(__xludf.DUMMYFUNCTION("""COMPUTED_VALUE"""),"Max Financials")</f>
        <v>Max Financials</v>
      </c>
      <c r="B78" s="31">
        <f>IFERROR(__xludf.DUMMYFUNCTION("""COMPUTED_VALUE"""),27569.4122639)</f>
        <v>27569.41226</v>
      </c>
      <c r="C78" s="32">
        <f>IFERROR(__xludf.DUMMYFUNCTION("""COMPUTED_VALUE"""),799.4)</f>
        <v>799.4</v>
      </c>
      <c r="D78" s="32">
        <f>IFERROR(__xludf.DUMMYFUNCTION("""COMPUTED_VALUE"""),88.04)</f>
        <v>88.04</v>
      </c>
      <c r="E78" s="32">
        <f>IFERROR(__xludf.DUMMYFUNCTION("""COMPUTED_VALUE"""),1065.0)</f>
        <v>1065</v>
      </c>
      <c r="F78" s="33">
        <f>IFERROR(__xludf.DUMMYFUNCTION("""COMPUTED_VALUE"""),0.24938967136150236)</f>
        <v>0.2493896714</v>
      </c>
      <c r="G78" s="32">
        <f>IFERROR(__xludf.DUMMYFUNCTION("""COMPUTED_VALUE"""),627.8)</f>
        <v>627.8</v>
      </c>
      <c r="H78" s="33">
        <f>IFERROR(__xludf.DUMMYFUNCTION("""COMPUTED_VALUE"""),0.2733354571519593)</f>
        <v>0.2733354572</v>
      </c>
      <c r="I78" s="32">
        <f>IFERROR(__xludf.DUMMYFUNCTION("""COMPUTED_VALUE"""),796.25)</f>
        <v>796.25</v>
      </c>
      <c r="J78" s="33">
        <f>IFERROR(__xludf.DUMMYFUNCTION("""COMPUTED_VALUE"""),0.003956043956043927)</f>
        <v>0.003956043956</v>
      </c>
      <c r="K78" s="34" t="str">
        <f t="array" ref="K78">if(VLOOKUP(A78,'NSEBSE Code'!$A$4:$C$219,2,0) &lt;&gt; "",VLOOKUP(A78,'NSEBSE Code'!$A$4:$C$219,2,0),"")</f>
        <v>Financial Servcies</v>
      </c>
      <c r="L78" s="34" t="str">
        <f t="array" ref="L78">VLOOKUP(A78,'NSEBSE Code'!$A$4:$C$219,3,0)</f>
        <v>BOM:500271</v>
      </c>
      <c r="M78" s="35" t="str">
        <f t="array" ref="M78">if(F78 &gt; 30%, "Yes", "No")</f>
        <v>No</v>
      </c>
      <c r="N78" s="36" t="str">
        <f t="array" ref="N78">if(H78 &lt; 30%, "Yes", "No")</f>
        <v>Yes</v>
      </c>
      <c r="O78" s="37" t="str">
        <f t="array" ref="O78">if(AND(D78&lt;65,M78="No",N78="No"),"Good Stock","")</f>
        <v/>
      </c>
      <c r="P78" s="37" t="str">
        <f t="array" ref="P78">ifs(B78/$B$2 &gt; 0.6,"Large Cap", B78/$B$2 &gt; 0.4, "Mid Cap",B78/$B$2&gt;0,"Low Cap")</f>
        <v>Low Cap</v>
      </c>
    </row>
    <row r="79">
      <c r="A79" s="38" t="str">
        <f>IFERROR(__xludf.DUMMYFUNCTION("""COMPUTED_VALUE"""),"Voltas")</f>
        <v>Voltas</v>
      </c>
      <c r="B79" s="31">
        <f>IFERROR(__xludf.DUMMYFUNCTION("""COMPUTED_VALUE"""),26702.2965179)</f>
        <v>26702.29652</v>
      </c>
      <c r="C79" s="32">
        <f>IFERROR(__xludf.DUMMYFUNCTION("""COMPUTED_VALUE"""),805.9)</f>
        <v>805.9</v>
      </c>
      <c r="D79" s="32">
        <f>IFERROR(__xludf.DUMMYFUNCTION("""COMPUTED_VALUE"""),70.1)</f>
        <v>70.1</v>
      </c>
      <c r="E79" s="32">
        <f>IFERROR(__xludf.DUMMYFUNCTION("""COMPUTED_VALUE"""),1347.75)</f>
        <v>1347.75</v>
      </c>
      <c r="F79" s="33">
        <f>IFERROR(__xludf.DUMMYFUNCTION("""COMPUTED_VALUE"""),0.4020404377666481)</f>
        <v>0.4020404378</v>
      </c>
      <c r="G79" s="32">
        <f>IFERROR(__xludf.DUMMYFUNCTION("""COMPUTED_VALUE"""),770.55)</f>
        <v>770.55</v>
      </c>
      <c r="H79" s="33">
        <f>IFERROR(__xludf.DUMMYFUNCTION("""COMPUTED_VALUE"""),0.04587632210758552)</f>
        <v>0.04587632211</v>
      </c>
      <c r="I79" s="32">
        <f>IFERROR(__xludf.DUMMYFUNCTION("""COMPUTED_VALUE"""),808.15)</f>
        <v>808.15</v>
      </c>
      <c r="J79" s="33">
        <f>IFERROR(__xludf.DUMMYFUNCTION("""COMPUTED_VALUE"""),-0.002784136608302914)</f>
        <v>-0.002784136608</v>
      </c>
      <c r="K79" s="34" t="str">
        <f t="array" ref="K79">if(VLOOKUP(A79,'NSEBSE Code'!$A$4:$C$219,2,0) &lt;&gt; "",VLOOKUP(A79,'NSEBSE Code'!$A$4:$C$219,2,0),"")</f>
        <v>Consumer Electrical</v>
      </c>
      <c r="L79" s="34" t="str">
        <f t="array" ref="L79">VLOOKUP(A79,'NSEBSE Code'!$A$4:$C$219,3,0)</f>
        <v>BOM:500575</v>
      </c>
      <c r="M79" s="35" t="str">
        <f t="array" ref="M79">if(F79 &gt; 30%, "Yes", "No")</f>
        <v>Yes</v>
      </c>
      <c r="N79" s="36" t="str">
        <f t="array" ref="N79">if(H79 &lt; 30%, "Yes", "No")</f>
        <v>Yes</v>
      </c>
      <c r="O79" s="37" t="str">
        <f t="array" ref="O79">if(AND(D79&lt;65,M79="No",N79="No"),"Good Stock","")</f>
        <v/>
      </c>
      <c r="P79" s="37" t="str">
        <f t="array" ref="P79">ifs(B79/$B$2 &gt; 0.6,"Large Cap", B79/$B$2 &gt; 0.4, "Mid Cap",B79/$B$2&gt;0,"Low Cap")</f>
        <v>Low Cap</v>
      </c>
    </row>
    <row r="80">
      <c r="A80" s="38" t="str">
        <f>IFERROR(__xludf.DUMMYFUNCTION("""COMPUTED_VALUE"""),"Deepak Nitrite")</f>
        <v>Deepak Nitrite</v>
      </c>
      <c r="B80" s="31">
        <f>IFERROR(__xludf.DUMMYFUNCTION("""COMPUTED_VALUE"""),26525.721745)</f>
        <v>26525.72175</v>
      </c>
      <c r="C80" s="32">
        <f>IFERROR(__xludf.DUMMYFUNCTION("""COMPUTED_VALUE"""),1944.05)</f>
        <v>1944.05</v>
      </c>
      <c r="D80" s="32">
        <f>IFERROR(__xludf.DUMMYFUNCTION("""COMPUTED_VALUE"""),28.86)</f>
        <v>28.86</v>
      </c>
      <c r="E80" s="32">
        <f>IFERROR(__xludf.DUMMYFUNCTION("""COMPUTED_VALUE"""),2690.05)</f>
        <v>2690.05</v>
      </c>
      <c r="F80" s="33">
        <f>IFERROR(__xludf.DUMMYFUNCTION("""COMPUTED_VALUE"""),0.27731826545974986)</f>
        <v>0.2773182655</v>
      </c>
      <c r="G80" s="32">
        <f>IFERROR(__xludf.DUMMYFUNCTION("""COMPUTED_VALUE"""),1681.15)</f>
        <v>1681.15</v>
      </c>
      <c r="H80" s="33">
        <f>IFERROR(__xludf.DUMMYFUNCTION("""COMPUTED_VALUE"""),0.15638104868691066)</f>
        <v>0.1563810487</v>
      </c>
      <c r="I80" s="32">
        <f>IFERROR(__xludf.DUMMYFUNCTION("""COMPUTED_VALUE"""),1941.8)</f>
        <v>1941.8</v>
      </c>
      <c r="J80" s="33">
        <f>IFERROR(__xludf.DUMMYFUNCTION("""COMPUTED_VALUE"""),0.0011587187145947059)</f>
        <v>0.001158718715</v>
      </c>
      <c r="K80" s="34" t="str">
        <f t="array" ref="K80">if(VLOOKUP(A80,'NSEBSE Code'!$A$4:$C$219,2,0) &lt;&gt; "",VLOOKUP(A80,'NSEBSE Code'!$A$4:$C$219,2,0),"")</f>
        <v>Chemical</v>
      </c>
      <c r="L80" s="34" t="str">
        <f t="array" ref="L80">VLOOKUP(A80,'NSEBSE Code'!$A$4:$C$219,3,0)</f>
        <v>DEEPAKNTR</v>
      </c>
      <c r="M80" s="35" t="str">
        <f t="array" ref="M80">if(F80 &gt; 30%, "Yes", "No")</f>
        <v>No</v>
      </c>
      <c r="N80" s="36" t="str">
        <f t="array" ref="N80">if(H80 &lt; 30%, "Yes", "No")</f>
        <v>Yes</v>
      </c>
      <c r="O80" s="37" t="str">
        <f t="array" ref="O80">if(AND(D80&lt;65,M80="No",N80="No"),"Good Stock","")</f>
        <v/>
      </c>
      <c r="P80" s="37" t="str">
        <f t="array" ref="P80">ifs(B80/$B$2 &gt; 0.6,"Large Cap", B80/$B$2 &gt; 0.4, "Mid Cap",B80/$B$2&gt;0,"Low Cap")</f>
        <v>Low Cap</v>
      </c>
    </row>
    <row r="81">
      <c r="A81" s="38" t="str">
        <f>IFERROR(__xludf.DUMMYFUNCTION("""COMPUTED_VALUE"""),"Coromandel International")</f>
        <v>Coromandel International</v>
      </c>
      <c r="B81" s="31">
        <f>IFERROR(__xludf.DUMMYFUNCTION("""COMPUTED_VALUE"""),25664.11)</f>
        <v>25664.11</v>
      </c>
      <c r="C81" s="32">
        <f>IFERROR(__xludf.DUMMYFUNCTION("""COMPUTED_VALUE"""),872.0)</f>
        <v>872</v>
      </c>
      <c r="D81" s="32">
        <f>IFERROR(__xludf.DUMMYFUNCTION("""COMPUTED_VALUE"""),13.43)</f>
        <v>13.43</v>
      </c>
      <c r="E81" s="32">
        <f>IFERROR(__xludf.DUMMYFUNCTION("""COMPUTED_VALUE"""),1094.0)</f>
        <v>1094</v>
      </c>
      <c r="F81" s="33">
        <f>IFERROR(__xludf.DUMMYFUNCTION("""COMPUTED_VALUE"""),0.20292504570383912)</f>
        <v>0.2029250457</v>
      </c>
      <c r="G81" s="32">
        <f>IFERROR(__xludf.DUMMYFUNCTION("""COMPUTED_VALUE"""),729.55)</f>
        <v>729.55</v>
      </c>
      <c r="H81" s="33">
        <f>IFERROR(__xludf.DUMMYFUNCTION("""COMPUTED_VALUE"""),0.19525735042149278)</f>
        <v>0.1952573504</v>
      </c>
      <c r="I81" s="32">
        <f>IFERROR(__xludf.DUMMYFUNCTION("""COMPUTED_VALUE"""),881.85)</f>
        <v>881.85</v>
      </c>
      <c r="J81" s="33">
        <f>IFERROR(__xludf.DUMMYFUNCTION("""COMPUTED_VALUE"""),-0.01116970006236891)</f>
        <v>-0.01116970006</v>
      </c>
      <c r="K81" s="34" t="str">
        <f t="array" ref="K81">if(VLOOKUP(A81,'NSEBSE Code'!$A$4:$C$219,2,0) &lt;&gt; "",VLOOKUP(A81,'NSEBSE Code'!$A$4:$C$219,2,0),"")</f>
        <v>Agrochemical</v>
      </c>
      <c r="L81" s="34" t="str">
        <f t="array" ref="L81">VLOOKUP(A81,'NSEBSE Code'!$A$4:$C$219,3,0)</f>
        <v>COROMANDEL</v>
      </c>
      <c r="M81" s="35" t="str">
        <f t="array" ref="M81">if(F81 &gt; 30%, "Yes", "No")</f>
        <v>No</v>
      </c>
      <c r="N81" s="36" t="str">
        <f t="array" ref="N81">if(H81 &lt; 30%, "Yes", "No")</f>
        <v>Yes</v>
      </c>
      <c r="O81" s="37" t="str">
        <f t="array" ref="O81">if(AND(D81&lt;65,M81="No",N81="No"),"Good Stock","")</f>
        <v/>
      </c>
      <c r="P81" s="37" t="str">
        <f t="array" ref="P81">ifs(B81/$B$2 &gt; 0.6,"Large Cap", B81/$B$2 &gt; 0.4, "Mid Cap",B81/$B$2&gt;0,"Low Cap")</f>
        <v>Low Cap</v>
      </c>
    </row>
    <row r="82">
      <c r="A82" s="38" t="str">
        <f>IFERROR(__xludf.DUMMYFUNCTION("""COMPUTED_VALUE"""),"Aurobindo Pharma")</f>
        <v>Aurobindo Pharma</v>
      </c>
      <c r="B82" s="31">
        <f>IFERROR(__xludf.DUMMYFUNCTION("""COMPUTED_VALUE"""),25505.6859247)</f>
        <v>25505.68592</v>
      </c>
      <c r="C82" s="32">
        <f>IFERROR(__xludf.DUMMYFUNCTION("""COMPUTED_VALUE"""),435.3)</f>
        <v>435.3</v>
      </c>
      <c r="D82" s="32">
        <f>IFERROR(__xludf.DUMMYFUNCTION("""COMPUTED_VALUE"""),12.08)</f>
        <v>12.08</v>
      </c>
      <c r="E82" s="32">
        <f>IFERROR(__xludf.DUMMYFUNCTION("""COMPUTED_VALUE"""),727.95)</f>
        <v>727.95</v>
      </c>
      <c r="F82" s="33">
        <f>IFERROR(__xludf.DUMMYFUNCTION("""COMPUTED_VALUE"""),0.40201936946218836)</f>
        <v>0.4020193695</v>
      </c>
      <c r="G82" s="32">
        <f>IFERROR(__xludf.DUMMYFUNCTION("""COMPUTED_VALUE"""),429.2)</f>
        <v>429.2</v>
      </c>
      <c r="H82" s="33">
        <f>IFERROR(__xludf.DUMMYFUNCTION("""COMPUTED_VALUE"""),0.014212488350419439)</f>
        <v>0.01421248835</v>
      </c>
      <c r="I82" s="32">
        <f>IFERROR(__xludf.DUMMYFUNCTION("""COMPUTED_VALUE"""),446.35)</f>
        <v>446.35</v>
      </c>
      <c r="J82" s="33">
        <f>IFERROR(__xludf.DUMMYFUNCTION("""COMPUTED_VALUE"""),-0.02475635711885294)</f>
        <v>-0.02475635712</v>
      </c>
      <c r="K82" s="34" t="str">
        <f t="array" ref="K82">if(VLOOKUP(A82,'NSEBSE Code'!$A$4:$C$219,2,0) &lt;&gt; "",VLOOKUP(A82,'NSEBSE Code'!$A$4:$C$219,2,0),"")</f>
        <v>Pharma</v>
      </c>
      <c r="L82" s="34" t="str">
        <f t="array" ref="L82">VLOOKUP(A82,'NSEBSE Code'!$A$4:$C$219,3,0)</f>
        <v>AUROPHARMA</v>
      </c>
      <c r="M82" s="35" t="str">
        <f t="array" ref="M82">if(F82 &gt; 30%, "Yes", "No")</f>
        <v>Yes</v>
      </c>
      <c r="N82" s="36" t="str">
        <f t="array" ref="N82">if(H82 &lt; 30%, "Yes", "No")</f>
        <v>Yes</v>
      </c>
      <c r="O82" s="37" t="str">
        <f t="array" ref="O82">if(AND(D82&lt;65,M82="No",N82="No"),"Good Stock","")</f>
        <v/>
      </c>
      <c r="P82" s="37" t="str">
        <f t="array" ref="P82">ifs(B82/$B$2 &gt; 0.6,"Large Cap", B82/$B$2 &gt; 0.4, "Mid Cap",B82/$B$2&gt;0,"Low Cap")</f>
        <v>Low Cap</v>
      </c>
    </row>
    <row r="83">
      <c r="A83" s="38" t="str">
        <f>IFERROR(__xludf.DUMMYFUNCTION("""COMPUTED_VALUE"""),"3M India")</f>
        <v>3M India</v>
      </c>
      <c r="B83" s="31">
        <f>IFERROR(__xludf.DUMMYFUNCTION("""COMPUTED_VALUE"""),25229.93)</f>
        <v>25229.93</v>
      </c>
      <c r="C83" s="32">
        <f>IFERROR(__xludf.DUMMYFUNCTION("""COMPUTED_VALUE"""),22300.0)</f>
        <v>22300</v>
      </c>
      <c r="D83" s="32">
        <f>IFERROR(__xludf.DUMMYFUNCTION("""COMPUTED_VALUE"""),68.24)</f>
        <v>68.24</v>
      </c>
      <c r="E83" s="32">
        <f>IFERROR(__xludf.DUMMYFUNCTION("""COMPUTED_VALUE"""),26943.0)</f>
        <v>26943</v>
      </c>
      <c r="F83" s="33">
        <f>IFERROR(__xludf.DUMMYFUNCTION("""COMPUTED_VALUE"""),0.17232676390899307)</f>
        <v>0.1723267639</v>
      </c>
      <c r="G83" s="32">
        <f>IFERROR(__xludf.DUMMYFUNCTION("""COMPUTED_VALUE"""),17273.0)</f>
        <v>17273</v>
      </c>
      <c r="H83" s="33">
        <f>IFERROR(__xludf.DUMMYFUNCTION("""COMPUTED_VALUE"""),0.2910322468592601)</f>
        <v>0.2910322469</v>
      </c>
      <c r="I83" s="32">
        <f>IFERROR(__xludf.DUMMYFUNCTION("""COMPUTED_VALUE"""),22335.4)</f>
        <v>22335.4</v>
      </c>
      <c r="J83" s="33">
        <f>IFERROR(__xludf.DUMMYFUNCTION("""COMPUTED_VALUE"""),-0.0015849279618901588)</f>
        <v>-0.001584927962</v>
      </c>
      <c r="K83" s="34" t="str">
        <f t="array" ref="K83">if(VLOOKUP(A83,'NSEBSE Code'!$A$4:$C$219,2,0) &lt;&gt; "",VLOOKUP(A83,'NSEBSE Code'!$A$4:$C$219,2,0),"")</f>
        <v>Technology</v>
      </c>
      <c r="L83" s="34" t="str">
        <f t="array" ref="L83">VLOOKUP(A83,'NSEBSE Code'!$A$4:$C$219,3,0)</f>
        <v>3MINDIA</v>
      </c>
      <c r="M83" s="35" t="str">
        <f t="array" ref="M83">if(F83 &gt; 30%, "Yes", "No")</f>
        <v>No</v>
      </c>
      <c r="N83" s="36" t="str">
        <f t="array" ref="N83">if(H83 &lt; 30%, "Yes", "No")</f>
        <v>Yes</v>
      </c>
      <c r="O83" s="37" t="str">
        <f t="array" ref="O83">if(AND(D83&lt;65,M83="No",N83="No"),"Good Stock","")</f>
        <v/>
      </c>
      <c r="P83" s="37" t="str">
        <f t="array" ref="P83">ifs(B83/$B$2 &gt; 0.6,"Large Cap", B83/$B$2 &gt; 0.4, "Mid Cap",B83/$B$2&gt;0,"Low Cap")</f>
        <v>Low Cap</v>
      </c>
    </row>
    <row r="84">
      <c r="A84" s="38" t="str">
        <f>IFERROR(__xludf.DUMMYFUNCTION("""COMPUTED_VALUE"""),"sona comstar")</f>
        <v>sona comstar</v>
      </c>
      <c r="B84" s="31">
        <f>IFERROR(__xludf.DUMMYFUNCTION("""COMPUTED_VALUE"""),24962.9162175)</f>
        <v>24962.91622</v>
      </c>
      <c r="C84" s="32">
        <f>IFERROR(__xludf.DUMMYFUNCTION("""COMPUTED_VALUE"""),426.0)</f>
        <v>426</v>
      </c>
      <c r="D84" s="32">
        <f>IFERROR(__xludf.DUMMYFUNCTION("""COMPUTED_VALUE"""),69.24)</f>
        <v>69.24</v>
      </c>
      <c r="E84" s="32">
        <f>IFERROR(__xludf.DUMMYFUNCTION("""COMPUTED_VALUE"""),795.0)</f>
        <v>795</v>
      </c>
      <c r="F84" s="33">
        <f>IFERROR(__xludf.DUMMYFUNCTION("""COMPUTED_VALUE"""),0.4641509433962264)</f>
        <v>0.4641509434</v>
      </c>
      <c r="G84" s="32">
        <f>IFERROR(__xludf.DUMMYFUNCTION("""COMPUTED_VALUE"""),397.35)</f>
        <v>397.35</v>
      </c>
      <c r="H84" s="33">
        <f>IFERROR(__xludf.DUMMYFUNCTION("""COMPUTED_VALUE"""),0.07210268025670058)</f>
        <v>0.07210268026</v>
      </c>
      <c r="I84" s="32">
        <f>IFERROR(__xludf.DUMMYFUNCTION("""COMPUTED_VALUE"""),428.65)</f>
        <v>428.65</v>
      </c>
      <c r="J84" s="33">
        <f>IFERROR(__xludf.DUMMYFUNCTION("""COMPUTED_VALUE"""),-0.006182199930012778)</f>
        <v>-0.00618219993</v>
      </c>
      <c r="K84" s="34" t="str">
        <f t="array" ref="K84">if(VLOOKUP(A84,'NSEBSE Code'!$A$4:$C$219,2,0) &lt;&gt; "",VLOOKUP(A84,'NSEBSE Code'!$A$4:$C$219,2,0),"")</f>
        <v>automobile</v>
      </c>
      <c r="L84" s="34" t="str">
        <f t="array" ref="L84">VLOOKUP(A84,'NSEBSE Code'!$A$4:$C$219,3,0)</f>
        <v>BOM:543300</v>
      </c>
      <c r="M84" s="35" t="str">
        <f t="array" ref="M84">if(F84 &gt; 30%, "Yes", "No")</f>
        <v>Yes</v>
      </c>
      <c r="N84" s="36" t="str">
        <f t="array" ref="N84">if(H84 &lt; 30%, "Yes", "No")</f>
        <v>Yes</v>
      </c>
      <c r="O84" s="37" t="str">
        <f t="array" ref="O84">if(AND(D84&lt;65,M84="No",N84="No"),"Good Stock","")</f>
        <v/>
      </c>
      <c r="P84" s="37" t="str">
        <f t="array" ref="P84">ifs(B84/$B$2 &gt; 0.6,"Large Cap", B84/$B$2 &gt; 0.4, "Mid Cap",B84/$B$2&gt;0,"Low Cap")</f>
        <v>Low Cap</v>
      </c>
    </row>
    <row r="85">
      <c r="A85" s="38" t="str">
        <f>IFERROR(__xludf.DUMMYFUNCTION("""COMPUTED_VALUE"""),"Tata Chemical")</f>
        <v>Tata Chemical</v>
      </c>
      <c r="B85" s="31">
        <f>IFERROR(__xludf.DUMMYFUNCTION("""COMPUTED_VALUE"""),24851.46731)</f>
        <v>24851.46731</v>
      </c>
      <c r="C85" s="32">
        <f>IFERROR(__xludf.DUMMYFUNCTION("""COMPUTED_VALUE"""),975.8)</f>
        <v>975.8</v>
      </c>
      <c r="D85" s="32">
        <f>IFERROR(__xludf.DUMMYFUNCTION("""COMPUTED_VALUE"""),12.65)</f>
        <v>12.65</v>
      </c>
      <c r="E85" s="32">
        <f>IFERROR(__xludf.DUMMYFUNCTION("""COMPUTED_VALUE"""),1214.65)</f>
        <v>1214.65</v>
      </c>
      <c r="F85" s="33">
        <f>IFERROR(__xludf.DUMMYFUNCTION("""COMPUTED_VALUE"""),0.1966410076976908)</f>
        <v>0.1966410077</v>
      </c>
      <c r="G85" s="32">
        <f>IFERROR(__xludf.DUMMYFUNCTION("""COMPUTED_VALUE"""),773.9)</f>
        <v>773.9</v>
      </c>
      <c r="H85" s="33">
        <f>IFERROR(__xludf.DUMMYFUNCTION("""COMPUTED_VALUE"""),0.2608864194340354)</f>
        <v>0.2608864194</v>
      </c>
      <c r="I85" s="32">
        <f>IFERROR(__xludf.DUMMYFUNCTION("""COMPUTED_VALUE"""),972.55)</f>
        <v>972.55</v>
      </c>
      <c r="J85" s="33">
        <f>IFERROR(__xludf.DUMMYFUNCTION("""COMPUTED_VALUE"""),0.0033417305022878)</f>
        <v>0.003341730502</v>
      </c>
      <c r="K85" s="34" t="str">
        <f t="array" ref="K85">if(VLOOKUP(A85,'NSEBSE Code'!$A$4:$C$219,2,0) &lt;&gt; "",VLOOKUP(A85,'NSEBSE Code'!$A$4:$C$219,2,0),"")</f>
        <v>Chemical</v>
      </c>
      <c r="L85" s="34" t="str">
        <f t="array" ref="L85">VLOOKUP(A85,'NSEBSE Code'!$A$4:$C$219,3,0)</f>
        <v>BOM:500770</v>
      </c>
      <c r="M85" s="35" t="str">
        <f t="array" ref="M85">if(F85 &gt; 30%, "Yes", "No")</f>
        <v>No</v>
      </c>
      <c r="N85" s="36" t="str">
        <f t="array" ref="N85">if(H85 &lt; 30%, "Yes", "No")</f>
        <v>Yes</v>
      </c>
      <c r="O85" s="37" t="str">
        <f t="array" ref="O85">if(AND(D85&lt;65,M85="No",N85="No"),"Good Stock","")</f>
        <v/>
      </c>
      <c r="P85" s="37" t="str">
        <f t="array" ref="P85">ifs(B85/$B$2 &gt; 0.6,"Large Cap", B85/$B$2 &gt; 0.4, "Mid Cap",B85/$B$2&gt;0,"Low Cap")</f>
        <v>Low Cap</v>
      </c>
    </row>
    <row r="86">
      <c r="A86" s="38" t="str">
        <f>IFERROR(__xludf.DUMMYFUNCTION("""COMPUTED_VALUE"""),"Sumitomo Chemicals")</f>
        <v>Sumitomo Chemicals</v>
      </c>
      <c r="B86" s="31">
        <f>IFERROR(__xludf.DUMMYFUNCTION("""COMPUTED_VALUE"""),24637.83)</f>
        <v>24637.83</v>
      </c>
      <c r="C86" s="32">
        <f>IFERROR(__xludf.DUMMYFUNCTION("""COMPUTED_VALUE"""),493.2)</f>
        <v>493.2</v>
      </c>
      <c r="D86" s="32">
        <f>IFERROR(__xludf.DUMMYFUNCTION("""COMPUTED_VALUE"""),48.9)</f>
        <v>48.9</v>
      </c>
      <c r="E86" s="32">
        <f>IFERROR(__xludf.DUMMYFUNCTION("""COMPUTED_VALUE"""),540.8)</f>
        <v>540.8</v>
      </c>
      <c r="F86" s="33">
        <f>IFERROR(__xludf.DUMMYFUNCTION("""COMPUTED_VALUE"""),0.08801775147928989)</f>
        <v>0.08801775148</v>
      </c>
      <c r="G86" s="32">
        <f>IFERROR(__xludf.DUMMYFUNCTION("""COMPUTED_VALUE"""),351.5)</f>
        <v>351.5</v>
      </c>
      <c r="H86" s="33">
        <f>IFERROR(__xludf.DUMMYFUNCTION("""COMPUTED_VALUE"""),0.40312944523470834)</f>
        <v>0.4031294452</v>
      </c>
      <c r="I86" s="32">
        <f>IFERROR(__xludf.DUMMYFUNCTION("""COMPUTED_VALUE"""),487.95)</f>
        <v>487.95</v>
      </c>
      <c r="J86" s="33">
        <f>IFERROR(__xludf.DUMMYFUNCTION("""COMPUTED_VALUE"""),0.010759299108515218)</f>
        <v>0.01075929911</v>
      </c>
      <c r="K86" s="34" t="str">
        <f t="array" ref="K86">if(VLOOKUP(A86,'NSEBSE Code'!$A$4:$C$219,2,0) &lt;&gt; "",VLOOKUP(A86,'NSEBSE Code'!$A$4:$C$219,2,0),"")</f>
        <v>Agrochemical</v>
      </c>
      <c r="L86" s="34" t="str">
        <f t="array" ref="L86">VLOOKUP(A86,'NSEBSE Code'!$A$4:$C$219,3,0)</f>
        <v>SUMICHEM</v>
      </c>
      <c r="M86" s="35" t="str">
        <f t="array" ref="M86">if(F86 &gt; 30%, "Yes", "No")</f>
        <v>No</v>
      </c>
      <c r="N86" s="36" t="str">
        <f t="array" ref="N86">if(H86 &lt; 30%, "Yes", "No")</f>
        <v>No</v>
      </c>
      <c r="O86" s="37" t="str">
        <f t="array" ref="O86">if(AND(D86&lt;65,M86="No",N86="No"),"Good Stock","")</f>
        <v>Good Stock</v>
      </c>
      <c r="P86" s="37" t="str">
        <f t="array" ref="P86">ifs(B86/$B$2 &gt; 0.6,"Large Cap", B86/$B$2 &gt; 0.4, "Mid Cap",B86/$B$2&gt;0,"Low Cap")</f>
        <v>Low Cap</v>
      </c>
    </row>
    <row r="87">
      <c r="A87" s="38" t="str">
        <f>IFERROR(__xludf.DUMMYFUNCTION("""COMPUTED_VALUE"""),"Gland Pharma")</f>
        <v>Gland Pharma</v>
      </c>
      <c r="B87" s="31">
        <f>IFERROR(__xludf.DUMMYFUNCTION("""COMPUTED_VALUE"""),23948.9713712)</f>
        <v>23948.97137</v>
      </c>
      <c r="C87" s="32">
        <f>IFERROR(__xludf.DUMMYFUNCTION("""COMPUTED_VALUE"""),1453.65)</f>
        <v>1453.65</v>
      </c>
      <c r="D87" s="32">
        <f>IFERROR(__xludf.DUMMYFUNCTION("""COMPUTED_VALUE"""),23.28)</f>
        <v>23.28</v>
      </c>
      <c r="E87" s="32">
        <f>IFERROR(__xludf.DUMMYFUNCTION("""COMPUTED_VALUE"""),3773.95)</f>
        <v>3773.95</v>
      </c>
      <c r="F87" s="33">
        <f>IFERROR(__xludf.DUMMYFUNCTION("""COMPUTED_VALUE"""),0.6148200161634362)</f>
        <v>0.6148200162</v>
      </c>
      <c r="G87" s="32">
        <f>IFERROR(__xludf.DUMMYFUNCTION("""COMPUTED_VALUE"""),1450.0)</f>
        <v>1450</v>
      </c>
      <c r="H87" s="33">
        <f>IFERROR(__xludf.DUMMYFUNCTION("""COMPUTED_VALUE"""),0.0025172413793104077)</f>
        <v>0.002517241379</v>
      </c>
      <c r="I87" s="32">
        <f>IFERROR(__xludf.DUMMYFUNCTION("""COMPUTED_VALUE"""),1497.85)</f>
        <v>1497.85</v>
      </c>
      <c r="J87" s="33">
        <f>IFERROR(__xludf.DUMMYFUNCTION("""COMPUTED_VALUE"""),-0.029508962846746884)</f>
        <v>-0.02950896285</v>
      </c>
      <c r="K87" s="34" t="str">
        <f t="array" ref="K87">if(VLOOKUP(A87,'NSEBSE Code'!$A$4:$C$219,2,0) &lt;&gt; "",VLOOKUP(A87,'NSEBSE Code'!$A$4:$C$219,2,0),"")</f>
        <v>Pharma</v>
      </c>
      <c r="L87" s="34" t="str">
        <f t="array" ref="L87">VLOOKUP(A87,'NSEBSE Code'!$A$4:$C$219,3,0)</f>
        <v>BOM:543245</v>
      </c>
      <c r="M87" s="35" t="str">
        <f t="array" ref="M87">if(F87 &gt; 30%, "Yes", "No")</f>
        <v>Yes</v>
      </c>
      <c r="N87" s="36" t="str">
        <f t="array" ref="N87">if(H87 &lt; 30%, "Yes", "No")</f>
        <v>Yes</v>
      </c>
      <c r="O87" s="37" t="str">
        <f t="array" ref="O87">if(AND(D87&lt;65,M87="No",N87="No"),"Good Stock","")</f>
        <v/>
      </c>
      <c r="P87" s="37" t="str">
        <f t="array" ref="P87">ifs(B87/$B$2 &gt; 0.6,"Large Cap", B87/$B$2 &gt; 0.4, "Mid Cap",B87/$B$2&gt;0,"Low Cap")</f>
        <v>Low Cap</v>
      </c>
    </row>
    <row r="88">
      <c r="A88" s="38" t="str">
        <f>IFERROR(__xludf.DUMMYFUNCTION("""COMPUTED_VALUE"""),"Coforge")</f>
        <v>Coforge</v>
      </c>
      <c r="B88" s="31">
        <f>IFERROR(__xludf.DUMMYFUNCTION("""COMPUTED_VALUE"""),23631.8479052)</f>
        <v>23631.84791</v>
      </c>
      <c r="C88" s="32">
        <f>IFERROR(__xludf.DUMMYFUNCTION("""COMPUTED_VALUE"""),3868.05)</f>
        <v>3868.05</v>
      </c>
      <c r="D88" s="32">
        <f>IFERROR(__xludf.DUMMYFUNCTION("""COMPUTED_VALUE"""),32.39)</f>
        <v>32.39</v>
      </c>
      <c r="E88" s="32">
        <f>IFERROR(__xludf.DUMMYFUNCTION("""COMPUTED_VALUE"""),5862.1)</f>
        <v>5862.1</v>
      </c>
      <c r="F88" s="33">
        <f>IFERROR(__xludf.DUMMYFUNCTION("""COMPUTED_VALUE"""),0.3401596697429249)</f>
        <v>0.3401596697</v>
      </c>
      <c r="G88" s="32">
        <f>IFERROR(__xludf.DUMMYFUNCTION("""COMPUTED_VALUE"""),3210.0)</f>
        <v>3210</v>
      </c>
      <c r="H88" s="33">
        <f>IFERROR(__xludf.DUMMYFUNCTION("""COMPUTED_VALUE"""),0.20500000000000004)</f>
        <v>0.205</v>
      </c>
      <c r="I88" s="32">
        <f>IFERROR(__xludf.DUMMYFUNCTION("""COMPUTED_VALUE"""),3902.65)</f>
        <v>3902.65</v>
      </c>
      <c r="J88" s="33">
        <f>IFERROR(__xludf.DUMMYFUNCTION("""COMPUTED_VALUE"""),-0.008865770694271817)</f>
        <v>-0.008865770694</v>
      </c>
      <c r="K88" s="34" t="str">
        <f t="array" ref="K88">if(VLOOKUP(A88,'NSEBSE Code'!$A$4:$C$219,2,0) &lt;&gt; "",VLOOKUP(A88,'NSEBSE Code'!$A$4:$C$219,2,0),"")</f>
        <v>Technology</v>
      </c>
      <c r="L88" s="34" t="str">
        <f t="array" ref="L88">VLOOKUP(A88,'NSEBSE Code'!$A$4:$C$219,3,0)</f>
        <v>BOM:532541</v>
      </c>
      <c r="M88" s="35" t="str">
        <f t="array" ref="M88">if(F88 &gt; 30%, "Yes", "No")</f>
        <v>Yes</v>
      </c>
      <c r="N88" s="36" t="str">
        <f t="array" ref="N88">if(H88 &lt; 30%, "Yes", "No")</f>
        <v>Yes</v>
      </c>
      <c r="O88" s="37" t="str">
        <f t="array" ref="O88">if(AND(D88&lt;65,M88="No",N88="No"),"Good Stock","")</f>
        <v/>
      </c>
      <c r="P88" s="37" t="str">
        <f t="array" ref="P88">ifs(B88/$B$2 &gt; 0.6,"Large Cap", B88/$B$2 &gt; 0.4, "Mid Cap",B88/$B$2&gt;0,"Low Cap")</f>
        <v>Low Cap</v>
      </c>
    </row>
    <row r="89">
      <c r="A89" s="38" t="str">
        <f>IFERROR(__xludf.DUMMYFUNCTION("""COMPUTED_VALUE"""),"Atul Ltd")</f>
        <v>Atul Ltd</v>
      </c>
      <c r="B89" s="31">
        <f>IFERROR(__xludf.DUMMYFUNCTION("""COMPUTED_VALUE"""),22715.5217056)</f>
        <v>22715.52171</v>
      </c>
      <c r="C89" s="32">
        <f>IFERROR(__xludf.DUMMYFUNCTION("""COMPUTED_VALUE"""),7701.2)</f>
        <v>7701.2</v>
      </c>
      <c r="D89" s="32">
        <f>IFERROR(__xludf.DUMMYFUNCTION("""COMPUTED_VALUE"""),37.5)</f>
        <v>37.5</v>
      </c>
      <c r="E89" s="32">
        <f>IFERROR(__xludf.DUMMYFUNCTION("""COMPUTED_VALUE"""),10859.0)</f>
        <v>10859</v>
      </c>
      <c r="F89" s="33">
        <f>IFERROR(__xludf.DUMMYFUNCTION("""COMPUTED_VALUE"""),0.29080025785063085)</f>
        <v>0.2908002579</v>
      </c>
      <c r="G89" s="32">
        <f>IFERROR(__xludf.DUMMYFUNCTION("""COMPUTED_VALUE"""),7602.15)</f>
        <v>7602.15</v>
      </c>
      <c r="H89" s="33">
        <f>IFERROR(__xludf.DUMMYFUNCTION("""COMPUTED_VALUE"""),0.013029208842235445)</f>
        <v>0.01302920884</v>
      </c>
      <c r="I89" s="32">
        <f>IFERROR(__xludf.DUMMYFUNCTION("""COMPUTED_VALUE"""),7679.85)</f>
        <v>7679.85</v>
      </c>
      <c r="J89" s="33">
        <f>IFERROR(__xludf.DUMMYFUNCTION("""COMPUTED_VALUE"""),0.0027800022135848297)</f>
        <v>0.002780002214</v>
      </c>
      <c r="K89" s="34" t="str">
        <f t="array" ref="K89">if(VLOOKUP(A89,'NSEBSE Code'!$A$4:$C$219,2,0) &lt;&gt; "",VLOOKUP(A89,'NSEBSE Code'!$A$4:$C$219,2,0),"")</f>
        <v>Chemical</v>
      </c>
      <c r="L89" s="34" t="str">
        <f t="array" ref="L89">VLOOKUP(A89,'NSEBSE Code'!$A$4:$C$219,3,0)</f>
        <v>BOM:500027</v>
      </c>
      <c r="M89" s="35" t="str">
        <f t="array" ref="M89">if(F89 &gt; 30%, "Yes", "No")</f>
        <v>No</v>
      </c>
      <c r="N89" s="36" t="str">
        <f t="array" ref="N89">if(H89 &lt; 30%, "Yes", "No")</f>
        <v>Yes</v>
      </c>
      <c r="O89" s="37" t="str">
        <f t="array" ref="O89">if(AND(D89&lt;65,M89="No",N89="No"),"Good Stock","")</f>
        <v/>
      </c>
      <c r="P89" s="37" t="str">
        <f t="array" ref="P89">ifs(B89/$B$2 &gt; 0.6,"Large Cap", B89/$B$2 &gt; 0.4, "Mid Cap",B89/$B$2&gt;0,"Low Cap")</f>
        <v>Low Cap</v>
      </c>
    </row>
    <row r="90">
      <c r="A90" s="38" t="str">
        <f>IFERROR(__xludf.DUMMYFUNCTION("""COMPUTED_VALUE"""),"J K Cement")</f>
        <v>J K Cement</v>
      </c>
      <c r="B90" s="31">
        <f>IFERROR(__xludf.DUMMYFUNCTION("""COMPUTED_VALUE"""),22430.59)</f>
        <v>22430.59</v>
      </c>
      <c r="C90" s="32">
        <f>IFERROR(__xludf.DUMMYFUNCTION("""COMPUTED_VALUE"""),2900.45)</f>
        <v>2900.45</v>
      </c>
      <c r="D90" s="32">
        <f>IFERROR(__xludf.DUMMYFUNCTION("""COMPUTED_VALUE"""),36.07)</f>
        <v>36.07</v>
      </c>
      <c r="E90" s="32">
        <f>IFERROR(__xludf.DUMMYFUNCTION("""COMPUTED_VALUE"""),3646.25)</f>
        <v>3646.25</v>
      </c>
      <c r="F90" s="33">
        <f>IFERROR(__xludf.DUMMYFUNCTION("""COMPUTED_VALUE"""),0.2045389098388756)</f>
        <v>0.2045389098</v>
      </c>
      <c r="G90" s="32">
        <f>IFERROR(__xludf.DUMMYFUNCTION("""COMPUTED_VALUE"""),2005.0)</f>
        <v>2005</v>
      </c>
      <c r="H90" s="33">
        <f>IFERROR(__xludf.DUMMYFUNCTION("""COMPUTED_VALUE"""),0.4466084788029924)</f>
        <v>0.4466084788</v>
      </c>
      <c r="I90" s="32">
        <f>IFERROR(__xludf.DUMMYFUNCTION("""COMPUTED_VALUE"""),2905.9)</f>
        <v>2905.9</v>
      </c>
      <c r="J90" s="33">
        <f>IFERROR(__xludf.DUMMYFUNCTION("""COMPUTED_VALUE"""),-0.0018754946832307625)</f>
        <v>-0.001875494683</v>
      </c>
      <c r="K90" s="34" t="str">
        <f t="array" ref="K90">if(VLOOKUP(A90,'NSEBSE Code'!$A$4:$C$219,2,0) &lt;&gt; "",VLOOKUP(A90,'NSEBSE Code'!$A$4:$C$219,2,0),"")</f>
        <v>Cement</v>
      </c>
      <c r="L90" s="34" t="str">
        <f t="array" ref="L90">VLOOKUP(A90,'NSEBSE Code'!$A$4:$C$219,3,0)</f>
        <v>BOM:532644</v>
      </c>
      <c r="M90" s="35" t="str">
        <f t="array" ref="M90">if(F90 &gt; 30%, "Yes", "No")</f>
        <v>No</v>
      </c>
      <c r="N90" s="36" t="str">
        <f t="array" ref="N90">if(H90 &lt; 30%, "Yes", "No")</f>
        <v>No</v>
      </c>
      <c r="O90" s="37" t="str">
        <f t="array" ref="O90">if(AND(D90&lt;65,M90="No",N90="No"),"Good Stock","")</f>
        <v>Good Stock</v>
      </c>
      <c r="P90" s="37" t="str">
        <f t="array" ref="P90">ifs(B90/$B$2 &gt; 0.6,"Large Cap", B90/$B$2 &gt; 0.4, "Mid Cap",B90/$B$2&gt;0,"Low Cap")</f>
        <v>Low Cap</v>
      </c>
    </row>
    <row r="91">
      <c r="A91" s="38" t="str">
        <f>IFERROR(__xludf.DUMMYFUNCTION("""COMPUTED_VALUE"""),"Kansai Nerolac")</f>
        <v>Kansai Nerolac</v>
      </c>
      <c r="B91" s="31">
        <f>IFERROR(__xludf.DUMMYFUNCTION("""COMPUTED_VALUE"""),22276.241535)</f>
        <v>22276.24154</v>
      </c>
      <c r="C91" s="32">
        <f>IFERROR(__xludf.DUMMYFUNCTION("""COMPUTED_VALUE"""),415.0)</f>
        <v>415</v>
      </c>
      <c r="D91" s="32">
        <f>IFERROR(__xludf.DUMMYFUNCTION("""COMPUTED_VALUE"""),52.87)</f>
        <v>52.87</v>
      </c>
      <c r="E91" s="32">
        <f>IFERROR(__xludf.DUMMYFUNCTION("""COMPUTED_VALUE"""),624.0)</f>
        <v>624</v>
      </c>
      <c r="F91" s="33">
        <f>IFERROR(__xludf.DUMMYFUNCTION("""COMPUTED_VALUE"""),0.3349358974358974)</f>
        <v>0.3349358974</v>
      </c>
      <c r="G91" s="32">
        <f>IFERROR(__xludf.DUMMYFUNCTION("""COMPUTED_VALUE"""),358.15)</f>
        <v>358.15</v>
      </c>
      <c r="H91" s="33">
        <f>IFERROR(__xludf.DUMMYFUNCTION("""COMPUTED_VALUE"""),0.15873237470333668)</f>
        <v>0.1587323747</v>
      </c>
      <c r="I91" s="32">
        <f>IFERROR(__xludf.DUMMYFUNCTION("""COMPUTED_VALUE"""),413.05)</f>
        <v>413.05</v>
      </c>
      <c r="J91" s="33">
        <f>IFERROR(__xludf.DUMMYFUNCTION("""COMPUTED_VALUE"""),0.004720978089819606)</f>
        <v>0.00472097809</v>
      </c>
      <c r="K91" s="34" t="str">
        <f t="array" ref="K91">if(VLOOKUP(A91,'NSEBSE Code'!$A$4:$C$219,2,0) &lt;&gt; "",VLOOKUP(A91,'NSEBSE Code'!$A$4:$C$219,2,0),"")</f>
        <v>Paint</v>
      </c>
      <c r="L91" s="34" t="str">
        <f t="array" ref="L91">VLOOKUP(A91,'NSEBSE Code'!$A$4:$C$219,3,0)</f>
        <v>KANSAINER</v>
      </c>
      <c r="M91" s="35" t="str">
        <f t="array" ref="M91">if(F91 &gt; 30%, "Yes", "No")</f>
        <v>Yes</v>
      </c>
      <c r="N91" s="36" t="str">
        <f t="array" ref="N91">if(H91 &lt; 30%, "Yes", "No")</f>
        <v>Yes</v>
      </c>
      <c r="O91" s="37" t="str">
        <f t="array" ref="O91">if(AND(D91&lt;65,M91="No",N91="No"),"Good Stock","")</f>
        <v/>
      </c>
      <c r="P91" s="37" t="str">
        <f t="array" ref="P91">ifs(B91/$B$2 &gt; 0.6,"Large Cap", B91/$B$2 &gt; 0.4, "Mid Cap",B91/$B$2&gt;0,"Low Cap")</f>
        <v>Low Cap</v>
      </c>
    </row>
    <row r="92">
      <c r="A92" s="38" t="str">
        <f>IFERROR(__xludf.DUMMYFUNCTION("""COMPUTED_VALUE"""),"Crisil")</f>
        <v>Crisil</v>
      </c>
      <c r="B92" s="31">
        <f>IFERROR(__xludf.DUMMYFUNCTION("""COMPUTED_VALUE"""),22166.9)</f>
        <v>22166.9</v>
      </c>
      <c r="C92" s="32">
        <f>IFERROR(__xludf.DUMMYFUNCTION("""COMPUTED_VALUE"""),3020.0)</f>
        <v>3020</v>
      </c>
      <c r="D92" s="32">
        <f>IFERROR(__xludf.DUMMYFUNCTION("""COMPUTED_VALUE"""),38.36)</f>
        <v>38.36</v>
      </c>
      <c r="E92" s="32">
        <f>IFERROR(__xludf.DUMMYFUNCTION("""COMPUTED_VALUE"""),3863.55)</f>
        <v>3863.55</v>
      </c>
      <c r="F92" s="33">
        <f>IFERROR(__xludf.DUMMYFUNCTION("""COMPUTED_VALUE"""),0.2183354686751822)</f>
        <v>0.2183354687</v>
      </c>
      <c r="G92" s="32">
        <f>IFERROR(__xludf.DUMMYFUNCTION("""COMPUTED_VALUE"""),2540.0)</f>
        <v>2540</v>
      </c>
      <c r="H92" s="33">
        <f>IFERROR(__xludf.DUMMYFUNCTION("""COMPUTED_VALUE"""),0.1889763779527559)</f>
        <v>0.188976378</v>
      </c>
      <c r="I92" s="32">
        <f>IFERROR(__xludf.DUMMYFUNCTION("""COMPUTED_VALUE"""),3044.5)</f>
        <v>3044.5</v>
      </c>
      <c r="J92" s="33">
        <f>IFERROR(__xludf.DUMMYFUNCTION("""COMPUTED_VALUE"""),-0.008047298406963376)</f>
        <v>-0.008047298407</v>
      </c>
      <c r="K92" s="34" t="str">
        <f t="array" ref="K92">if(VLOOKUP(A92,'NSEBSE Code'!$A$4:$C$219,2,0) &lt;&gt; "",VLOOKUP(A92,'NSEBSE Code'!$A$4:$C$219,2,0),"")</f>
        <v>Reserach</v>
      </c>
      <c r="L92" s="34" t="str">
        <f t="array" ref="L92">VLOOKUP(A92,'NSEBSE Code'!$A$4:$C$219,3,0)</f>
        <v>CRISIL</v>
      </c>
      <c r="M92" s="35" t="str">
        <f t="array" ref="M92">if(F92 &gt; 30%, "Yes", "No")</f>
        <v>No</v>
      </c>
      <c r="N92" s="36" t="str">
        <f t="array" ref="N92">if(H92 &lt; 30%, "Yes", "No")</f>
        <v>Yes</v>
      </c>
      <c r="O92" s="37" t="str">
        <f t="array" ref="O92">if(AND(D92&lt;65,M92="No",N92="No"),"Good Stock","")</f>
        <v/>
      </c>
      <c r="P92" s="37" t="str">
        <f t="array" ref="P92">ifs(B92/$B$2 &gt; 0.6,"Large Cap", B92/$B$2 &gt; 0.4, "Mid Cap",B92/$B$2&gt;0,"Low Cap")</f>
        <v>Low Cap</v>
      </c>
    </row>
    <row r="93">
      <c r="A93" s="38" t="str">
        <f>IFERROR(__xludf.DUMMYFUNCTION("""COMPUTED_VALUE"""),"LIC Housing Finance")</f>
        <v>LIC Housing Finance</v>
      </c>
      <c r="B93" s="31">
        <f>IFERROR(__xludf.DUMMYFUNCTION("""COMPUTED_VALUE"""),22159.2659823)</f>
        <v>22159.26598</v>
      </c>
      <c r="C93" s="32">
        <f>IFERROR(__xludf.DUMMYFUNCTION("""COMPUTED_VALUE"""),402.9)</f>
        <v>402.9</v>
      </c>
      <c r="D93" s="32">
        <f>IFERROR(__xludf.DUMMYFUNCTION("""COMPUTED_VALUE"""),6.85)</f>
        <v>6.85</v>
      </c>
      <c r="E93" s="32">
        <f>IFERROR(__xludf.DUMMYFUNCTION("""COMPUTED_VALUE"""),443.5)</f>
        <v>443.5</v>
      </c>
      <c r="F93" s="33">
        <f>IFERROR(__xludf.DUMMYFUNCTION("""COMPUTED_VALUE"""),0.09154453213077796)</f>
        <v>0.09154453213</v>
      </c>
      <c r="G93" s="32">
        <f>IFERROR(__xludf.DUMMYFUNCTION("""COMPUTED_VALUE"""),291.75)</f>
        <v>291.75</v>
      </c>
      <c r="H93" s="33">
        <f>IFERROR(__xludf.DUMMYFUNCTION("""COMPUTED_VALUE"""),0.38097686375321327)</f>
        <v>0.3809768638</v>
      </c>
      <c r="I93" s="32">
        <f>IFERROR(__xludf.DUMMYFUNCTION("""COMPUTED_VALUE"""),400.2)</f>
        <v>400.2</v>
      </c>
      <c r="J93" s="33">
        <f>IFERROR(__xludf.DUMMYFUNCTION("""COMPUTED_VALUE"""),0.006746626686656643)</f>
        <v>0.006746626687</v>
      </c>
      <c r="K93" s="34" t="str">
        <f t="array" ref="K93">if(VLOOKUP(A93,'NSEBSE Code'!$A$4:$C$219,2,0) &lt;&gt; "",VLOOKUP(A93,'NSEBSE Code'!$A$4:$C$219,2,0),"")</f>
        <v>NBFC</v>
      </c>
      <c r="L93" s="34" t="str">
        <f t="array" ref="L93">VLOOKUP(A93,'NSEBSE Code'!$A$4:$C$219,3,0)</f>
        <v>BOM:500253</v>
      </c>
      <c r="M93" s="35" t="str">
        <f t="array" ref="M93">if(F93 &gt; 30%, "Yes", "No")</f>
        <v>No</v>
      </c>
      <c r="N93" s="36" t="str">
        <f t="array" ref="N93">if(H93 &lt; 30%, "Yes", "No")</f>
        <v>No</v>
      </c>
      <c r="O93" s="37" t="str">
        <f t="array" ref="O93">if(AND(D93&lt;65,M93="No",N93="No"),"Good Stock","")</f>
        <v>Good Stock</v>
      </c>
      <c r="P93" s="37" t="str">
        <f t="array" ref="P93">ifs(B93/$B$2 &gt; 0.6,"Large Cap", B93/$B$2 &gt; 0.4, "Mid Cap",B93/$B$2&gt;0,"Low Cap")</f>
        <v>Low Cap</v>
      </c>
    </row>
    <row r="94">
      <c r="A94" s="38" t="str">
        <f>IFERROR(__xludf.DUMMYFUNCTION("""COMPUTED_VALUE"""),"IPCA Lab")</f>
        <v>IPCA Lab</v>
      </c>
      <c r="B94" s="31">
        <f>IFERROR(__xludf.DUMMYFUNCTION("""COMPUTED_VALUE"""),22090.03)</f>
        <v>22090.03</v>
      </c>
      <c r="C94" s="32">
        <f>IFERROR(__xludf.DUMMYFUNCTION("""COMPUTED_VALUE"""),872.85)</f>
        <v>872.85</v>
      </c>
      <c r="D94" s="32">
        <f>IFERROR(__xludf.DUMMYFUNCTION("""COMPUTED_VALUE"""),42.96)</f>
        <v>42.96</v>
      </c>
      <c r="E94" s="32">
        <f>IFERROR(__xludf.DUMMYFUNCTION("""COMPUTED_VALUE"""),1095.0)</f>
        <v>1095</v>
      </c>
      <c r="F94" s="33">
        <f>IFERROR(__xludf.DUMMYFUNCTION("""COMPUTED_VALUE"""),0.2028767123287671)</f>
        <v>0.2028767123</v>
      </c>
      <c r="G94" s="32">
        <f>IFERROR(__xludf.DUMMYFUNCTION("""COMPUTED_VALUE"""),830.0)</f>
        <v>830</v>
      </c>
      <c r="H94" s="33">
        <f>IFERROR(__xludf.DUMMYFUNCTION("""COMPUTED_VALUE"""),0.051626506024096415)</f>
        <v>0.05162650602</v>
      </c>
      <c r="I94" s="32">
        <f>IFERROR(__xludf.DUMMYFUNCTION("""COMPUTED_VALUE"""),868.6)</f>
        <v>868.6</v>
      </c>
      <c r="J94" s="33">
        <f>IFERROR(__xludf.DUMMYFUNCTION("""COMPUTED_VALUE"""),0.004892931153580474)</f>
        <v>0.004892931154</v>
      </c>
      <c r="K94" s="34" t="str">
        <f t="array" ref="K94">if(VLOOKUP(A94,'NSEBSE Code'!$A$4:$C$219,2,0) &lt;&gt; "",VLOOKUP(A94,'NSEBSE Code'!$A$4:$C$219,2,0),"")</f>
        <v>Pharma</v>
      </c>
      <c r="L94" s="34" t="str">
        <f t="array" ref="L94">VLOOKUP(A94,'NSEBSE Code'!$A$4:$C$219,3,0)</f>
        <v>IPCALAB</v>
      </c>
      <c r="M94" s="35" t="str">
        <f t="array" ref="M94">if(F94 &gt; 30%, "Yes", "No")</f>
        <v>No</v>
      </c>
      <c r="N94" s="36" t="str">
        <f t="array" ref="N94">if(H94 &lt; 30%, "Yes", "No")</f>
        <v>Yes</v>
      </c>
      <c r="O94" s="37" t="str">
        <f t="array" ref="O94">if(AND(D94&lt;65,M94="No",N94="No"),"Good Stock","")</f>
        <v/>
      </c>
      <c r="P94" s="37" t="str">
        <f t="array" ref="P94">ifs(B94/$B$2 &gt; 0.6,"Large Cap", B94/$B$2 &gt; 0.4, "Mid Cap",B94/$B$2&gt;0,"Low Cap")</f>
        <v>Low Cap</v>
      </c>
    </row>
    <row r="95">
      <c r="A95" s="38" t="str">
        <f>IFERROR(__xludf.DUMMYFUNCTION("""COMPUTED_VALUE"""),"Dixon Technologies")</f>
        <v>Dixon Technologies</v>
      </c>
      <c r="B95" s="31">
        <f>IFERROR(__xludf.DUMMYFUNCTION("""COMPUTED_VALUE"""),21650.114525)</f>
        <v>21650.11453</v>
      </c>
      <c r="C95" s="32">
        <f>IFERROR(__xludf.DUMMYFUNCTION("""COMPUTED_VALUE"""),3635.0)</f>
        <v>3635</v>
      </c>
      <c r="D95" s="32">
        <f>IFERROR(__xludf.DUMMYFUNCTION("""COMPUTED_VALUE"""),93.72)</f>
        <v>93.72</v>
      </c>
      <c r="E95" s="32">
        <f>IFERROR(__xludf.DUMMYFUNCTION("""COMPUTED_VALUE"""),5444.1)</f>
        <v>5444.1</v>
      </c>
      <c r="F95" s="33">
        <f>IFERROR(__xludf.DUMMYFUNCTION("""COMPUTED_VALUE"""),0.33230469682775854)</f>
        <v>0.3323046968</v>
      </c>
      <c r="G95" s="32">
        <f>IFERROR(__xludf.DUMMYFUNCTION("""COMPUTED_VALUE"""),3180.55)</f>
        <v>3180.55</v>
      </c>
      <c r="H95" s="33">
        <f>IFERROR(__xludf.DUMMYFUNCTION("""COMPUTED_VALUE"""),0.1428840923739604)</f>
        <v>0.1428840924</v>
      </c>
      <c r="I95" s="32">
        <f>IFERROR(__xludf.DUMMYFUNCTION("""COMPUTED_VALUE"""),3651.05)</f>
        <v>3651.05</v>
      </c>
      <c r="J95" s="33">
        <f>IFERROR(__xludf.DUMMYFUNCTION("""COMPUTED_VALUE"""),-0.00439599567247783)</f>
        <v>-0.004395995672</v>
      </c>
      <c r="K95" s="34" t="str">
        <f t="array" ref="K95">if(VLOOKUP(A95,'NSEBSE Code'!$A$4:$C$219,2,0) &lt;&gt; "",VLOOKUP(A95,'NSEBSE Code'!$A$4:$C$219,2,0),"")</f>
        <v>Manufacturing</v>
      </c>
      <c r="L95" s="34" t="str">
        <f t="array" ref="L95">VLOOKUP(A95,'NSEBSE Code'!$A$4:$C$219,3,0)</f>
        <v>DIXON</v>
      </c>
      <c r="M95" s="35" t="str">
        <f t="array" ref="M95">if(F95 &gt; 30%, "Yes", "No")</f>
        <v>Yes</v>
      </c>
      <c r="N95" s="36" t="str">
        <f t="array" ref="N95">if(H95 &lt; 30%, "Yes", "No")</f>
        <v>Yes</v>
      </c>
      <c r="O95" s="37" t="str">
        <f t="array" ref="O95">if(AND(D95&lt;65,M95="No",N95="No"),"Good Stock","")</f>
        <v/>
      </c>
      <c r="P95" s="37" t="str">
        <f t="array" ref="P95">ifs(B95/$B$2 &gt; 0.6,"Large Cap", B95/$B$2 &gt; 0.4, "Mid Cap",B95/$B$2&gt;0,"Low Cap")</f>
        <v>Low Cap</v>
      </c>
    </row>
    <row r="96">
      <c r="A96" s="38" t="str">
        <f>IFERROR(__xludf.DUMMYFUNCTION("""COMPUTED_VALUE"""),"Crompton Greves")</f>
        <v>Crompton Greves</v>
      </c>
      <c r="B96" s="31">
        <f>IFERROR(__xludf.DUMMYFUNCTION("""COMPUTED_VALUE"""),21451.6044776)</f>
        <v>21451.60448</v>
      </c>
      <c r="C96" s="32">
        <f>IFERROR(__xludf.DUMMYFUNCTION("""COMPUTED_VALUE"""),337.35)</f>
        <v>337.35</v>
      </c>
      <c r="D96" s="32">
        <f>IFERROR(__xludf.DUMMYFUNCTION("""COMPUTED_VALUE"""),36.77)</f>
        <v>36.77</v>
      </c>
      <c r="E96" s="32">
        <f>IFERROR(__xludf.DUMMYFUNCTION("""COMPUTED_VALUE"""),451.95)</f>
        <v>451.95</v>
      </c>
      <c r="F96" s="33">
        <f>IFERROR(__xludf.DUMMYFUNCTION("""COMPUTED_VALUE"""),0.2535678725522734)</f>
        <v>0.2535678726</v>
      </c>
      <c r="G96" s="32">
        <f>IFERROR(__xludf.DUMMYFUNCTION("""COMPUTED_VALUE"""),312.0)</f>
        <v>312</v>
      </c>
      <c r="H96" s="33">
        <f>IFERROR(__xludf.DUMMYFUNCTION("""COMPUTED_VALUE"""),0.08125000000000007)</f>
        <v>0.08125</v>
      </c>
      <c r="I96" s="32">
        <f>IFERROR(__xludf.DUMMYFUNCTION("""COMPUTED_VALUE"""),338.0)</f>
        <v>338</v>
      </c>
      <c r="J96" s="33">
        <f>IFERROR(__xludf.DUMMYFUNCTION("""COMPUTED_VALUE"""),-0.0019230769230768557)</f>
        <v>-0.001923076923</v>
      </c>
      <c r="K96" s="34" t="str">
        <f t="array" ref="K96">if(VLOOKUP(A96,'NSEBSE Code'!$A$4:$C$219,2,0) &lt;&gt; "",VLOOKUP(A96,'NSEBSE Code'!$A$4:$C$219,2,0),"")</f>
        <v>Consumer Electrical</v>
      </c>
      <c r="L96" s="34" t="str">
        <f t="array" ref="L96">VLOOKUP(A96,'NSEBSE Code'!$A$4:$C$219,3,0)</f>
        <v>CROMPTON</v>
      </c>
      <c r="M96" s="35" t="str">
        <f t="array" ref="M96">if(F96 &gt; 30%, "Yes", "No")</f>
        <v>No</v>
      </c>
      <c r="N96" s="36" t="str">
        <f t="array" ref="N96">if(H96 &lt; 30%, "Yes", "No")</f>
        <v>Yes</v>
      </c>
      <c r="O96" s="37" t="str">
        <f t="array" ref="O96">if(AND(D96&lt;65,M96="No",N96="No"),"Good Stock","")</f>
        <v/>
      </c>
      <c r="P96" s="37" t="str">
        <f t="array" ref="P96">ifs(B96/$B$2 &gt; 0.6,"Large Cap", B96/$B$2 &gt; 0.4, "Mid Cap",B96/$B$2&gt;0,"Low Cap")</f>
        <v>Low Cap</v>
      </c>
    </row>
    <row r="97">
      <c r="A97" s="38" t="str">
        <f>IFERROR(__xludf.DUMMYFUNCTION("""COMPUTED_VALUE"""),"Aarti Industries")</f>
        <v>Aarti Industries</v>
      </c>
      <c r="B97" s="31">
        <f>IFERROR(__xludf.DUMMYFUNCTION("""COMPUTED_VALUE"""),21081.42)</f>
        <v>21081.42</v>
      </c>
      <c r="C97" s="32">
        <f>IFERROR(__xludf.DUMMYFUNCTION("""COMPUTED_VALUE"""),581.8)</f>
        <v>581.8</v>
      </c>
      <c r="D97" s="32">
        <f>IFERROR(__xludf.DUMMYFUNCTION("""COMPUTED_VALUE"""),17.2)</f>
        <v>17.2</v>
      </c>
      <c r="E97" s="32">
        <f>IFERROR(__xludf.DUMMYFUNCTION("""COMPUTED_VALUE"""),1118.0)</f>
        <v>1118</v>
      </c>
      <c r="F97" s="33">
        <f>IFERROR(__xludf.DUMMYFUNCTION("""COMPUTED_VALUE"""),0.4796064400715564)</f>
        <v>0.4796064401</v>
      </c>
      <c r="G97" s="32">
        <f>IFERROR(__xludf.DUMMYFUNCTION("""COMPUTED_VALUE"""),579.0)</f>
        <v>579</v>
      </c>
      <c r="H97" s="33">
        <f>IFERROR(__xludf.DUMMYFUNCTION("""COMPUTED_VALUE"""),0.004835924006908385)</f>
        <v>0.004835924007</v>
      </c>
      <c r="I97" s="32">
        <f>IFERROR(__xludf.DUMMYFUNCTION("""COMPUTED_VALUE"""),592.4)</f>
        <v>592.4</v>
      </c>
      <c r="J97" s="33">
        <f>IFERROR(__xludf.DUMMYFUNCTION("""COMPUTED_VALUE"""),-0.01789331532748147)</f>
        <v>-0.01789331533</v>
      </c>
      <c r="K97" s="34" t="str">
        <f t="array" ref="K97">if(VLOOKUP(A97,'NSEBSE Code'!$A$4:$C$219,2,0) &lt;&gt; "",VLOOKUP(A97,'NSEBSE Code'!$A$4:$C$219,2,0),"")</f>
        <v>Chemical</v>
      </c>
      <c r="L97" s="34" t="str">
        <f t="array" ref="L97">VLOOKUP(A97,'NSEBSE Code'!$A$4:$C$219,3,0)</f>
        <v>AARTIIND</v>
      </c>
      <c r="M97" s="35" t="str">
        <f t="array" ref="M97">if(F97 &gt; 30%, "Yes", "No")</f>
        <v>Yes</v>
      </c>
      <c r="N97" s="36" t="str">
        <f t="array" ref="N97">if(H97 &lt; 30%, "Yes", "No")</f>
        <v>Yes</v>
      </c>
      <c r="O97" s="37" t="str">
        <f t="array" ref="O97">if(AND(D97&lt;65,M97="No",N97="No"),"Good Stock","")</f>
        <v/>
      </c>
      <c r="P97" s="37" t="str">
        <f t="array" ref="P97">ifs(B97/$B$2 &gt; 0.6,"Large Cap", B97/$B$2 &gt; 0.4, "Mid Cap",B97/$B$2&gt;0,"Low Cap")</f>
        <v>Low Cap</v>
      </c>
    </row>
    <row r="98">
      <c r="A98" s="38" t="str">
        <f>IFERROR(__xludf.DUMMYFUNCTION("""COMPUTED_VALUE"""),"Bayer Cropscience")</f>
        <v>Bayer Cropscience</v>
      </c>
      <c r="B98" s="31">
        <f>IFERROR(__xludf.DUMMYFUNCTION("""COMPUTED_VALUE"""),21050.0222911)</f>
        <v>21050.02229</v>
      </c>
      <c r="C98" s="32">
        <f>IFERROR(__xludf.DUMMYFUNCTION("""COMPUTED_VALUE"""),4669.05)</f>
        <v>4669.05</v>
      </c>
      <c r="D98" s="32">
        <f>IFERROR(__xludf.DUMMYFUNCTION("""COMPUTED_VALUE"""),29.86)</f>
        <v>29.86</v>
      </c>
      <c r="E98" s="32">
        <f>IFERROR(__xludf.DUMMYFUNCTION("""COMPUTED_VALUE"""),5667.75)</f>
        <v>5667.75</v>
      </c>
      <c r="F98" s="33">
        <f>IFERROR(__xludf.DUMMYFUNCTION("""COMPUTED_VALUE"""),0.17620748974460762)</f>
        <v>0.1762074897</v>
      </c>
      <c r="G98" s="32">
        <f>IFERROR(__xludf.DUMMYFUNCTION("""COMPUTED_VALUE"""),4218.05)</f>
        <v>4218.05</v>
      </c>
      <c r="H98" s="33">
        <f>IFERROR(__xludf.DUMMYFUNCTION("""COMPUTED_VALUE"""),0.10692144474342409)</f>
        <v>0.1069214447</v>
      </c>
      <c r="I98" s="32">
        <f>IFERROR(__xludf.DUMMYFUNCTION("""COMPUTED_VALUE"""),4647.55)</f>
        <v>4647.55</v>
      </c>
      <c r="J98" s="33">
        <f>IFERROR(__xludf.DUMMYFUNCTION("""COMPUTED_VALUE"""),0.004626093317984745)</f>
        <v>0.004626093318</v>
      </c>
      <c r="K98" s="34" t="str">
        <f t="array" ref="K98">if(VLOOKUP(A98,'NSEBSE Code'!$A$4:$C$219,2,0) &lt;&gt; "",VLOOKUP(A98,'NSEBSE Code'!$A$4:$C$219,2,0),"")</f>
        <v>Agrochemical</v>
      </c>
      <c r="L98" s="34" t="str">
        <f t="array" ref="L98">VLOOKUP(A98,'NSEBSE Code'!$A$4:$C$219,3,0)</f>
        <v>BAYERCROP</v>
      </c>
      <c r="M98" s="35" t="str">
        <f t="array" ref="M98">if(F98 &gt; 30%, "Yes", "No")</f>
        <v>No</v>
      </c>
      <c r="N98" s="36" t="str">
        <f t="array" ref="N98">if(H98 &lt; 30%, "Yes", "No")</f>
        <v>Yes</v>
      </c>
      <c r="O98" s="37" t="str">
        <f t="array" ref="O98">if(AND(D98&lt;65,M98="No",N98="No"),"Good Stock","")</f>
        <v/>
      </c>
      <c r="P98" s="37" t="str">
        <f t="array" ref="P98">ifs(B98/$B$2 &gt; 0.6,"Large Cap", B98/$B$2 &gt; 0.4, "Mid Cap",B98/$B$2&gt;0,"Low Cap")</f>
        <v>Low Cap</v>
      </c>
    </row>
    <row r="99">
      <c r="A99" s="38" t="str">
        <f>IFERROR(__xludf.DUMMYFUNCTION("""COMPUTED_VALUE"""),"Vinita Organics")</f>
        <v>Vinita Organics</v>
      </c>
      <c r="B99" s="31">
        <f>IFERROR(__xludf.DUMMYFUNCTION("""COMPUTED_VALUE"""),20604.2)</f>
        <v>20604.2</v>
      </c>
      <c r="C99" s="32">
        <f>IFERROR(__xludf.DUMMYFUNCTION("""COMPUTED_VALUE"""),2000.0)</f>
        <v>2000</v>
      </c>
      <c r="D99" s="32">
        <f>IFERROR(__xludf.DUMMYFUNCTION("""COMPUTED_VALUE"""),51.19)</f>
        <v>51.19</v>
      </c>
      <c r="E99" s="32">
        <f>IFERROR(__xludf.DUMMYFUNCTION("""COMPUTED_VALUE"""),2377.0)</f>
        <v>2377</v>
      </c>
      <c r="F99" s="33">
        <f>IFERROR(__xludf.DUMMYFUNCTION("""COMPUTED_VALUE"""),0.15860328144720234)</f>
        <v>0.1586032814</v>
      </c>
      <c r="G99" s="32">
        <f>IFERROR(__xludf.DUMMYFUNCTION("""COMPUTED_VALUE"""),1674.2)</f>
        <v>1674.2</v>
      </c>
      <c r="H99" s="33">
        <f>IFERROR(__xludf.DUMMYFUNCTION("""COMPUTED_VALUE"""),0.19460040616413807)</f>
        <v>0.1946004062</v>
      </c>
      <c r="I99" s="32">
        <f>IFERROR(__xludf.DUMMYFUNCTION("""COMPUTED_VALUE"""),2014.85)</f>
        <v>2014.85</v>
      </c>
      <c r="J99" s="33">
        <f>IFERROR(__xludf.DUMMYFUNCTION("""COMPUTED_VALUE"""),-0.007370275702905878)</f>
        <v>-0.007370275703</v>
      </c>
      <c r="K99" s="34" t="str">
        <f t="array" ref="K99">if(VLOOKUP(A99,'NSEBSE Code'!$A$4:$C$219,2,0) &lt;&gt; "",VLOOKUP(A99,'NSEBSE Code'!$A$4:$C$219,2,0),"")</f>
        <v>Chemical</v>
      </c>
      <c r="L99" s="34" t="str">
        <f t="array" ref="L99">VLOOKUP(A99,'NSEBSE Code'!$A$4:$C$219,3,0)</f>
        <v>VINATIORGA</v>
      </c>
      <c r="M99" s="35" t="str">
        <f t="array" ref="M99">if(F99 &gt; 30%, "Yes", "No")</f>
        <v>No</v>
      </c>
      <c r="N99" s="36" t="str">
        <f t="array" ref="N99">if(H99 &lt; 30%, "Yes", "No")</f>
        <v>Yes</v>
      </c>
      <c r="O99" s="37" t="str">
        <f t="array" ref="O99">if(AND(D99&lt;65,M99="No",N99="No"),"Good Stock","")</f>
        <v/>
      </c>
      <c r="P99" s="37" t="str">
        <f t="array" ref="P99">ifs(B99/$B$2 &gt; 0.6,"Large Cap", B99/$B$2 &gt; 0.4, "Mid Cap",B99/$B$2&gt;0,"Low Cap")</f>
        <v>Low Cap</v>
      </c>
    </row>
    <row r="100">
      <c r="A100" s="38" t="str">
        <f>IFERROR(__xludf.DUMMYFUNCTION("""COMPUTED_VALUE"""),"Bata India")</f>
        <v>Bata India</v>
      </c>
      <c r="B100" s="31">
        <f>IFERROR(__xludf.DUMMYFUNCTION("""COMPUTED_VALUE"""),20286.8999472)</f>
        <v>20286.89995</v>
      </c>
      <c r="C100" s="32">
        <f>IFERROR(__xludf.DUMMYFUNCTION("""COMPUTED_VALUE"""),1580.0)</f>
        <v>1580</v>
      </c>
      <c r="D100" s="32">
        <f>IFERROR(__xludf.DUMMYFUNCTION("""COMPUTED_VALUE"""),65.53)</f>
        <v>65.53</v>
      </c>
      <c r="E100" s="32">
        <f>IFERROR(__xludf.DUMMYFUNCTION("""COMPUTED_VALUE"""),2122.0)</f>
        <v>2122</v>
      </c>
      <c r="F100" s="33">
        <f>IFERROR(__xludf.DUMMYFUNCTION("""COMPUTED_VALUE"""),0.2554194156456173)</f>
        <v>0.2554194156</v>
      </c>
      <c r="G100" s="32">
        <f>IFERROR(__xludf.DUMMYFUNCTION("""COMPUTED_VALUE"""),1551.1)</f>
        <v>1551.1</v>
      </c>
      <c r="H100" s="33">
        <f>IFERROR(__xludf.DUMMYFUNCTION("""COMPUTED_VALUE"""),0.01863193862420224)</f>
        <v>0.01863193862</v>
      </c>
      <c r="I100" s="32">
        <f>IFERROR(__xludf.DUMMYFUNCTION("""COMPUTED_VALUE"""),1636.6)</f>
        <v>1636.6</v>
      </c>
      <c r="J100" s="33">
        <f>IFERROR(__xludf.DUMMYFUNCTION("""COMPUTED_VALUE"""),-0.03458389343761451)</f>
        <v>-0.03458389344</v>
      </c>
      <c r="K100" s="34" t="str">
        <f t="array" ref="K100">if(VLOOKUP(A100,'NSEBSE Code'!$A$4:$C$219,2,0) &lt;&gt; "",VLOOKUP(A100,'NSEBSE Code'!$A$4:$C$219,2,0),"")</f>
        <v>Footwear</v>
      </c>
      <c r="L100" s="34" t="str">
        <f t="array" ref="L100">VLOOKUP(A100,'NSEBSE Code'!$A$4:$C$219,3,0)</f>
        <v>BATAINDIA</v>
      </c>
      <c r="M100" s="35" t="str">
        <f t="array" ref="M100">if(F100 &gt; 30%, "Yes", "No")</f>
        <v>No</v>
      </c>
      <c r="N100" s="36" t="str">
        <f t="array" ref="N100">if(H100 &lt; 30%, "Yes", "No")</f>
        <v>Yes</v>
      </c>
      <c r="O100" s="37" t="str">
        <f t="array" ref="O100">if(AND(D100&lt;65,M100="No",N100="No"),"Good Stock","")</f>
        <v/>
      </c>
      <c r="P100" s="37" t="str">
        <f t="array" ref="P100">ifs(B100/$B$2 &gt; 0.6,"Large Cap", B100/$B$2 &gt; 0.4, "Mid Cap",B100/$B$2&gt;0,"Low Cap")</f>
        <v>Low Cap</v>
      </c>
    </row>
    <row r="101">
      <c r="A101" s="38" t="str">
        <f>IFERROR(__xludf.DUMMYFUNCTION("""COMPUTED_VALUE"""),"Navin Flourine")</f>
        <v>Navin Flourine</v>
      </c>
      <c r="B101" s="31">
        <f>IFERROR(__xludf.DUMMYFUNCTION("""COMPUTED_VALUE"""),20217.231452)</f>
        <v>20217.23145</v>
      </c>
      <c r="C101" s="32">
        <f>IFERROR(__xludf.DUMMYFUNCTION("""COMPUTED_VALUE"""),4080.6)</f>
        <v>4080.6</v>
      </c>
      <c r="D101" s="32">
        <f>IFERROR(__xludf.DUMMYFUNCTION("""COMPUTED_VALUE"""),73.24)</f>
        <v>73.24</v>
      </c>
      <c r="E101" s="32">
        <f>IFERROR(__xludf.DUMMYFUNCTION("""COMPUTED_VALUE"""),4847.35)</f>
        <v>4847.35</v>
      </c>
      <c r="F101" s="33">
        <f>IFERROR(__xludf.DUMMYFUNCTION("""COMPUTED_VALUE"""),0.15817921132165005)</f>
        <v>0.1581792113</v>
      </c>
      <c r="G101" s="32">
        <f>IFERROR(__xludf.DUMMYFUNCTION("""COMPUTED_VALUE"""),3361.45)</f>
        <v>3361.45</v>
      </c>
      <c r="H101" s="33">
        <f>IFERROR(__xludf.DUMMYFUNCTION("""COMPUTED_VALUE"""),0.2139404126195541)</f>
        <v>0.2139404126</v>
      </c>
      <c r="I101" s="32">
        <f>IFERROR(__xludf.DUMMYFUNCTION("""COMPUTED_VALUE"""),4127.1)</f>
        <v>4127.1</v>
      </c>
      <c r="J101" s="33">
        <f>IFERROR(__xludf.DUMMYFUNCTION("""COMPUTED_VALUE"""),-0.011266991349858363)</f>
        <v>-0.01126699135</v>
      </c>
      <c r="K101" s="34" t="str">
        <f t="array" ref="K101">if(VLOOKUP(A101,'NSEBSE Code'!$A$4:$C$219,2,0) &lt;&gt; "",VLOOKUP(A101,'NSEBSE Code'!$A$4:$C$219,2,0),"")</f>
        <v>Chemical</v>
      </c>
      <c r="L101" s="34" t="str">
        <f t="array" ref="L101">VLOOKUP(A101,'NSEBSE Code'!$A$4:$C$219,3,0)</f>
        <v>BOM:532504</v>
      </c>
      <c r="M101" s="35" t="str">
        <f t="array" ref="M101">if(F101 &gt; 30%, "Yes", "No")</f>
        <v>No</v>
      </c>
      <c r="N101" s="36" t="str">
        <f t="array" ref="N101">if(H101 &lt; 30%, "Yes", "No")</f>
        <v>Yes</v>
      </c>
      <c r="O101" s="37" t="str">
        <f t="array" ref="O101">if(AND(D101&lt;65,M101="No",N101="No"),"Good Stock","")</f>
        <v/>
      </c>
      <c r="P101" s="37" t="str">
        <f t="array" ref="P101">ifs(B101/$B$2 &gt; 0.6,"Large Cap", B101/$B$2 &gt; 0.4, "Mid Cap",B101/$B$2&gt;0,"Low Cap")</f>
        <v>Low Cap</v>
      </c>
    </row>
    <row r="102">
      <c r="A102" s="38" t="str">
        <f>IFERROR(__xludf.DUMMYFUNCTION("""COMPUTED_VALUE"""),"Endurance Technology")</f>
        <v>Endurance Technology</v>
      </c>
      <c r="B102" s="31">
        <f>IFERROR(__xludf.DUMMYFUNCTION("""COMPUTED_VALUE"""),19679.44)</f>
        <v>19679.44</v>
      </c>
      <c r="C102" s="32">
        <f>IFERROR(__xludf.DUMMYFUNCTION("""COMPUTED_VALUE"""),1398.5)</f>
        <v>1398.5</v>
      </c>
      <c r="D102" s="32">
        <f>IFERROR(__xludf.DUMMYFUNCTION("""COMPUTED_VALUE"""),42.23)</f>
        <v>42.23</v>
      </c>
      <c r="E102" s="32">
        <f>IFERROR(__xludf.DUMMYFUNCTION("""COMPUTED_VALUE"""),1736.15)</f>
        <v>1736.15</v>
      </c>
      <c r="F102" s="33">
        <f>IFERROR(__xludf.DUMMYFUNCTION("""COMPUTED_VALUE"""),0.19448204360222335)</f>
        <v>0.1944820436</v>
      </c>
      <c r="G102" s="32">
        <f>IFERROR(__xludf.DUMMYFUNCTION("""COMPUTED_VALUE"""),1047.2)</f>
        <v>1047.2</v>
      </c>
      <c r="H102" s="33">
        <f>IFERROR(__xludf.DUMMYFUNCTION("""COMPUTED_VALUE"""),0.3354660045836516)</f>
        <v>0.3354660046</v>
      </c>
      <c r="I102" s="32">
        <f>IFERROR(__xludf.DUMMYFUNCTION("""COMPUTED_VALUE"""),1401.15)</f>
        <v>1401.15</v>
      </c>
      <c r="J102" s="33">
        <f>IFERROR(__xludf.DUMMYFUNCTION("""COMPUTED_VALUE"""),-0.001891303572065868)</f>
        <v>-0.001891303572</v>
      </c>
      <c r="K102" s="34" t="str">
        <f t="array" ref="K102">if(VLOOKUP(A102,'NSEBSE Code'!$A$4:$C$219,2,0) &lt;&gt; "",VLOOKUP(A102,'NSEBSE Code'!$A$4:$C$219,2,0),"")</f>
        <v>Automobile Ancilliary</v>
      </c>
      <c r="L102" s="34" t="str">
        <f t="array" ref="L102">VLOOKUP(A102,'NSEBSE Code'!$A$4:$C$219,3,0)</f>
        <v>ENDURANCE</v>
      </c>
      <c r="M102" s="35" t="str">
        <f t="array" ref="M102">if(F102 &gt; 30%, "Yes", "No")</f>
        <v>No</v>
      </c>
      <c r="N102" s="36" t="str">
        <f t="array" ref="N102">if(H102 &lt; 30%, "Yes", "No")</f>
        <v>No</v>
      </c>
      <c r="O102" s="37" t="str">
        <f t="array" ref="O102">if(AND(D102&lt;65,M102="No",N102="No"),"Good Stock","")</f>
        <v>Good Stock</v>
      </c>
      <c r="P102" s="37" t="str">
        <f t="array" ref="P102">ifs(B102/$B$2 &gt; 0.6,"Large Cap", B102/$B$2 &gt; 0.4, "Mid Cap",B102/$B$2&gt;0,"Low Cap")</f>
        <v>Low Cap</v>
      </c>
    </row>
    <row r="103">
      <c r="A103" s="38" t="str">
        <f>IFERROR(__xludf.DUMMYFUNCTION("""COMPUTED_VALUE"""),"Pfizer")</f>
        <v>Pfizer</v>
      </c>
      <c r="B103" s="31">
        <f>IFERROR(__xludf.DUMMYFUNCTION("""COMPUTED_VALUE"""),19278.55)</f>
        <v>19278.55</v>
      </c>
      <c r="C103" s="32">
        <f>IFERROR(__xludf.DUMMYFUNCTION("""COMPUTED_VALUE"""),4224.9)</f>
        <v>4224.9</v>
      </c>
      <c r="D103" s="32">
        <f>IFERROR(__xludf.DUMMYFUNCTION("""COMPUTED_VALUE"""),31.52)</f>
        <v>31.52</v>
      </c>
      <c r="E103" s="32">
        <f>IFERROR(__xludf.DUMMYFUNCTION("""COMPUTED_VALUE"""),4946.1)</f>
        <v>4946.1</v>
      </c>
      <c r="F103" s="33">
        <f>IFERROR(__xludf.DUMMYFUNCTION("""COMPUTED_VALUE"""),0.14581185176199443)</f>
        <v>0.1458118518</v>
      </c>
      <c r="G103" s="32">
        <f>IFERROR(__xludf.DUMMYFUNCTION("""COMPUTED_VALUE"""),4056.0)</f>
        <v>4056</v>
      </c>
      <c r="H103" s="33">
        <f>IFERROR(__xludf.DUMMYFUNCTION("""COMPUTED_VALUE"""),0.04164201183431944)</f>
        <v>0.04164201183</v>
      </c>
      <c r="I103" s="32">
        <f>IFERROR(__xludf.DUMMYFUNCTION("""COMPUTED_VALUE"""),4254.0)</f>
        <v>4254</v>
      </c>
      <c r="J103" s="33">
        <f>IFERROR(__xludf.DUMMYFUNCTION("""COMPUTED_VALUE"""),-0.006840620592383724)</f>
        <v>-0.006840620592</v>
      </c>
      <c r="K103" s="34" t="str">
        <f t="array" ref="K103">if(VLOOKUP(A103,'NSEBSE Code'!$A$4:$C$219,2,0) &lt;&gt; "",VLOOKUP(A103,'NSEBSE Code'!$A$4:$C$219,2,0),"")</f>
        <v>Pharma</v>
      </c>
      <c r="L103" s="34" t="str">
        <f t="array" ref="L103">VLOOKUP(A103,'NSEBSE Code'!$A$4:$C$219,3,0)</f>
        <v>BOM:500680</v>
      </c>
      <c r="M103" s="35" t="str">
        <f t="array" ref="M103">if(F103 &gt; 30%, "Yes", "No")</f>
        <v>No</v>
      </c>
      <c r="N103" s="36" t="str">
        <f t="array" ref="N103">if(H103 &lt; 30%, "Yes", "No")</f>
        <v>Yes</v>
      </c>
      <c r="O103" s="37" t="str">
        <f t="array" ref="O103">if(AND(D103&lt;65,M103="No",N103="No"),"Good Stock","")</f>
        <v/>
      </c>
      <c r="P103" s="37" t="str">
        <f t="array" ref="P103">ifs(B103/$B$2 &gt; 0.6,"Large Cap", B103/$B$2 &gt; 0.4, "Mid Cap",B103/$B$2&gt;0,"Low Cap")</f>
        <v>Low Cap</v>
      </c>
    </row>
    <row r="104">
      <c r="A104" s="38" t="str">
        <f>IFERROR(__xludf.DUMMYFUNCTION("""COMPUTED_VALUE"""),"Lauras Lab")</f>
        <v>Lauras Lab</v>
      </c>
      <c r="B104" s="31">
        <f>IFERROR(__xludf.DUMMYFUNCTION("""COMPUTED_VALUE"""),19213.8702946)</f>
        <v>19213.87029</v>
      </c>
      <c r="C104" s="32">
        <f>IFERROR(__xludf.DUMMYFUNCTION("""COMPUTED_VALUE"""),357.4)</f>
        <v>357.4</v>
      </c>
      <c r="D104" s="32">
        <f>IFERROR(__xludf.DUMMYFUNCTION("""COMPUTED_VALUE"""),22.19)</f>
        <v>22.19</v>
      </c>
      <c r="E104" s="32">
        <f>IFERROR(__xludf.DUMMYFUNCTION("""COMPUTED_VALUE"""),626.3)</f>
        <v>626.3</v>
      </c>
      <c r="F104" s="33">
        <f>IFERROR(__xludf.DUMMYFUNCTION("""COMPUTED_VALUE"""),0.4293469583266805)</f>
        <v>0.4293469583</v>
      </c>
      <c r="G104" s="32">
        <f>IFERROR(__xludf.DUMMYFUNCTION("""COMPUTED_VALUE"""),354.0)</f>
        <v>354</v>
      </c>
      <c r="H104" s="33">
        <f>IFERROR(__xludf.DUMMYFUNCTION("""COMPUTED_VALUE"""),0.009604519774011236)</f>
        <v>0.009604519774</v>
      </c>
      <c r="I104" s="32">
        <f>IFERROR(__xludf.DUMMYFUNCTION("""COMPUTED_VALUE"""),360.4)</f>
        <v>360.4</v>
      </c>
      <c r="J104" s="33">
        <f>IFERROR(__xludf.DUMMYFUNCTION("""COMPUTED_VALUE"""),-0.008324084350721421)</f>
        <v>-0.008324084351</v>
      </c>
      <c r="K104" s="34" t="str">
        <f t="array" ref="K104">if(VLOOKUP(A104,'NSEBSE Code'!$A$4:$C$219,2,0) &lt;&gt; "",VLOOKUP(A104,'NSEBSE Code'!$A$4:$C$219,2,0),"")</f>
        <v>Pharma</v>
      </c>
      <c r="L104" s="34" t="str">
        <f t="array" ref="L104">VLOOKUP(A104,'NSEBSE Code'!$A$4:$C$219,3,0)</f>
        <v>LAURUSLABS</v>
      </c>
      <c r="M104" s="35" t="str">
        <f t="array" ref="M104">if(F104 &gt; 30%, "Yes", "No")</f>
        <v>Yes</v>
      </c>
      <c r="N104" s="36" t="str">
        <f t="array" ref="N104">if(H104 &lt; 30%, "Yes", "No")</f>
        <v>Yes</v>
      </c>
      <c r="O104" s="37" t="str">
        <f t="array" ref="O104">if(AND(D104&lt;65,M104="No",N104="No"),"Good Stock","")</f>
        <v/>
      </c>
      <c r="P104" s="37" t="str">
        <f t="array" ref="P104">ifs(B104/$B$2 &gt; 0.6,"Large Cap", B104/$B$2 &gt; 0.4, "Mid Cap",B104/$B$2&gt;0,"Low Cap")</f>
        <v>Low Cap</v>
      </c>
    </row>
    <row r="105">
      <c r="A105" s="38" t="str">
        <f>IFERROR(__xludf.DUMMYFUNCTION("""COMPUTED_VALUE"""),"KPIT")</f>
        <v>KPIT</v>
      </c>
      <c r="B105" s="31">
        <f>IFERROR(__xludf.DUMMYFUNCTION("""COMPUTED_VALUE"""),18827.9516699)</f>
        <v>18827.95167</v>
      </c>
      <c r="C105" s="32">
        <f>IFERROR(__xludf.DUMMYFUNCTION("""COMPUTED_VALUE"""),696.3)</f>
        <v>696.3</v>
      </c>
      <c r="D105" s="32">
        <f>IFERROR(__xludf.DUMMYFUNCTION("""COMPUTED_VALUE"""),59.82)</f>
        <v>59.82</v>
      </c>
      <c r="E105" s="32">
        <f>IFERROR(__xludf.DUMMYFUNCTION("""COMPUTED_VALUE"""),764.25)</f>
        <v>764.25</v>
      </c>
      <c r="F105" s="33">
        <f>IFERROR(__xludf.DUMMYFUNCTION("""COMPUTED_VALUE"""),0.08891069676153097)</f>
        <v>0.08891069676</v>
      </c>
      <c r="G105" s="32">
        <f>IFERROR(__xludf.DUMMYFUNCTION("""COMPUTED_VALUE"""),440.0)</f>
        <v>440</v>
      </c>
      <c r="H105" s="33">
        <f>IFERROR(__xludf.DUMMYFUNCTION("""COMPUTED_VALUE"""),0.5824999999999999)</f>
        <v>0.5825</v>
      </c>
      <c r="I105" s="32">
        <f>IFERROR(__xludf.DUMMYFUNCTION("""COMPUTED_VALUE"""),692.45)</f>
        <v>692.45</v>
      </c>
      <c r="J105" s="33">
        <f>IFERROR(__xludf.DUMMYFUNCTION("""COMPUTED_VALUE"""),0.005559968228752847)</f>
        <v>0.005559968229</v>
      </c>
      <c r="K105" s="34" t="str">
        <f t="array" ref="K105">if(VLOOKUP(A105,'NSEBSE Code'!$A$4:$C$219,2,0) &lt;&gt; "",VLOOKUP(A105,'NSEBSE Code'!$A$4:$C$219,2,0),"")</f>
        <v>IT</v>
      </c>
      <c r="L105" s="34" t="str">
        <f t="array" ref="L105">VLOOKUP(A105,'NSEBSE Code'!$A$4:$C$219,3,0)</f>
        <v>BOM:542651</v>
      </c>
      <c r="M105" s="35" t="str">
        <f t="array" ref="M105">if(F105 &gt; 30%, "Yes", "No")</f>
        <v>No</v>
      </c>
      <c r="N105" s="36" t="str">
        <f t="array" ref="N105">if(H105 &lt; 30%, "Yes", "No")</f>
        <v>No</v>
      </c>
      <c r="O105" s="37" t="str">
        <f t="array" ref="O105">if(AND(D105&lt;65,M105="No",N105="No"),"Good Stock","")</f>
        <v>Good Stock</v>
      </c>
      <c r="P105" s="37" t="str">
        <f t="array" ref="P105">ifs(B105/$B$2 &gt; 0.6,"Large Cap", B105/$B$2 &gt; 0.4, "Mid Cap",B105/$B$2&gt;0,"Low Cap")</f>
        <v>Low Cap</v>
      </c>
    </row>
    <row r="106">
      <c r="A106" s="38" t="str">
        <f>IFERROR(__xludf.DUMMYFUNCTION("""COMPUTED_VALUE"""),"Whirlpool")</f>
        <v>Whirlpool</v>
      </c>
      <c r="B106" s="31">
        <f>IFERROR(__xludf.DUMMYFUNCTION("""COMPUTED_VALUE"""),18318.3733666)</f>
        <v>18318.37337</v>
      </c>
      <c r="C106" s="32">
        <f>IFERROR(__xludf.DUMMYFUNCTION("""COMPUTED_VALUE"""),1441.55)</f>
        <v>1441.55</v>
      </c>
      <c r="D106" s="32">
        <f>IFERROR(__xludf.DUMMYFUNCTION("""COMPUTED_VALUE"""),70.52)</f>
        <v>70.52</v>
      </c>
      <c r="E106" s="32">
        <f>IFERROR(__xludf.DUMMYFUNCTION("""COMPUTED_VALUE"""),1917.0)</f>
        <v>1917</v>
      </c>
      <c r="F106" s="33">
        <f>IFERROR(__xludf.DUMMYFUNCTION("""COMPUTED_VALUE"""),0.24801773604590507)</f>
        <v>0.248017736</v>
      </c>
      <c r="G106" s="32">
        <f>IFERROR(__xludf.DUMMYFUNCTION("""COMPUTED_VALUE"""),1365.1)</f>
        <v>1365.1</v>
      </c>
      <c r="H106" s="33">
        <f>IFERROR(__xludf.DUMMYFUNCTION("""COMPUTED_VALUE"""),0.05600322320709109)</f>
        <v>0.05600322321</v>
      </c>
      <c r="I106" s="32">
        <f>IFERROR(__xludf.DUMMYFUNCTION("""COMPUTED_VALUE"""),1480.7)</f>
        <v>1480.7</v>
      </c>
      <c r="J106" s="33">
        <f>IFERROR(__xludf.DUMMYFUNCTION("""COMPUTED_VALUE"""),-0.026440197204025184)</f>
        <v>-0.0264401972</v>
      </c>
      <c r="K106" s="34" t="str">
        <f t="array" ref="K106">if(VLOOKUP(A106,'NSEBSE Code'!$A$4:$C$219,2,0) &lt;&gt; "",VLOOKUP(A106,'NSEBSE Code'!$A$4:$C$219,2,0),"")</f>
        <v>Consumer Electrical</v>
      </c>
      <c r="L106" s="34" t="str">
        <f t="array" ref="L106">VLOOKUP(A106,'NSEBSE Code'!$A$4:$C$219,3,0)</f>
        <v>WHIRLPOOL</v>
      </c>
      <c r="M106" s="35" t="str">
        <f t="array" ref="M106">if(F106 &gt; 30%, "Yes", "No")</f>
        <v>No</v>
      </c>
      <c r="N106" s="36" t="str">
        <f t="array" ref="N106">if(H106 &lt; 30%, "Yes", "No")</f>
        <v>Yes</v>
      </c>
      <c r="O106" s="37" t="str">
        <f t="array" ref="O106">if(AND(D106&lt;65,M106="No",N106="No"),"Good Stock","")</f>
        <v/>
      </c>
      <c r="P106" s="37" t="str">
        <f t="array" ref="P106">ifs(B106/$B$2 &gt; 0.6,"Large Cap", B106/$B$2 &gt; 0.4, "Mid Cap",B106/$B$2&gt;0,"Low Cap")</f>
        <v>Low Cap</v>
      </c>
    </row>
    <row r="107">
      <c r="A107" s="38" t="str">
        <f>IFERROR(__xludf.DUMMYFUNCTION("""COMPUTED_VALUE"""),"Dr Lal Path Lab")</f>
        <v>Dr Lal Path Lab</v>
      </c>
      <c r="B107" s="31">
        <f>IFERROR(__xludf.DUMMYFUNCTION("""COMPUTED_VALUE"""),17986.0053514)</f>
        <v>17986.00535</v>
      </c>
      <c r="C107" s="32">
        <f>IFERROR(__xludf.DUMMYFUNCTION("""COMPUTED_VALUE"""),2174.05)</f>
        <v>2174.05</v>
      </c>
      <c r="D107" s="32">
        <f>IFERROR(__xludf.DUMMYFUNCTION("""COMPUTED_VALUE"""),72.77)</f>
        <v>72.77</v>
      </c>
      <c r="E107" s="32">
        <f>IFERROR(__xludf.DUMMYFUNCTION("""COMPUTED_VALUE"""),3769.95)</f>
        <v>3769.95</v>
      </c>
      <c r="F107" s="33">
        <f>IFERROR(__xludf.DUMMYFUNCTION("""COMPUTED_VALUE"""),0.423321264207748)</f>
        <v>0.4233212642</v>
      </c>
      <c r="G107" s="32">
        <f>IFERROR(__xludf.DUMMYFUNCTION("""COMPUTED_VALUE"""),1805.55)</f>
        <v>1805.55</v>
      </c>
      <c r="H107" s="33">
        <f>IFERROR(__xludf.DUMMYFUNCTION("""COMPUTED_VALUE"""),0.20409293567057143)</f>
        <v>0.2040929357</v>
      </c>
      <c r="I107" s="32">
        <f>IFERROR(__xludf.DUMMYFUNCTION("""COMPUTED_VALUE"""),2171.85)</f>
        <v>2171.85</v>
      </c>
      <c r="J107" s="33">
        <f>IFERROR(__xludf.DUMMYFUNCTION("""COMPUTED_VALUE"""),0.0010129613002740857)</f>
        <v>0.0010129613</v>
      </c>
      <c r="K107" s="34" t="str">
        <f t="array" ref="K107">if(VLOOKUP(A107,'NSEBSE Code'!$A$4:$C$219,2,0) &lt;&gt; "",VLOOKUP(A107,'NSEBSE Code'!$A$4:$C$219,2,0),"")</f>
        <v>Healthcare</v>
      </c>
      <c r="L107" s="34" t="str">
        <f t="array" ref="L107">VLOOKUP(A107,'NSEBSE Code'!$A$4:$C$219,3,0)</f>
        <v>LALPATHLAB</v>
      </c>
      <c r="M107" s="35" t="str">
        <f t="array" ref="M107">if(F107 &gt; 30%, "Yes", "No")</f>
        <v>Yes</v>
      </c>
      <c r="N107" s="36" t="str">
        <f t="array" ref="N107">if(H107 &lt; 30%, "Yes", "No")</f>
        <v>Yes</v>
      </c>
      <c r="O107" s="37" t="str">
        <f t="array" ref="O107">if(AND(D107&lt;65,M107="No",N107="No"),"Good Stock","")</f>
        <v/>
      </c>
      <c r="P107" s="37" t="str">
        <f t="array" ref="P107">ifs(B107/$B$2 &gt; 0.6,"Large Cap", B107/$B$2 &gt; 0.4, "Mid Cap",B107/$B$2&gt;0,"Low Cap")</f>
        <v>Low Cap</v>
      </c>
    </row>
    <row r="108">
      <c r="A108" s="38" t="str">
        <f>IFERROR(__xludf.DUMMYFUNCTION("""COMPUTED_VALUE"""),"Kajaria Ceramic")</f>
        <v>Kajaria Ceramic</v>
      </c>
      <c r="B108" s="31">
        <f>IFERROR(__xludf.DUMMYFUNCTION("""COMPUTED_VALUE"""),17802.1935)</f>
        <v>17802.1935</v>
      </c>
      <c r="C108" s="32">
        <f>IFERROR(__xludf.DUMMYFUNCTION("""COMPUTED_VALUE"""),1118.0)</f>
        <v>1118</v>
      </c>
      <c r="D108" s="32">
        <f>IFERROR(__xludf.DUMMYFUNCTION("""COMPUTED_VALUE"""),46.87)</f>
        <v>46.87</v>
      </c>
      <c r="E108" s="32">
        <f>IFERROR(__xludf.DUMMYFUNCTION("""COMPUTED_VALUE"""),1374.55)</f>
        <v>1374.55</v>
      </c>
      <c r="F108" s="33">
        <f>IFERROR(__xludf.DUMMYFUNCTION("""COMPUTED_VALUE"""),0.186642901313157)</f>
        <v>0.1866429013</v>
      </c>
      <c r="G108" s="32">
        <f>IFERROR(__xludf.DUMMYFUNCTION("""COMPUTED_VALUE"""),885.3)</f>
        <v>885.3</v>
      </c>
      <c r="H108" s="33">
        <f>IFERROR(__xludf.DUMMYFUNCTION("""COMPUTED_VALUE"""),0.262848751835536)</f>
        <v>0.2628487518</v>
      </c>
      <c r="I108" s="32">
        <f>IFERROR(__xludf.DUMMYFUNCTION("""COMPUTED_VALUE"""),1112.5)</f>
        <v>1112.5</v>
      </c>
      <c r="J108" s="33">
        <f>IFERROR(__xludf.DUMMYFUNCTION("""COMPUTED_VALUE"""),0.004943820224719101)</f>
        <v>0.004943820225</v>
      </c>
      <c r="K108" s="34" t="str">
        <f t="array" ref="K108">if(VLOOKUP(A108,'NSEBSE Code'!$A$4:$C$219,2,0) &lt;&gt; "",VLOOKUP(A108,'NSEBSE Code'!$A$4:$C$219,2,0),"")</f>
        <v>Ceramic</v>
      </c>
      <c r="L108" s="34" t="str">
        <f t="array" ref="L108">VLOOKUP(A108,'NSEBSE Code'!$A$4:$C$219,3,0)</f>
        <v>KAJARIACER</v>
      </c>
      <c r="M108" s="35" t="str">
        <f t="array" ref="M108">if(F108 &gt; 30%, "Yes", "No")</f>
        <v>No</v>
      </c>
      <c r="N108" s="36" t="str">
        <f t="array" ref="N108">if(H108 &lt; 30%, "Yes", "No")</f>
        <v>Yes</v>
      </c>
      <c r="O108" s="37" t="str">
        <f t="array" ref="O108">if(AND(D108&lt;65,M108="No",N108="No"),"Good Stock","")</f>
        <v/>
      </c>
      <c r="P108" s="37" t="str">
        <f t="array" ref="P108">ifs(B108/$B$2 &gt; 0.6,"Large Cap", B108/$B$2 &gt; 0.4, "Mid Cap",B108/$B$2&gt;0,"Low Cap")</f>
        <v>Low Cap</v>
      </c>
    </row>
    <row r="109">
      <c r="A109" s="38" t="str">
        <f>IFERROR(__xludf.DUMMYFUNCTION("""COMPUTED_VALUE"""),"Fine Organics")</f>
        <v>Fine Organics</v>
      </c>
      <c r="B109" s="31">
        <f>IFERROR(__xludf.DUMMYFUNCTION("""COMPUTED_VALUE"""),17277.2)</f>
        <v>17277.2</v>
      </c>
      <c r="C109" s="32">
        <f>IFERROR(__xludf.DUMMYFUNCTION("""COMPUTED_VALUE"""),5630.0)</f>
        <v>5630</v>
      </c>
      <c r="D109" s="32">
        <f>IFERROR(__xludf.DUMMYFUNCTION("""COMPUTED_VALUE"""),32.19)</f>
        <v>32.19</v>
      </c>
      <c r="E109" s="32">
        <f>IFERROR(__xludf.DUMMYFUNCTION("""COMPUTED_VALUE"""),7328.75)</f>
        <v>7328.75</v>
      </c>
      <c r="F109" s="33">
        <f>IFERROR(__xludf.DUMMYFUNCTION("""COMPUTED_VALUE"""),0.23179259764625618)</f>
        <v>0.2317925976</v>
      </c>
      <c r="G109" s="32">
        <f>IFERROR(__xludf.DUMMYFUNCTION("""COMPUTED_VALUE"""),3457.1)</f>
        <v>3457.1</v>
      </c>
      <c r="H109" s="33">
        <f>IFERROR(__xludf.DUMMYFUNCTION("""COMPUTED_VALUE"""),0.6285325851146916)</f>
        <v>0.6285325851</v>
      </c>
      <c r="I109" s="32">
        <f>IFERROR(__xludf.DUMMYFUNCTION("""COMPUTED_VALUE"""),5672.25)</f>
        <v>5672.25</v>
      </c>
      <c r="J109" s="33">
        <f>IFERROR(__xludf.DUMMYFUNCTION("""COMPUTED_VALUE"""),-0.0074485433469963416)</f>
        <v>-0.007448543347</v>
      </c>
      <c r="K109" s="34" t="str">
        <f t="array" ref="K109">if(VLOOKUP(A109,'NSEBSE Code'!$A$4:$C$219,2,0) &lt;&gt; "",VLOOKUP(A109,'NSEBSE Code'!$A$4:$C$219,2,0),"")</f>
        <v>Chemical</v>
      </c>
      <c r="L109" s="34" t="str">
        <f t="array" ref="L109">VLOOKUP(A109,'NSEBSE Code'!$A$4:$C$219,3,0)</f>
        <v>FINEORG</v>
      </c>
      <c r="M109" s="35" t="str">
        <f t="array" ref="M109">if(F109 &gt; 30%, "Yes", "No")</f>
        <v>No</v>
      </c>
      <c r="N109" s="36" t="str">
        <f t="array" ref="N109">if(H109 &lt; 30%, "Yes", "No")</f>
        <v>No</v>
      </c>
      <c r="O109" s="37" t="str">
        <f t="array" ref="O109">if(AND(D109&lt;65,M109="No",N109="No"),"Good Stock","")</f>
        <v>Good Stock</v>
      </c>
      <c r="P109" s="37" t="str">
        <f t="array" ref="P109">ifs(B109/$B$2 &gt; 0.6,"Large Cap", B109/$B$2 &gt; 0.4, "Mid Cap",B109/$B$2&gt;0,"Low Cap")</f>
        <v>Low Cap</v>
      </c>
    </row>
    <row r="110">
      <c r="A110" s="38" t="str">
        <f>IFERROR(__xludf.DUMMYFUNCTION("""COMPUTED_VALUE"""),"Trident")</f>
        <v>Trident</v>
      </c>
      <c r="B110" s="31">
        <f>IFERROR(__xludf.DUMMYFUNCTION("""COMPUTED_VALUE"""),16896.24225)</f>
        <v>16896.24225</v>
      </c>
      <c r="C110" s="32">
        <f>IFERROR(__xludf.DUMMYFUNCTION("""COMPUTED_VALUE"""),33.75)</f>
        <v>33.75</v>
      </c>
      <c r="D110" s="32">
        <f>IFERROR(__xludf.DUMMYFUNCTION("""COMPUTED_VALUE"""),30.44)</f>
        <v>30.44</v>
      </c>
      <c r="E110" s="32">
        <f>IFERROR(__xludf.DUMMYFUNCTION("""COMPUTED_VALUE"""),70.9)</f>
        <v>70.9</v>
      </c>
      <c r="F110" s="33">
        <f>IFERROR(__xludf.DUMMYFUNCTION("""COMPUTED_VALUE"""),0.5239774330042314)</f>
        <v>0.523977433</v>
      </c>
      <c r="G110" s="32">
        <f>IFERROR(__xludf.DUMMYFUNCTION("""COMPUTED_VALUE"""),30.45)</f>
        <v>30.45</v>
      </c>
      <c r="H110" s="33">
        <f>IFERROR(__xludf.DUMMYFUNCTION("""COMPUTED_VALUE"""),0.10837438423645322)</f>
        <v>0.1083743842</v>
      </c>
      <c r="I110" s="32">
        <f>IFERROR(__xludf.DUMMYFUNCTION("""COMPUTED_VALUE"""),33.65)</f>
        <v>33.65</v>
      </c>
      <c r="J110" s="33">
        <f>IFERROR(__xludf.DUMMYFUNCTION("""COMPUTED_VALUE"""),0.00297176820208028)</f>
        <v>0.002971768202</v>
      </c>
      <c r="K110" s="34" t="str">
        <f t="array" ref="K110">if(VLOOKUP(A110,'NSEBSE Code'!$A$4:$C$219,2,0) &lt;&gt; "",VLOOKUP(A110,'NSEBSE Code'!$A$4:$C$219,2,0),"")</f>
        <v>Textile</v>
      </c>
      <c r="L110" s="34" t="str">
        <f t="array" ref="L110">VLOOKUP(A110,'NSEBSE Code'!$A$4:$C$219,3,0)</f>
        <v>BOM:521064</v>
      </c>
      <c r="M110" s="35" t="str">
        <f t="array" ref="M110">if(F110 &gt; 30%, "Yes", "No")</f>
        <v>Yes</v>
      </c>
      <c r="N110" s="36" t="str">
        <f t="array" ref="N110">if(H110 &lt; 30%, "Yes", "No")</f>
        <v>Yes</v>
      </c>
      <c r="O110" s="37" t="str">
        <f t="array" ref="O110">if(AND(D110&lt;65,M110="No",N110="No"),"Good Stock","")</f>
        <v/>
      </c>
      <c r="P110" s="37" t="str">
        <f t="array" ref="P110">ifs(B110/$B$2 &gt; 0.6,"Large Cap", B110/$B$2 &gt; 0.4, "Mid Cap",B110/$B$2&gt;0,"Low Cap")</f>
        <v>Low Cap</v>
      </c>
    </row>
    <row r="111">
      <c r="A111" s="38" t="str">
        <f>IFERROR(__xludf.DUMMYFUNCTION("""COMPUTED_VALUE"""),"Nippon AMC")</f>
        <v>Nippon AMC</v>
      </c>
      <c r="B111" s="31">
        <f>IFERROR(__xludf.DUMMYFUNCTION("""COMPUTED_VALUE"""),15766.33509)</f>
        <v>15766.33509</v>
      </c>
      <c r="C111" s="32">
        <f>IFERROR(__xludf.DUMMYFUNCTION("""COMPUTED_VALUE"""),252.6)</f>
        <v>252.6</v>
      </c>
      <c r="D111" s="32">
        <f>IFERROR(__xludf.DUMMYFUNCTION("""COMPUTED_VALUE"""),23.69)</f>
        <v>23.69</v>
      </c>
      <c r="E111" s="32">
        <f>IFERROR(__xludf.DUMMYFUNCTION("""COMPUTED_VALUE"""),375.2)</f>
        <v>375.2</v>
      </c>
      <c r="F111" s="33">
        <f>IFERROR(__xludf.DUMMYFUNCTION("""COMPUTED_VALUE"""),0.3267590618336887)</f>
        <v>0.3267590618</v>
      </c>
      <c r="G111" s="32">
        <f>IFERROR(__xludf.DUMMYFUNCTION("""COMPUTED_VALUE"""),241.05)</f>
        <v>241.05</v>
      </c>
      <c r="H111" s="33">
        <f>IFERROR(__xludf.DUMMYFUNCTION("""COMPUTED_VALUE"""),0.04791537025513372)</f>
        <v>0.04791537026</v>
      </c>
      <c r="I111" s="32">
        <f>IFERROR(__xludf.DUMMYFUNCTION("""COMPUTED_VALUE"""),251.9)</f>
        <v>251.9</v>
      </c>
      <c r="J111" s="33">
        <f>IFERROR(__xludf.DUMMYFUNCTION("""COMPUTED_VALUE"""),0.002778880508138105)</f>
        <v>0.002778880508</v>
      </c>
      <c r="K111" s="34" t="str">
        <f t="array" ref="K111">if(VLOOKUP(A111,'NSEBSE Code'!$A$4:$C$219,2,0) &lt;&gt; "",VLOOKUP(A111,'NSEBSE Code'!$A$4:$C$219,2,0),"")</f>
        <v>AMC</v>
      </c>
      <c r="L111" s="34" t="str">
        <f t="array" ref="L111">VLOOKUP(A111,'NSEBSE Code'!$A$4:$C$219,3,0)</f>
        <v>BOM:540767</v>
      </c>
      <c r="M111" s="35" t="str">
        <f t="array" ref="M111">if(F111 &gt; 30%, "Yes", "No")</f>
        <v>Yes</v>
      </c>
      <c r="N111" s="36" t="str">
        <f t="array" ref="N111">if(H111 &lt; 30%, "Yes", "No")</f>
        <v>Yes</v>
      </c>
      <c r="O111" s="37" t="str">
        <f t="array" ref="O111">if(AND(D111&lt;65,M111="No",N111="No"),"Good Stock","")</f>
        <v/>
      </c>
      <c r="P111" s="37" t="str">
        <f t="array" ref="P111">ifs(B111/$B$2 &gt; 0.6,"Large Cap", B111/$B$2 &gt; 0.4, "Mid Cap",B111/$B$2&gt;0,"Low Cap")</f>
        <v>Low Cap</v>
      </c>
    </row>
    <row r="112">
      <c r="A112" s="38" t="str">
        <f>IFERROR(__xludf.DUMMYFUNCTION("""COMPUTED_VALUE"""),"Exide Battery")</f>
        <v>Exide Battery</v>
      </c>
      <c r="B112" s="31">
        <f>IFERROR(__xludf.DUMMYFUNCTION("""COMPUTED_VALUE"""),15554.9906858)</f>
        <v>15554.99069</v>
      </c>
      <c r="C112" s="32">
        <f>IFERROR(__xludf.DUMMYFUNCTION("""COMPUTED_VALUE"""),182.85)</f>
        <v>182.85</v>
      </c>
      <c r="D112" s="32">
        <f>IFERROR(__xludf.DUMMYFUNCTION("""COMPUTED_VALUE"""),3.39)</f>
        <v>3.39</v>
      </c>
      <c r="E112" s="32">
        <f>IFERROR(__xludf.DUMMYFUNCTION("""COMPUTED_VALUE"""),194.2)</f>
        <v>194.2</v>
      </c>
      <c r="F112" s="33">
        <f>IFERROR(__xludf.DUMMYFUNCTION("""COMPUTED_VALUE"""),0.05844490216271882)</f>
        <v>0.05844490216</v>
      </c>
      <c r="G112" s="32">
        <f>IFERROR(__xludf.DUMMYFUNCTION("""COMPUTED_VALUE"""),130.25)</f>
        <v>130.25</v>
      </c>
      <c r="H112" s="33">
        <f>IFERROR(__xludf.DUMMYFUNCTION("""COMPUTED_VALUE"""),0.4038387715930902)</f>
        <v>0.4038387716</v>
      </c>
      <c r="I112" s="32">
        <f>IFERROR(__xludf.DUMMYFUNCTION("""COMPUTED_VALUE"""),182.65)</f>
        <v>182.65</v>
      </c>
      <c r="J112" s="33">
        <f>IFERROR(__xludf.DUMMYFUNCTION("""COMPUTED_VALUE"""),0.001094990418833773)</f>
        <v>0.001094990419</v>
      </c>
      <c r="K112" s="34" t="str">
        <f t="array" ref="K112">if(VLOOKUP(A112,'NSEBSE Code'!$A$4:$C$219,2,0) &lt;&gt; "",VLOOKUP(A112,'NSEBSE Code'!$A$4:$C$219,2,0),"")</f>
        <v>Automobile Ancilliary</v>
      </c>
      <c r="L112" s="34" t="str">
        <f t="array" ref="L112">VLOOKUP(A112,'NSEBSE Code'!$A$4:$C$219,3,0)</f>
        <v>EXIDEIND</v>
      </c>
      <c r="M112" s="35" t="str">
        <f t="array" ref="M112">if(F112 &gt; 30%, "Yes", "No")</f>
        <v>No</v>
      </c>
      <c r="N112" s="36" t="str">
        <f t="array" ref="N112">if(H112 &lt; 30%, "Yes", "No")</f>
        <v>No</v>
      </c>
      <c r="O112" s="37" t="str">
        <f t="array" ref="O112">if(AND(D112&lt;65,M112="No",N112="No"),"Good Stock","")</f>
        <v>Good Stock</v>
      </c>
      <c r="P112" s="37" t="str">
        <f t="array" ref="P112">ifs(B112/$B$2 &gt; 0.6,"Large Cap", B112/$B$2 &gt; 0.4, "Mid Cap",B112/$B$2&gt;0,"Low Cap")</f>
        <v>Low Cap</v>
      </c>
    </row>
    <row r="113">
      <c r="A113" s="38" t="str">
        <f>IFERROR(__xludf.DUMMYFUNCTION("""COMPUTED_VALUE"""),"clean science")</f>
        <v>clean science</v>
      </c>
      <c r="B113" s="31">
        <f>IFERROR(__xludf.DUMMYFUNCTION("""COMPUTED_VALUE"""),15538.83)</f>
        <v>15538.83</v>
      </c>
      <c r="C113" s="32">
        <f>IFERROR(__xludf.DUMMYFUNCTION("""COMPUTED_VALUE"""),1463.5)</f>
        <v>1463.5</v>
      </c>
      <c r="D113" s="32">
        <f>IFERROR(__xludf.DUMMYFUNCTION("""COMPUTED_VALUE"""),61.9)</f>
        <v>61.9</v>
      </c>
      <c r="E113" s="32">
        <f>IFERROR(__xludf.DUMMYFUNCTION("""COMPUTED_VALUE"""),2624.0)</f>
        <v>2624</v>
      </c>
      <c r="F113" s="33">
        <f>IFERROR(__xludf.DUMMYFUNCTION("""COMPUTED_VALUE"""),0.4422637195121951)</f>
        <v>0.4422637195</v>
      </c>
      <c r="G113" s="32">
        <f>IFERROR(__xludf.DUMMYFUNCTION("""COMPUTED_VALUE"""),1410.1)</f>
        <v>1410.1</v>
      </c>
      <c r="H113" s="33">
        <f>IFERROR(__xludf.DUMMYFUNCTION("""COMPUTED_VALUE"""),0.037869654634423155)</f>
        <v>0.03786965463</v>
      </c>
      <c r="I113" s="32">
        <f>IFERROR(__xludf.DUMMYFUNCTION("""COMPUTED_VALUE"""),1471.05)</f>
        <v>1471.05</v>
      </c>
      <c r="J113" s="33">
        <f>IFERROR(__xludf.DUMMYFUNCTION("""COMPUTED_VALUE"""),-0.005132388430032939)</f>
        <v>-0.00513238843</v>
      </c>
      <c r="K113" s="34" t="str">
        <f t="array" ref="K113">if(VLOOKUP(A113,'NSEBSE Code'!$A$4:$C$219,2,0) &lt;&gt; "",VLOOKUP(A113,'NSEBSE Code'!$A$4:$C$219,2,0),"")</f>
        <v>Chemical</v>
      </c>
      <c r="L113" s="34" t="str">
        <f t="array" ref="L113">VLOOKUP(A113,'NSEBSE Code'!$A$4:$C$219,3,0)</f>
        <v>BOM:543318</v>
      </c>
      <c r="M113" s="35" t="str">
        <f t="array" ref="M113">if(F113 &gt; 30%, "Yes", "No")</f>
        <v>Yes</v>
      </c>
      <c r="N113" s="36" t="str">
        <f t="array" ref="N113">if(H113 &lt; 30%, "Yes", "No")</f>
        <v>Yes</v>
      </c>
      <c r="O113" s="37" t="str">
        <f t="array" ref="O113">if(AND(D113&lt;65,M113="No",N113="No"),"Good Stock","")</f>
        <v/>
      </c>
      <c r="P113" s="37" t="str">
        <f t="array" ref="P113">ifs(B113/$B$2 &gt; 0.6,"Large Cap", B113/$B$2 &gt; 0.4, "Mid Cap",B113/$B$2&gt;0,"Low Cap")</f>
        <v>Low Cap</v>
      </c>
    </row>
    <row r="114">
      <c r="A114" s="38" t="str">
        <f>IFERROR(__xludf.DUMMYFUNCTION("""COMPUTED_VALUE"""),"Alkyl Amine")</f>
        <v>Alkyl Amine</v>
      </c>
      <c r="B114" s="31">
        <f>IFERROR(__xludf.DUMMYFUNCTION("""COMPUTED_VALUE"""),13811.7)</f>
        <v>13811.7</v>
      </c>
      <c r="C114" s="32">
        <f>IFERROR(__xludf.DUMMYFUNCTION("""COMPUTED_VALUE"""),2714.9)</f>
        <v>2714.9</v>
      </c>
      <c r="D114" s="32">
        <f>IFERROR(__xludf.DUMMYFUNCTION("""COMPUTED_VALUE"""),61.31)</f>
        <v>61.31</v>
      </c>
      <c r="E114" s="32">
        <f>IFERROR(__xludf.DUMMYFUNCTION("""COMPUTED_VALUE"""),3797.6)</f>
        <v>3797.6</v>
      </c>
      <c r="F114" s="33">
        <f>IFERROR(__xludf.DUMMYFUNCTION("""COMPUTED_VALUE"""),0.28510111649462816)</f>
        <v>0.2851011165</v>
      </c>
      <c r="G114" s="32">
        <f>IFERROR(__xludf.DUMMYFUNCTION("""COMPUTED_VALUE"""),2506.2)</f>
        <v>2506.2</v>
      </c>
      <c r="H114" s="33">
        <f>IFERROR(__xludf.DUMMYFUNCTION("""COMPUTED_VALUE"""),0.08327348176522237)</f>
        <v>0.08327348177</v>
      </c>
      <c r="I114" s="32">
        <f>IFERROR(__xludf.DUMMYFUNCTION("""COMPUTED_VALUE"""),2750.75)</f>
        <v>2750.75</v>
      </c>
      <c r="J114" s="33">
        <f>IFERROR(__xludf.DUMMYFUNCTION("""COMPUTED_VALUE"""),-0.013032809233845281)</f>
        <v>-0.01303280923</v>
      </c>
      <c r="K114" s="34" t="str">
        <f t="array" ref="K114">if(VLOOKUP(A114,'NSEBSE Code'!$A$4:$C$219,2,0) &lt;&gt; "",VLOOKUP(A114,'NSEBSE Code'!$A$4:$C$219,2,0),"")</f>
        <v>Chemical</v>
      </c>
      <c r="L114" s="34" t="str">
        <f t="array" ref="L114">VLOOKUP(A114,'NSEBSE Code'!$A$4:$C$219,3,0)</f>
        <v>ALKYLAMINE</v>
      </c>
      <c r="M114" s="35" t="str">
        <f t="array" ref="M114">if(F114 &gt; 30%, "Yes", "No")</f>
        <v>No</v>
      </c>
      <c r="N114" s="36" t="str">
        <f t="array" ref="N114">if(H114 &lt; 30%, "Yes", "No")</f>
        <v>Yes</v>
      </c>
      <c r="O114" s="37" t="str">
        <f t="array" ref="O114">if(AND(D114&lt;65,M114="No",N114="No"),"Good Stock","")</f>
        <v/>
      </c>
      <c r="P114" s="37" t="str">
        <f t="array" ref="P114">ifs(B114/$B$2 &gt; 0.6,"Large Cap", B114/$B$2 &gt; 0.4, "Mid Cap",B114/$B$2&gt;0,"Low Cap")</f>
        <v>Low Cap</v>
      </c>
    </row>
    <row r="115">
      <c r="A115" s="38" t="str">
        <f>IFERROR(__xludf.DUMMYFUNCTION("""COMPUTED_VALUE"""),"Indiamart Intermesh")</f>
        <v>Indiamart Intermesh</v>
      </c>
      <c r="B115" s="31">
        <f>IFERROR(__xludf.DUMMYFUNCTION("""COMPUTED_VALUE"""),13709.808)</f>
        <v>13709.808</v>
      </c>
      <c r="C115" s="32">
        <f>IFERROR(__xludf.DUMMYFUNCTION("""COMPUTED_VALUE"""),4477.0)</f>
        <v>4477</v>
      </c>
      <c r="D115" s="32">
        <f>IFERROR(__xludf.DUMMYFUNCTION("""COMPUTED_VALUE"""),56.62)</f>
        <v>56.62</v>
      </c>
      <c r="E115" s="32">
        <f>IFERROR(__xludf.DUMMYFUNCTION("""COMPUTED_VALUE"""),6898.75)</f>
        <v>6898.75</v>
      </c>
      <c r="F115" s="33">
        <f>IFERROR(__xludf.DUMMYFUNCTION("""COMPUTED_VALUE"""),0.3510418554085885)</f>
        <v>0.3510418554</v>
      </c>
      <c r="G115" s="32">
        <f>IFERROR(__xludf.DUMMYFUNCTION("""COMPUTED_VALUE"""),3676.0)</f>
        <v>3676</v>
      </c>
      <c r="H115" s="33">
        <f>IFERROR(__xludf.DUMMYFUNCTION("""COMPUTED_VALUE"""),0.2178998911860718)</f>
        <v>0.2178998912</v>
      </c>
      <c r="I115" s="32">
        <f>IFERROR(__xludf.DUMMYFUNCTION("""COMPUTED_VALUE"""),4446.55)</f>
        <v>4446.55</v>
      </c>
      <c r="J115" s="33">
        <f>IFERROR(__xludf.DUMMYFUNCTION("""COMPUTED_VALUE"""),0.006848005757272451)</f>
        <v>0.006848005757</v>
      </c>
      <c r="K115" s="34" t="str">
        <f t="array" ref="K115">if(VLOOKUP(A115,'NSEBSE Code'!$A$4:$C$219,2,0) &lt;&gt; "",VLOOKUP(A115,'NSEBSE Code'!$A$4:$C$219,2,0),"")</f>
        <v>Technology</v>
      </c>
      <c r="L115" s="34" t="str">
        <f t="array" ref="L115">VLOOKUP(A115,'NSEBSE Code'!$A$4:$C$219,3,0)</f>
        <v>INDIAMART</v>
      </c>
      <c r="M115" s="35" t="str">
        <f t="array" ref="M115">if(F115 &gt; 30%, "Yes", "No")</f>
        <v>Yes</v>
      </c>
      <c r="N115" s="36" t="str">
        <f t="array" ref="N115">if(H115 &lt; 30%, "Yes", "No")</f>
        <v>Yes</v>
      </c>
      <c r="O115" s="37" t="str">
        <f t="array" ref="O115">if(AND(D115&lt;65,M115="No",N115="No"),"Good Stock","")</f>
        <v/>
      </c>
      <c r="P115" s="37" t="str">
        <f t="array" ref="P115">ifs(B115/$B$2 &gt; 0.6,"Large Cap", B115/$B$2 &gt; 0.4, "Mid Cap",B115/$B$2&gt;0,"Low Cap")</f>
        <v>Low Cap</v>
      </c>
    </row>
    <row r="116">
      <c r="A116" s="38" t="str">
        <f>IFERROR(__xludf.DUMMYFUNCTION("""COMPUTED_VALUE"""),"Affle India")</f>
        <v>Affle India</v>
      </c>
      <c r="B116" s="31">
        <f>IFERROR(__xludf.DUMMYFUNCTION("""COMPUTED_VALUE"""),13659.0)</f>
        <v>13659</v>
      </c>
      <c r="C116" s="32">
        <f>IFERROR(__xludf.DUMMYFUNCTION("""COMPUTED_VALUE"""),1024.0)</f>
        <v>1024</v>
      </c>
      <c r="D116" s="32">
        <f>IFERROR(__xludf.DUMMYFUNCTION("""COMPUTED_VALUE"""),55.83)</f>
        <v>55.83</v>
      </c>
      <c r="E116" s="32">
        <f>IFERROR(__xludf.DUMMYFUNCTION("""COMPUTED_VALUE"""),1511.0)</f>
        <v>1511</v>
      </c>
      <c r="F116" s="33">
        <f>IFERROR(__xludf.DUMMYFUNCTION("""COMPUTED_VALUE"""),0.32230311052283256)</f>
        <v>0.3223031105</v>
      </c>
      <c r="G116" s="32">
        <f>IFERROR(__xludf.DUMMYFUNCTION("""COMPUTED_VALUE"""),871.55)</f>
        <v>871.55</v>
      </c>
      <c r="H116" s="33">
        <f>IFERROR(__xludf.DUMMYFUNCTION("""COMPUTED_VALUE"""),0.17491824909643744)</f>
        <v>0.1749182491</v>
      </c>
      <c r="I116" s="32">
        <f>IFERROR(__xludf.DUMMYFUNCTION("""COMPUTED_VALUE"""),1035.55)</f>
        <v>1035.55</v>
      </c>
      <c r="J116" s="33">
        <f>IFERROR(__xludf.DUMMYFUNCTION("""COMPUTED_VALUE"""),-0.011153493312732321)</f>
        <v>-0.01115349331</v>
      </c>
      <c r="K116" s="34" t="str">
        <f t="array" ref="K116">if(VLOOKUP(A116,'NSEBSE Code'!$A$4:$C$219,2,0) &lt;&gt; "",VLOOKUP(A116,'NSEBSE Code'!$A$4:$C$219,2,0),"")</f>
        <v>Technology</v>
      </c>
      <c r="L116" s="34" t="str">
        <f t="array" ref="L116">VLOOKUP(A116,'NSEBSE Code'!$A$4:$C$219,3,0)</f>
        <v>AFFLE</v>
      </c>
      <c r="M116" s="35" t="str">
        <f t="array" ref="M116">if(F116 &gt; 30%, "Yes", "No")</f>
        <v>Yes</v>
      </c>
      <c r="N116" s="36" t="str">
        <f t="array" ref="N116">if(H116 &lt; 30%, "Yes", "No")</f>
        <v>Yes</v>
      </c>
      <c r="O116" s="37" t="str">
        <f t="array" ref="O116">if(AND(D116&lt;65,M116="No",N116="No"),"Good Stock","")</f>
        <v/>
      </c>
      <c r="P116" s="37" t="str">
        <f t="array" ref="P116">ifs(B116/$B$2 &gt; 0.6,"Large Cap", B116/$B$2 &gt; 0.4, "Mid Cap",B116/$B$2&gt;0,"Low Cap")</f>
        <v>Low Cap</v>
      </c>
    </row>
    <row r="117">
      <c r="A117" s="38" t="str">
        <f>IFERROR(__xludf.DUMMYFUNCTION("""COMPUTED_VALUE"""),"KEI Industries")</f>
        <v>KEI Industries</v>
      </c>
      <c r="B117" s="31">
        <f>IFERROR(__xludf.DUMMYFUNCTION("""COMPUTED_VALUE"""),12966.0743501)</f>
        <v>12966.07435</v>
      </c>
      <c r="C117" s="32">
        <f>IFERROR(__xludf.DUMMYFUNCTION("""COMPUTED_VALUE"""),1436.05)</f>
        <v>1436.05</v>
      </c>
      <c r="D117" s="32">
        <f>IFERROR(__xludf.DUMMYFUNCTION("""COMPUTED_VALUE"""),30.59)</f>
        <v>30.59</v>
      </c>
      <c r="E117" s="32">
        <f>IFERROR(__xludf.DUMMYFUNCTION("""COMPUTED_VALUE"""),1662.45)</f>
        <v>1662.45</v>
      </c>
      <c r="F117" s="33">
        <f>IFERROR(__xludf.DUMMYFUNCTION("""COMPUTED_VALUE"""),0.13618454690366633)</f>
        <v>0.1361845469</v>
      </c>
      <c r="G117" s="32">
        <f>IFERROR(__xludf.DUMMYFUNCTION("""COMPUTED_VALUE"""),905.2)</f>
        <v>905.2</v>
      </c>
      <c r="H117" s="33">
        <f>IFERROR(__xludf.DUMMYFUNCTION("""COMPUTED_VALUE"""),0.5864449845338046)</f>
        <v>0.5864449845</v>
      </c>
      <c r="I117" s="32">
        <f>IFERROR(__xludf.DUMMYFUNCTION("""COMPUTED_VALUE"""),1435.2)</f>
        <v>1435.2</v>
      </c>
      <c r="J117" s="33">
        <f>IFERROR(__xludf.DUMMYFUNCTION("""COMPUTED_VALUE"""),5.922519509475397E-4)</f>
        <v>0.0005922519509</v>
      </c>
      <c r="K117" s="34" t="str">
        <f t="array" ref="K117">if(VLOOKUP(A117,'NSEBSE Code'!$A$4:$C$219,2,0) &lt;&gt; "",VLOOKUP(A117,'NSEBSE Code'!$A$4:$C$219,2,0),"")</f>
        <v>Consumer Electrical</v>
      </c>
      <c r="L117" s="34" t="str">
        <f t="array" ref="L117">VLOOKUP(A117,'NSEBSE Code'!$A$4:$C$219,3,0)</f>
        <v>BOM:517569</v>
      </c>
      <c r="M117" s="35" t="str">
        <f t="array" ref="M117">if(F117 &gt; 30%, "Yes", "No")</f>
        <v>No</v>
      </c>
      <c r="N117" s="36" t="str">
        <f t="array" ref="N117">if(H117 &lt; 30%, "Yes", "No")</f>
        <v>No</v>
      </c>
      <c r="O117" s="37" t="str">
        <f t="array" ref="O117">if(AND(D117&lt;65,M117="No",N117="No"),"Good Stock","")</f>
        <v>Good Stock</v>
      </c>
      <c r="P117" s="37" t="str">
        <f t="array" ref="P117">ifs(B117/$B$2 &gt; 0.6,"Large Cap", B117/$B$2 &gt; 0.4, "Mid Cap",B117/$B$2&gt;0,"Low Cap")</f>
        <v>Low Cap</v>
      </c>
    </row>
    <row r="118">
      <c r="A118" s="38" t="str">
        <f>IFERROR(__xludf.DUMMYFUNCTION("""COMPUTED_VALUE"""),"IEX")</f>
        <v>IEX</v>
      </c>
      <c r="B118" s="31">
        <f>IFERROR(__xludf.DUMMYFUNCTION("""COMPUTED_VALUE"""),12685.7721399)</f>
        <v>12685.77214</v>
      </c>
      <c r="C118" s="32">
        <f>IFERROR(__xludf.DUMMYFUNCTION("""COMPUTED_VALUE"""),141.55)</f>
        <v>141.55</v>
      </c>
      <c r="D118" s="32">
        <f>IFERROR(__xludf.DUMMYFUNCTION("""COMPUTED_VALUE"""),41.14)</f>
        <v>41.14</v>
      </c>
      <c r="E118" s="32">
        <f>IFERROR(__xludf.DUMMYFUNCTION("""COMPUTED_VALUE"""),271.95)</f>
        <v>271.95</v>
      </c>
      <c r="F118" s="33">
        <f>IFERROR(__xludf.DUMMYFUNCTION("""COMPUTED_VALUE"""),0.4794999080713366)</f>
        <v>0.4794999081</v>
      </c>
      <c r="G118" s="32">
        <f>IFERROR(__xludf.DUMMYFUNCTION("""COMPUTED_VALUE"""),129.25)</f>
        <v>129.25</v>
      </c>
      <c r="H118" s="33">
        <f>IFERROR(__xludf.DUMMYFUNCTION("""COMPUTED_VALUE"""),0.09516441005802717)</f>
        <v>0.09516441006</v>
      </c>
      <c r="I118" s="32">
        <f>IFERROR(__xludf.DUMMYFUNCTION("""COMPUTED_VALUE"""),141.4)</f>
        <v>141.4</v>
      </c>
      <c r="J118" s="33">
        <f>IFERROR(__xludf.DUMMYFUNCTION("""COMPUTED_VALUE"""),0.001060820367751101)</f>
        <v>0.001060820368</v>
      </c>
      <c r="K118" s="34" t="str">
        <f t="array" ref="K118">if(VLOOKUP(A118,'NSEBSE Code'!$A$4:$C$219,2,0) &lt;&gt; "",VLOOKUP(A118,'NSEBSE Code'!$A$4:$C$219,2,0),"")</f>
        <v>Technology</v>
      </c>
      <c r="L118" s="34" t="str">
        <f t="array" ref="L118">VLOOKUP(A118,'NSEBSE Code'!$A$4:$C$219,3,0)</f>
        <v>BOM:540750</v>
      </c>
      <c r="M118" s="35" t="str">
        <f t="array" ref="M118">if(F118 &gt; 30%, "Yes", "No")</f>
        <v>Yes</v>
      </c>
      <c r="N118" s="36" t="str">
        <f t="array" ref="N118">if(H118 &lt; 30%, "Yes", "No")</f>
        <v>Yes</v>
      </c>
      <c r="O118" s="37" t="str">
        <f t="array" ref="O118">if(AND(D118&lt;65,M118="No",N118="No"),"Good Stock","")</f>
        <v/>
      </c>
      <c r="P118" s="37" t="str">
        <f t="array" ref="P118">ifs(B118/$B$2 &gt; 0.6,"Large Cap", B118/$B$2 &gt; 0.4, "Mid Cap",B118/$B$2&gt;0,"Low Cap")</f>
        <v>Low Cap</v>
      </c>
    </row>
    <row r="119">
      <c r="A119" s="38" t="str">
        <f>IFERROR(__xludf.DUMMYFUNCTION("""COMPUTED_VALUE"""),"Happiest Mind")</f>
        <v>Happiest Mind</v>
      </c>
      <c r="B119" s="31">
        <f>IFERROR(__xludf.DUMMYFUNCTION("""COMPUTED_VALUE"""),12642.1534329)</f>
        <v>12642.15343</v>
      </c>
      <c r="C119" s="32">
        <f>IFERROR(__xludf.DUMMYFUNCTION("""COMPUTED_VALUE"""),885.05)</f>
        <v>885.05</v>
      </c>
      <c r="D119" s="32">
        <f>IFERROR(__xludf.DUMMYFUNCTION("""COMPUTED_VALUE"""),59.08)</f>
        <v>59.08</v>
      </c>
      <c r="E119" s="32">
        <f>IFERROR(__xludf.DUMMYFUNCTION("""COMPUTED_VALUE"""),1359.85)</f>
        <v>1359.85</v>
      </c>
      <c r="F119" s="33">
        <f>IFERROR(__xludf.DUMMYFUNCTION("""COMPUTED_VALUE"""),0.34915615692907304)</f>
        <v>0.3491561569</v>
      </c>
      <c r="G119" s="32">
        <f>IFERROR(__xludf.DUMMYFUNCTION("""COMPUTED_VALUE"""),785.55)</f>
        <v>785.55</v>
      </c>
      <c r="H119" s="33">
        <f>IFERROR(__xludf.DUMMYFUNCTION("""COMPUTED_VALUE"""),0.12666284768633443)</f>
        <v>0.1266628477</v>
      </c>
      <c r="I119" s="32">
        <f>IFERROR(__xludf.DUMMYFUNCTION("""COMPUTED_VALUE"""),884.65)</f>
        <v>884.65</v>
      </c>
      <c r="J119" s="33">
        <f>IFERROR(__xludf.DUMMYFUNCTION("""COMPUTED_VALUE"""),4.5215621997397534E-4)</f>
        <v>0.00045215622</v>
      </c>
      <c r="K119" s="34" t="str">
        <f t="array" ref="K119">if(VLOOKUP(A119,'NSEBSE Code'!$A$4:$C$219,2,0) &lt;&gt; "",VLOOKUP(A119,'NSEBSE Code'!$A$4:$C$219,2,0),"")</f>
        <v>IT</v>
      </c>
      <c r="L119" s="34" t="str">
        <f t="array" ref="L119">VLOOKUP(A119,'NSEBSE Code'!$A$4:$C$219,3,0)</f>
        <v>BOM:543227</v>
      </c>
      <c r="M119" s="35" t="str">
        <f t="array" ref="M119">if(F119 &gt; 30%, "Yes", "No")</f>
        <v>Yes</v>
      </c>
      <c r="N119" s="36" t="str">
        <f t="array" ref="N119">if(H119 &lt; 30%, "Yes", "No")</f>
        <v>Yes</v>
      </c>
      <c r="O119" s="37" t="str">
        <f t="array" ref="O119">if(AND(D119&lt;65,M119="No",N119="No"),"Good Stock","")</f>
        <v/>
      </c>
      <c r="P119" s="37" t="str">
        <f t="array" ref="P119">ifs(B119/$B$2 &gt; 0.6,"Large Cap", B119/$B$2 &gt; 0.4, "Mid Cap",B119/$B$2&gt;0,"Low Cap")</f>
        <v>Low Cap</v>
      </c>
    </row>
    <row r="120">
      <c r="A120" s="38" t="str">
        <f>IFERROR(__xludf.DUMMYFUNCTION("""COMPUTED_VALUE"""),"Sheela Form")</f>
        <v>Sheela Form</v>
      </c>
      <c r="B120" s="31">
        <f>IFERROR(__xludf.DUMMYFUNCTION("""COMPUTED_VALUE"""),12260.1)</f>
        <v>12260.1</v>
      </c>
      <c r="C120" s="32">
        <f>IFERROR(__xludf.DUMMYFUNCTION("""COMPUTED_VALUE"""),1260.0)</f>
        <v>1260</v>
      </c>
      <c r="D120" s="32">
        <f>IFERROR(__xludf.DUMMYFUNCTION("""COMPUTED_VALUE"""),57.79)</f>
        <v>57.79</v>
      </c>
      <c r="E120" s="32">
        <f>IFERROR(__xludf.DUMMYFUNCTION("""COMPUTED_VALUE"""),2027.0)</f>
        <v>2027</v>
      </c>
      <c r="F120" s="33">
        <f>IFERROR(__xludf.DUMMYFUNCTION("""COMPUTED_VALUE"""),0.37839171188949183)</f>
        <v>0.3783917119</v>
      </c>
      <c r="G120" s="32">
        <f>IFERROR(__xludf.DUMMYFUNCTION("""COMPUTED_VALUE"""),1204.15)</f>
        <v>1204.15</v>
      </c>
      <c r="H120" s="33">
        <f>IFERROR(__xludf.DUMMYFUNCTION("""COMPUTED_VALUE"""),0.046381264792592206)</f>
        <v>0.04638126479</v>
      </c>
      <c r="I120" s="32">
        <f>IFERROR(__xludf.DUMMYFUNCTION("""COMPUTED_VALUE"""),1251.3)</f>
        <v>1251.3</v>
      </c>
      <c r="J120" s="33">
        <f>IFERROR(__xludf.DUMMYFUNCTION("""COMPUTED_VALUE"""),0.006952769120115117)</f>
        <v>0.00695276912</v>
      </c>
      <c r="K120" s="34" t="str">
        <f t="array" ref="K120">if(VLOOKUP(A120,'NSEBSE Code'!$A$4:$C$219,2,0) &lt;&gt; "",VLOOKUP(A120,'NSEBSE Code'!$A$4:$C$219,2,0),"")</f>
        <v>Form</v>
      </c>
      <c r="L120" s="34" t="str">
        <f t="array" ref="L120">VLOOKUP(A120,'NSEBSE Code'!$A$4:$C$219,3,0)</f>
        <v>BOM:540203</v>
      </c>
      <c r="M120" s="35" t="str">
        <f t="array" ref="M120">if(F120 &gt; 30%, "Yes", "No")</f>
        <v>Yes</v>
      </c>
      <c r="N120" s="36" t="str">
        <f t="array" ref="N120">if(H120 &lt; 30%, "Yes", "No")</f>
        <v>Yes</v>
      </c>
      <c r="O120" s="37" t="str">
        <f t="array" ref="O120">if(AND(D120&lt;65,M120="No",N120="No"),"Good Stock","")</f>
        <v/>
      </c>
      <c r="P120" s="37" t="str">
        <f t="array" ref="P120">ifs(B120/$B$2 &gt; 0.6,"Large Cap", B120/$B$2 &gt; 0.4, "Mid Cap",B120/$B$2&gt;0,"Low Cap")</f>
        <v>Low Cap</v>
      </c>
    </row>
    <row r="121">
      <c r="A121" s="38" t="str">
        <f>IFERROR(__xludf.DUMMYFUNCTION("""COMPUTED_VALUE"""),"Century Plyboard")</f>
        <v>Century Plyboard</v>
      </c>
      <c r="B121" s="31">
        <f>IFERROR(__xludf.DUMMYFUNCTION("""COMPUTED_VALUE"""),11658.528175)</f>
        <v>11658.52818</v>
      </c>
      <c r="C121" s="32">
        <f>IFERROR(__xludf.DUMMYFUNCTION("""COMPUTED_VALUE"""),523.9)</f>
        <v>523.9</v>
      </c>
      <c r="D121" s="32">
        <f>IFERROR(__xludf.DUMMYFUNCTION("""COMPUTED_VALUE"""),31.54)</f>
        <v>31.54</v>
      </c>
      <c r="E121" s="32">
        <f>IFERROR(__xludf.DUMMYFUNCTION("""COMPUTED_VALUE"""),749.0)</f>
        <v>749</v>
      </c>
      <c r="F121" s="33">
        <f>IFERROR(__xludf.DUMMYFUNCTION("""COMPUTED_VALUE"""),0.30053404539385853)</f>
        <v>0.3005340454</v>
      </c>
      <c r="G121" s="32">
        <f>IFERROR(__xludf.DUMMYFUNCTION("""COMPUTED_VALUE"""),484.7)</f>
        <v>484.7</v>
      </c>
      <c r="H121" s="33">
        <f>IFERROR(__xludf.DUMMYFUNCTION("""COMPUTED_VALUE"""),0.08087476789766863)</f>
        <v>0.0808747679</v>
      </c>
      <c r="I121" s="32">
        <f>IFERROR(__xludf.DUMMYFUNCTION("""COMPUTED_VALUE"""),517.65)</f>
        <v>517.65</v>
      </c>
      <c r="J121" s="33">
        <f>IFERROR(__xludf.DUMMYFUNCTION("""COMPUTED_VALUE"""),0.012073795035255483)</f>
        <v>0.01207379504</v>
      </c>
      <c r="K121" s="34" t="str">
        <f t="array" ref="K121">if(VLOOKUP(A121,'NSEBSE Code'!$A$4:$C$219,2,0) &lt;&gt; "",VLOOKUP(A121,'NSEBSE Code'!$A$4:$C$219,2,0),"")</f>
        <v>Playboard</v>
      </c>
      <c r="L121" s="34" t="str">
        <f t="array" ref="L121">VLOOKUP(A121,'NSEBSE Code'!$A$4:$C$219,3,0)</f>
        <v>BOM:532548</v>
      </c>
      <c r="M121" s="35" t="str">
        <f t="array" ref="M121">if(F121 &gt; 30%, "Yes", "No")</f>
        <v>Yes</v>
      </c>
      <c r="N121" s="36" t="str">
        <f t="array" ref="N121">if(H121 &lt; 30%, "Yes", "No")</f>
        <v>Yes</v>
      </c>
      <c r="O121" s="37" t="str">
        <f t="array" ref="O121">if(AND(D121&lt;65,M121="No",N121="No"),"Good Stock","")</f>
        <v/>
      </c>
      <c r="P121" s="37" t="str">
        <f t="array" ref="P121">ifs(B121/$B$2 &gt; 0.6,"Large Cap", B121/$B$2 &gt; 0.4, "Mid Cap",B121/$B$2&gt;0,"Low Cap")</f>
        <v>Low Cap</v>
      </c>
    </row>
    <row r="122">
      <c r="A122" s="38" t="str">
        <f>IFERROR(__xludf.DUMMYFUNCTION("""COMPUTED_VALUE"""),"CDSL")</f>
        <v>CDSL</v>
      </c>
      <c r="B122" s="31">
        <f>IFERROR(__xludf.DUMMYFUNCTION("""COMPUTED_VALUE"""),11261.44)</f>
        <v>11261.44</v>
      </c>
      <c r="C122" s="32">
        <f>IFERROR(__xludf.DUMMYFUNCTION("""COMPUTED_VALUE"""),1077.9)</f>
        <v>1077.9</v>
      </c>
      <c r="D122" s="32">
        <f>IFERROR(__xludf.DUMMYFUNCTION("""COMPUTED_VALUE"""),37.61)</f>
        <v>37.61</v>
      </c>
      <c r="E122" s="32">
        <f>IFERROR(__xludf.DUMMYFUNCTION("""COMPUTED_VALUE"""),1654.0)</f>
        <v>1654</v>
      </c>
      <c r="F122" s="33">
        <f>IFERROR(__xludf.DUMMYFUNCTION("""COMPUTED_VALUE"""),0.3483071342200725)</f>
        <v>0.3483071342</v>
      </c>
      <c r="G122" s="32">
        <f>IFERROR(__xludf.DUMMYFUNCTION("""COMPUTED_VALUE"""),1015.0)</f>
        <v>1015</v>
      </c>
      <c r="H122" s="33">
        <f>IFERROR(__xludf.DUMMYFUNCTION("""COMPUTED_VALUE"""),0.06197044334975378)</f>
        <v>0.06197044335</v>
      </c>
      <c r="I122" s="32">
        <f>IFERROR(__xludf.DUMMYFUNCTION("""COMPUTED_VALUE"""),1078.65)</f>
        <v>1078.65</v>
      </c>
      <c r="J122" s="33">
        <f>IFERROR(__xludf.DUMMYFUNCTION("""COMPUTED_VALUE"""),-6.953135864274788E-4)</f>
        <v>-0.0006953135864</v>
      </c>
      <c r="K122" s="34" t="str">
        <f t="array" ref="K122">if(VLOOKUP(A122,'NSEBSE Code'!$A$4:$C$219,2,0) &lt;&gt; "",VLOOKUP(A122,'NSEBSE Code'!$A$4:$C$219,2,0),"")</f>
        <v>Technology</v>
      </c>
      <c r="L122" s="34" t="str">
        <f t="array" ref="L122">VLOOKUP(A122,'NSEBSE Code'!$A$4:$C$219,3,0)</f>
        <v>CDSL</v>
      </c>
      <c r="M122" s="35" t="str">
        <f t="array" ref="M122">if(F122 &gt; 30%, "Yes", "No")</f>
        <v>Yes</v>
      </c>
      <c r="N122" s="36" t="str">
        <f t="array" ref="N122">if(H122 &lt; 30%, "Yes", "No")</f>
        <v>Yes</v>
      </c>
      <c r="O122" s="37" t="str">
        <f t="array" ref="O122">if(AND(D122&lt;65,M122="No",N122="No"),"Good Stock","")</f>
        <v/>
      </c>
      <c r="P122" s="37" t="str">
        <f t="array" ref="P122">ifs(B122/$B$2 &gt; 0.6,"Large Cap", B122/$B$2 &gt; 0.4, "Mid Cap",B122/$B$2&gt;0,"Low Cap")</f>
        <v>Low Cap</v>
      </c>
    </row>
    <row r="123">
      <c r="A123" s="38" t="str">
        <f>IFERROR(__xludf.DUMMYFUNCTION("""COMPUTED_VALUE"""),"CAMS")</f>
        <v>CAMS</v>
      </c>
      <c r="B123" s="31">
        <f>IFERROR(__xludf.DUMMYFUNCTION("""COMPUTED_VALUE"""),11180.9471528)</f>
        <v>11180.94715</v>
      </c>
      <c r="C123" s="32">
        <f>IFERROR(__xludf.DUMMYFUNCTION("""COMPUTED_VALUE"""),2274.0)</f>
        <v>2274</v>
      </c>
      <c r="D123" s="32">
        <f>IFERROR(__xludf.DUMMYFUNCTION("""COMPUTED_VALUE"""),38.87)</f>
        <v>38.87</v>
      </c>
      <c r="E123" s="32">
        <f>IFERROR(__xludf.DUMMYFUNCTION("""COMPUTED_VALUE"""),2971.5)</f>
        <v>2971.5</v>
      </c>
      <c r="F123" s="33">
        <f>IFERROR(__xludf.DUMMYFUNCTION("""COMPUTED_VALUE"""),0.2347299343765775)</f>
        <v>0.2347299344</v>
      </c>
      <c r="G123" s="32">
        <f>IFERROR(__xludf.DUMMYFUNCTION("""COMPUTED_VALUE"""),2037.15)</f>
        <v>2037.15</v>
      </c>
      <c r="H123" s="33">
        <f>IFERROR(__xludf.DUMMYFUNCTION("""COMPUTED_VALUE"""),0.11626537073853173)</f>
        <v>0.1162653707</v>
      </c>
      <c r="I123" s="32">
        <f>IFERROR(__xludf.DUMMYFUNCTION("""COMPUTED_VALUE"""),2235.75)</f>
        <v>2235.75</v>
      </c>
      <c r="J123" s="33">
        <f>IFERROR(__xludf.DUMMYFUNCTION("""COMPUTED_VALUE"""),0.017108352901710835)</f>
        <v>0.0171083529</v>
      </c>
      <c r="K123" s="34" t="str">
        <f t="array" ref="K123">if(VLOOKUP(A123,'NSEBSE Code'!$A$4:$C$219,2,0) &lt;&gt; "",VLOOKUP(A123,'NSEBSE Code'!$A$4:$C$219,2,0),"")</f>
        <v>Technology</v>
      </c>
      <c r="L123" s="34" t="str">
        <f t="array" ref="L123">VLOOKUP(A123,'NSEBSE Code'!$A$4:$C$219,3,0)</f>
        <v>NSE:CAMS</v>
      </c>
      <c r="M123" s="35" t="str">
        <f t="array" ref="M123">if(F123 &gt; 30%, "Yes", "No")</f>
        <v>No</v>
      </c>
      <c r="N123" s="36" t="str">
        <f t="array" ref="N123">if(H123 &lt; 30%, "Yes", "No")</f>
        <v>Yes</v>
      </c>
      <c r="O123" s="37" t="str">
        <f t="array" ref="O123">if(AND(D123&lt;65,M123="No",N123="No"),"Good Stock","")</f>
        <v/>
      </c>
      <c r="P123" s="37" t="str">
        <f t="array" ref="P123">ifs(B123/$B$2 &gt; 0.6,"Large Cap", B123/$B$2 &gt; 0.4, "Mid Cap",B123/$B$2&gt;0,"Low Cap")</f>
        <v>Low Cap</v>
      </c>
    </row>
    <row r="124">
      <c r="A124" s="38" t="str">
        <f>IFERROR(__xludf.DUMMYFUNCTION("""COMPUTED_VALUE"""),"HDFC Bank")</f>
        <v>HDFC Bank</v>
      </c>
      <c r="B124" s="31">
        <f>IFERROR(__xludf.DUMMYFUNCTION("""COMPUTED_VALUE"""),11060.0657861)</f>
        <v>11060.06579</v>
      </c>
      <c r="C124" s="32">
        <f>IFERROR(__xludf.DUMMYFUNCTION("""COMPUTED_VALUE"""),1601.0)</f>
        <v>1601</v>
      </c>
      <c r="D124" s="32">
        <f>IFERROR(__xludf.DUMMYFUNCTION("""COMPUTED_VALUE"""),21.39)</f>
        <v>21.39</v>
      </c>
      <c r="E124" s="32">
        <f>IFERROR(__xludf.DUMMYFUNCTION("""COMPUTED_VALUE"""),1722.1)</f>
        <v>1722.1</v>
      </c>
      <c r="F124" s="33">
        <f>IFERROR(__xludf.DUMMYFUNCTION("""COMPUTED_VALUE"""),0.0703211195633238)</f>
        <v>0.07032111956</v>
      </c>
      <c r="G124" s="32">
        <f>IFERROR(__xludf.DUMMYFUNCTION("""COMPUTED_VALUE"""),1271.6)</f>
        <v>1271.6</v>
      </c>
      <c r="H124" s="33">
        <f>IFERROR(__xludf.DUMMYFUNCTION("""COMPUTED_VALUE"""),0.2590437244416484)</f>
        <v>0.2590437244</v>
      </c>
      <c r="I124" s="32">
        <f>IFERROR(__xludf.DUMMYFUNCTION("""COMPUTED_VALUE"""),1599.4)</f>
        <v>1599.4</v>
      </c>
      <c r="J124" s="33">
        <f>IFERROR(__xludf.DUMMYFUNCTION("""COMPUTED_VALUE"""),0.0010003751406776973)</f>
        <v>0.001000375141</v>
      </c>
      <c r="K124" s="34" t="str">
        <f t="array" ref="K124">if(VLOOKUP(A124,'NSEBSE Code'!$A$4:$C$219,2,0) &lt;&gt; "",VLOOKUP(A124,'NSEBSE Code'!$A$4:$C$219,2,0),"")</f>
        <v>Bank</v>
      </c>
      <c r="L124" s="34" t="str">
        <f t="array" ref="L124">VLOOKUP(A124,'NSEBSE Code'!$A$4:$C$219,3,0)</f>
        <v>HDFCBANK</v>
      </c>
      <c r="M124" s="35" t="str">
        <f t="array" ref="M124">if(F124 &gt; 30%, "Yes", "No")</f>
        <v>No</v>
      </c>
      <c r="N124" s="36" t="str">
        <f t="array" ref="N124">if(H124 &lt; 30%, "Yes", "No")</f>
        <v>Yes</v>
      </c>
      <c r="O124" s="37" t="str">
        <f t="array" ref="O124">if(AND(D124&lt;65,M124="No",N124="No"),"Good Stock","")</f>
        <v/>
      </c>
      <c r="P124" s="37" t="str">
        <f t="array" ref="P124">ifs(B124/$B$2 &gt; 0.6,"Large Cap", B124/$B$2 &gt; 0.4, "Mid Cap",B124/$B$2&gt;0,"Low Cap")</f>
        <v>Low Cap</v>
      </c>
    </row>
    <row r="125">
      <c r="A125" s="38" t="str">
        <f>IFERROR(__xludf.DUMMYFUNCTION("""COMPUTED_VALUE"""),"TTK Prestige")</f>
        <v>TTK Prestige</v>
      </c>
      <c r="B125" s="31">
        <f>IFERROR(__xludf.DUMMYFUNCTION("""COMPUTED_VALUE"""),10943.5753)</f>
        <v>10943.5753</v>
      </c>
      <c r="C125" s="32">
        <f>IFERROR(__xludf.DUMMYFUNCTION("""COMPUTED_VALUE"""),789.5)</f>
        <v>789.5</v>
      </c>
      <c r="D125" s="32">
        <f>IFERROR(__xludf.DUMMYFUNCTION("""COMPUTED_VALUE"""),35.54)</f>
        <v>35.54</v>
      </c>
      <c r="E125" s="32">
        <f>IFERROR(__xludf.DUMMYFUNCTION("""COMPUTED_VALUE"""),1049.9)</f>
        <v>1049.9</v>
      </c>
      <c r="F125" s="33">
        <f>IFERROR(__xludf.DUMMYFUNCTION("""COMPUTED_VALUE"""),0.24802362129726646)</f>
        <v>0.2480236213</v>
      </c>
      <c r="G125" s="32">
        <f>IFERROR(__xludf.DUMMYFUNCTION("""COMPUTED_VALUE"""),744.7)</f>
        <v>744.7</v>
      </c>
      <c r="H125" s="33">
        <f>IFERROR(__xludf.DUMMYFUNCTION("""COMPUTED_VALUE"""),0.060158453068349604)</f>
        <v>0.06015845307</v>
      </c>
      <c r="I125" s="32">
        <f>IFERROR(__xludf.DUMMYFUNCTION("""COMPUTED_VALUE"""),794.05)</f>
        <v>794.05</v>
      </c>
      <c r="J125" s="33">
        <f>IFERROR(__xludf.DUMMYFUNCTION("""COMPUTED_VALUE"""),-0.005730117750771305)</f>
        <v>-0.005730117751</v>
      </c>
      <c r="K125" s="34" t="str">
        <f t="array" ref="K125">if(VLOOKUP(A125,'NSEBSE Code'!$A$4:$C$219,2,0) &lt;&gt; "",VLOOKUP(A125,'NSEBSE Code'!$A$4:$C$219,2,0),"")</f>
        <v>Consumer Electrical</v>
      </c>
      <c r="L125" s="34" t="str">
        <f t="array" ref="L125">VLOOKUP(A125,'NSEBSE Code'!$A$4:$C$219,3,0)</f>
        <v>TTKPRESTIG</v>
      </c>
      <c r="M125" s="35" t="str">
        <f t="array" ref="M125">if(F125 &gt; 30%, "Yes", "No")</f>
        <v>No</v>
      </c>
      <c r="N125" s="36" t="str">
        <f t="array" ref="N125">if(H125 &lt; 30%, "Yes", "No")</f>
        <v>Yes</v>
      </c>
      <c r="O125" s="37" t="str">
        <f t="array" ref="O125">if(AND(D125&lt;65,M125="No",N125="No"),"Good Stock","")</f>
        <v/>
      </c>
      <c r="P125" s="37" t="str">
        <f t="array" ref="P125">ifs(B125/$B$2 &gt; 0.6,"Large Cap", B125/$B$2 &gt; 0.4, "Mid Cap",B125/$B$2&gt;0,"Low Cap")</f>
        <v>Low Cap</v>
      </c>
    </row>
    <row r="126">
      <c r="A126" s="38" t="str">
        <f>IFERROR(__xludf.DUMMYFUNCTION("""COMPUTED_VALUE"""),"Alembic Pharma")</f>
        <v>Alembic Pharma</v>
      </c>
      <c r="B126" s="31">
        <f>IFERROR(__xludf.DUMMYFUNCTION("""COMPUTED_VALUE"""),10913.18)</f>
        <v>10913.18</v>
      </c>
      <c r="C126" s="32">
        <f>IFERROR(__xludf.DUMMYFUNCTION("""COMPUTED_VALUE"""),555.0)</f>
        <v>555</v>
      </c>
      <c r="D126" s="32">
        <f>IFERROR(__xludf.DUMMYFUNCTION("""COMPUTED_VALUE"""),42.84)</f>
        <v>42.84</v>
      </c>
      <c r="E126" s="32">
        <f>IFERROR(__xludf.DUMMYFUNCTION("""COMPUTED_VALUE"""),822.8)</f>
        <v>822.8</v>
      </c>
      <c r="F126" s="33">
        <f>IFERROR(__xludf.DUMMYFUNCTION("""COMPUTED_VALUE"""),0.3254739912493923)</f>
        <v>0.3254739912</v>
      </c>
      <c r="G126" s="32">
        <f>IFERROR(__xludf.DUMMYFUNCTION("""COMPUTED_VALUE"""),540.0)</f>
        <v>540</v>
      </c>
      <c r="H126" s="33">
        <f>IFERROR(__xludf.DUMMYFUNCTION("""COMPUTED_VALUE"""),0.027777777777777776)</f>
        <v>0.02777777778</v>
      </c>
      <c r="I126" s="32">
        <f>IFERROR(__xludf.DUMMYFUNCTION("""COMPUTED_VALUE"""),557.4)</f>
        <v>557.4</v>
      </c>
      <c r="J126" s="33">
        <f>IFERROR(__xludf.DUMMYFUNCTION("""COMPUTED_VALUE"""),-0.004305705059203404)</f>
        <v>-0.004305705059</v>
      </c>
      <c r="K126" s="34" t="str">
        <f t="array" ref="K126">if(VLOOKUP(A126,'NSEBSE Code'!$A$4:$C$219,2,0) &lt;&gt; "",VLOOKUP(A126,'NSEBSE Code'!$A$4:$C$219,2,0),"")</f>
        <v>Pharma</v>
      </c>
      <c r="L126" s="34" t="str">
        <f t="array" ref="L126">VLOOKUP(A126,'NSEBSE Code'!$A$4:$C$219,3,0)</f>
        <v>APLLTD</v>
      </c>
      <c r="M126" s="35" t="str">
        <f t="array" ref="M126">if(F126 &gt; 30%, "Yes", "No")</f>
        <v>Yes</v>
      </c>
      <c r="N126" s="36" t="str">
        <f t="array" ref="N126">if(H126 &lt; 30%, "Yes", "No")</f>
        <v>Yes</v>
      </c>
      <c r="O126" s="37" t="str">
        <f t="array" ref="O126">if(AND(D126&lt;65,M126="No",N126="No"),"Good Stock","")</f>
        <v/>
      </c>
      <c r="P126" s="37" t="str">
        <f t="array" ref="P126">ifs(B126/$B$2 &gt; 0.6,"Large Cap", B126/$B$2 &gt; 0.4, "Mid Cap",B126/$B$2&gt;0,"Low Cap")</f>
        <v>Low Cap</v>
      </c>
    </row>
    <row r="127">
      <c r="A127" s="38" t="str">
        <f>IFERROR(__xludf.DUMMYFUNCTION("""COMPUTED_VALUE"""),"Finolex Industries")</f>
        <v>Finolex Industries</v>
      </c>
      <c r="B127" s="31">
        <f>IFERROR(__xludf.DUMMYFUNCTION("""COMPUTED_VALUE"""),10644.74)</f>
        <v>10644.74</v>
      </c>
      <c r="C127" s="32">
        <f>IFERROR(__xludf.DUMMYFUNCTION("""COMPUTED_VALUE"""),173.0)</f>
        <v>173</v>
      </c>
      <c r="D127" s="32">
        <f>IFERROR(__xludf.DUMMYFUNCTION("""COMPUTED_VALUE"""),15.85)</f>
        <v>15.85</v>
      </c>
      <c r="E127" s="32">
        <f>IFERROR(__xludf.DUMMYFUNCTION("""COMPUTED_VALUE"""),204.5)</f>
        <v>204.5</v>
      </c>
      <c r="F127" s="33">
        <f>IFERROR(__xludf.DUMMYFUNCTION("""COMPUTED_VALUE"""),0.15403422982885084)</f>
        <v>0.1540342298</v>
      </c>
      <c r="G127" s="32">
        <f>IFERROR(__xludf.DUMMYFUNCTION("""COMPUTED_VALUE"""),128.0)</f>
        <v>128</v>
      </c>
      <c r="H127" s="33">
        <f>IFERROR(__xludf.DUMMYFUNCTION("""COMPUTED_VALUE"""),0.3515625)</f>
        <v>0.3515625</v>
      </c>
      <c r="I127" s="32">
        <f>IFERROR(__xludf.DUMMYFUNCTION("""COMPUTED_VALUE"""),170.9)</f>
        <v>170.9</v>
      </c>
      <c r="J127" s="33">
        <f>IFERROR(__xludf.DUMMYFUNCTION("""COMPUTED_VALUE"""),0.012287887653598561)</f>
        <v>0.01228788765</v>
      </c>
      <c r="K127" s="34" t="str">
        <f t="array" ref="K127">if(VLOOKUP(A127,'NSEBSE Code'!$A$4:$C$219,2,0) &lt;&gt; "",VLOOKUP(A127,'NSEBSE Code'!$A$4:$C$219,2,0),"")</f>
        <v>Piping</v>
      </c>
      <c r="L127" s="34" t="str">
        <f t="array" ref="L127">VLOOKUP(A127,'NSEBSE Code'!$A$4:$C$219,3,0)</f>
        <v>BOM:500940</v>
      </c>
      <c r="M127" s="35" t="str">
        <f t="array" ref="M127">if(F127 &gt; 30%, "Yes", "No")</f>
        <v>No</v>
      </c>
      <c r="N127" s="36" t="str">
        <f t="array" ref="N127">if(H127 &lt; 30%, "Yes", "No")</f>
        <v>No</v>
      </c>
      <c r="O127" s="37" t="str">
        <f t="array" ref="O127">if(AND(D127&lt;65,M127="No",N127="No"),"Good Stock","")</f>
        <v>Good Stock</v>
      </c>
      <c r="P127" s="37" t="str">
        <f t="array" ref="P127">ifs(B127/$B$2 &gt; 0.6,"Large Cap", B127/$B$2 &gt; 0.4, "Mid Cap",B127/$B$2&gt;0,"Low Cap")</f>
        <v>Low Cap</v>
      </c>
    </row>
    <row r="128">
      <c r="A128" s="38" t="str">
        <f>IFERROR(__xludf.DUMMYFUNCTION("""COMPUTED_VALUE"""),"Mannapuran Finance")</f>
        <v>Mannapuran Finance</v>
      </c>
      <c r="B128" s="31">
        <f>IFERROR(__xludf.DUMMYFUNCTION("""COMPUTED_VALUE"""),10287.9254057)</f>
        <v>10287.92541</v>
      </c>
      <c r="C128" s="32">
        <f>IFERROR(__xludf.DUMMYFUNCTION("""COMPUTED_VALUE"""),121.55)</f>
        <v>121.55</v>
      </c>
      <c r="D128" s="32">
        <f>IFERROR(__xludf.DUMMYFUNCTION("""COMPUTED_VALUE"""),8.7)</f>
        <v>8.7</v>
      </c>
      <c r="E128" s="32">
        <f>IFERROR(__xludf.DUMMYFUNCTION("""COMPUTED_VALUE"""),173.75)</f>
        <v>173.75</v>
      </c>
      <c r="F128" s="33">
        <f>IFERROR(__xludf.DUMMYFUNCTION("""COMPUTED_VALUE"""),0.300431654676259)</f>
        <v>0.3004316547</v>
      </c>
      <c r="G128" s="32">
        <f>IFERROR(__xludf.DUMMYFUNCTION("""COMPUTED_VALUE"""),81.5)</f>
        <v>81.5</v>
      </c>
      <c r="H128" s="33">
        <f>IFERROR(__xludf.DUMMYFUNCTION("""COMPUTED_VALUE"""),0.4914110429447852)</f>
        <v>0.4914110429</v>
      </c>
      <c r="I128" s="32">
        <f>IFERROR(__xludf.DUMMYFUNCTION("""COMPUTED_VALUE"""),120.15)</f>
        <v>120.15</v>
      </c>
      <c r="J128" s="33">
        <f>IFERROR(__xludf.DUMMYFUNCTION("""COMPUTED_VALUE"""),0.011652101539741918)</f>
        <v>0.01165210154</v>
      </c>
      <c r="K128" s="34" t="str">
        <f t="array" ref="K128">if(VLOOKUP(A128,'NSEBSE Code'!$A$4:$C$219,2,0) &lt;&gt; "",VLOOKUP(A128,'NSEBSE Code'!$A$4:$C$219,2,0),"")</f>
        <v>NBFC</v>
      </c>
      <c r="L128" s="34" t="str">
        <f t="array" ref="L128">VLOOKUP(A128,'NSEBSE Code'!$A$4:$C$219,3,0)</f>
        <v>MANAPPURAM</v>
      </c>
      <c r="M128" s="35" t="str">
        <f t="array" ref="M128">if(F128 &gt; 30%, "Yes", "No")</f>
        <v>Yes</v>
      </c>
      <c r="N128" s="36" t="str">
        <f t="array" ref="N128">if(H128 &lt; 30%, "Yes", "No")</f>
        <v>No</v>
      </c>
      <c r="O128" s="37" t="str">
        <f t="array" ref="O128">if(AND(D128&lt;65,M128="No",N128="No"),"Good Stock","")</f>
        <v/>
      </c>
      <c r="P128" s="37" t="str">
        <f t="array" ref="P128">ifs(B128/$B$2 &gt; 0.6,"Large Cap", B128/$B$2 &gt; 0.4, "Mid Cap",B128/$B$2&gt;0,"Low Cap")</f>
        <v>Low Cap</v>
      </c>
    </row>
    <row r="129">
      <c r="A129" s="38" t="str">
        <f>IFERROR(__xludf.DUMMYFUNCTION("""COMPUTED_VALUE"""),"UTI AMC")</f>
        <v>UTI AMC</v>
      </c>
      <c r="B129" s="31">
        <f>IFERROR(__xludf.DUMMYFUNCTION("""COMPUTED_VALUE"""),10284.2865)</f>
        <v>10284.2865</v>
      </c>
      <c r="C129" s="32">
        <f>IFERROR(__xludf.DUMMYFUNCTION("""COMPUTED_VALUE"""),807.2)</f>
        <v>807.2</v>
      </c>
      <c r="D129" s="32">
        <f>IFERROR(__xludf.DUMMYFUNCTION("""COMPUTED_VALUE"""),21.59)</f>
        <v>21.59</v>
      </c>
      <c r="E129" s="32">
        <f>IFERROR(__xludf.DUMMYFUNCTION("""COMPUTED_VALUE"""),1096.05)</f>
        <v>1096.05</v>
      </c>
      <c r="F129" s="33">
        <f>IFERROR(__xludf.DUMMYFUNCTION("""COMPUTED_VALUE"""),0.263537247388349)</f>
        <v>0.2635372474</v>
      </c>
      <c r="G129" s="32">
        <f>IFERROR(__xludf.DUMMYFUNCTION("""COMPUTED_VALUE"""),595.0)</f>
        <v>595</v>
      </c>
      <c r="H129" s="33">
        <f>IFERROR(__xludf.DUMMYFUNCTION("""COMPUTED_VALUE"""),0.35663865546218493)</f>
        <v>0.3566386555</v>
      </c>
      <c r="I129" s="32">
        <f>IFERROR(__xludf.DUMMYFUNCTION("""COMPUTED_VALUE"""),812.9)</f>
        <v>812.9</v>
      </c>
      <c r="J129" s="33">
        <f>IFERROR(__xludf.DUMMYFUNCTION("""COMPUTED_VALUE"""),-0.007011932587033992)</f>
        <v>-0.007011932587</v>
      </c>
      <c r="K129" s="34" t="str">
        <f t="array" ref="K129">if(VLOOKUP(A129,'NSEBSE Code'!$A$4:$C$219,2,0) &lt;&gt; "",VLOOKUP(A129,'NSEBSE Code'!$A$4:$C$219,2,0),"")</f>
        <v>AMC</v>
      </c>
      <c r="L129" s="34" t="str">
        <f t="array" ref="L129">VLOOKUP(A129,'NSEBSE Code'!$A$4:$C$219,3,0)</f>
        <v>BOM:543238</v>
      </c>
      <c r="M129" s="35" t="str">
        <f t="array" ref="M129">if(F129 &gt; 30%, "Yes", "No")</f>
        <v>No</v>
      </c>
      <c r="N129" s="36" t="str">
        <f t="array" ref="N129">if(H129 &lt; 30%, "Yes", "No")</f>
        <v>No</v>
      </c>
      <c r="O129" s="37" t="str">
        <f t="array" ref="O129">if(AND(D129&lt;65,M129="No",N129="No"),"Good Stock","")</f>
        <v>Good Stock</v>
      </c>
      <c r="P129" s="37" t="str">
        <f t="array" ref="P129">ifs(B129/$B$2 &gt; 0.6,"Large Cap", B129/$B$2 &gt; 0.4, "Mid Cap",B129/$B$2&gt;0,"Low Cap")</f>
        <v>Low Cap</v>
      </c>
    </row>
    <row r="130">
      <c r="A130" s="38" t="str">
        <f>IFERROR(__xludf.DUMMYFUNCTION("""COMPUTED_VALUE"""),"HFCL")</f>
        <v>HFCL</v>
      </c>
      <c r="B130" s="31">
        <f>IFERROR(__xludf.DUMMYFUNCTION("""COMPUTED_VALUE"""),10126.79307)</f>
        <v>10126.79307</v>
      </c>
      <c r="C130" s="32">
        <f>IFERROR(__xludf.DUMMYFUNCTION("""COMPUTED_VALUE"""),73.6)</f>
        <v>73.6</v>
      </c>
      <c r="D130" s="32">
        <f>IFERROR(__xludf.DUMMYFUNCTION("""COMPUTED_VALUE"""),36.15)</f>
        <v>36.15</v>
      </c>
      <c r="E130" s="32">
        <f>IFERROR(__xludf.DUMMYFUNCTION("""COMPUTED_VALUE"""),101.35)</f>
        <v>101.35</v>
      </c>
      <c r="F130" s="33">
        <f>IFERROR(__xludf.DUMMYFUNCTION("""COMPUTED_VALUE"""),0.2738036507153429)</f>
        <v>0.2738036507</v>
      </c>
      <c r="G130" s="32">
        <f>IFERROR(__xludf.DUMMYFUNCTION("""COMPUTED_VALUE"""),51.55)</f>
        <v>51.55</v>
      </c>
      <c r="H130" s="33">
        <f>IFERROR(__xludf.DUMMYFUNCTION("""COMPUTED_VALUE"""),0.42774005819592625)</f>
        <v>0.4277400582</v>
      </c>
      <c r="I130" s="32">
        <f>IFERROR(__xludf.DUMMYFUNCTION("""COMPUTED_VALUE"""),72.4)</f>
        <v>72.4</v>
      </c>
      <c r="J130" s="33">
        <f>IFERROR(__xludf.DUMMYFUNCTION("""COMPUTED_VALUE"""),0.01657458563535896)</f>
        <v>0.01657458564</v>
      </c>
      <c r="K130" s="34" t="str">
        <f t="array" ref="K130">if(VLOOKUP(A130,'NSEBSE Code'!$A$4:$C$219,2,0) &lt;&gt; "",VLOOKUP(A130,'NSEBSE Code'!$A$4:$C$219,2,0),"")</f>
        <v>Telecom</v>
      </c>
      <c r="L130" s="34" t="str">
        <f t="array" ref="L130">VLOOKUP(A130,'NSEBSE Code'!$A$4:$C$219,3,0)</f>
        <v>BOM:500183</v>
      </c>
      <c r="M130" s="35" t="str">
        <f t="array" ref="M130">if(F130 &gt; 30%, "Yes", "No")</f>
        <v>No</v>
      </c>
      <c r="N130" s="36" t="str">
        <f t="array" ref="N130">if(H130 &lt; 30%, "Yes", "No")</f>
        <v>No</v>
      </c>
      <c r="O130" s="37" t="str">
        <f t="array" ref="O130">if(AND(D130&lt;65,M130="No",N130="No"),"Good Stock","")</f>
        <v>Good Stock</v>
      </c>
      <c r="P130" s="37" t="str">
        <f t="array" ref="P130">ifs(B130/$B$2 &gt; 0.6,"Large Cap", B130/$B$2 &gt; 0.4, "Mid Cap",B130/$B$2&gt;0,"Low Cap")</f>
        <v>Low Cap</v>
      </c>
    </row>
    <row r="131">
      <c r="A131" s="38" t="str">
        <f>IFERROR(__xludf.DUMMYFUNCTION("""COMPUTED_VALUE"""),"Tanla Platform")</f>
        <v>Tanla Platform</v>
      </c>
      <c r="B131" s="31">
        <f>IFERROR(__xludf.DUMMYFUNCTION("""COMPUTED_VALUE"""),9951.4177429)</f>
        <v>9951.417743</v>
      </c>
      <c r="C131" s="32">
        <f>IFERROR(__xludf.DUMMYFUNCTION("""COMPUTED_VALUE"""),731.9)</f>
        <v>731.9</v>
      </c>
      <c r="D131" s="32">
        <f>IFERROR(__xludf.DUMMYFUNCTION("""COMPUTED_VALUE"""),19.49)</f>
        <v>19.49</v>
      </c>
      <c r="E131" s="32">
        <f>IFERROR(__xludf.DUMMYFUNCTION("""COMPUTED_VALUE"""),2094.4)</f>
        <v>2094.4</v>
      </c>
      <c r="F131" s="33">
        <f>IFERROR(__xludf.DUMMYFUNCTION("""COMPUTED_VALUE"""),0.6505443086325439)</f>
        <v>0.6505443086</v>
      </c>
      <c r="G131" s="32">
        <f>IFERROR(__xludf.DUMMYFUNCTION("""COMPUTED_VALUE"""),584.8)</f>
        <v>584.8</v>
      </c>
      <c r="H131" s="33">
        <f>IFERROR(__xludf.DUMMYFUNCTION("""COMPUTED_VALUE"""),0.25153898768809857)</f>
        <v>0.2515389877</v>
      </c>
      <c r="I131" s="32">
        <f>IFERROR(__xludf.DUMMYFUNCTION("""COMPUTED_VALUE"""),724.3)</f>
        <v>724.3</v>
      </c>
      <c r="J131" s="33">
        <f>IFERROR(__xludf.DUMMYFUNCTION("""COMPUTED_VALUE"""),0.010492889686593985)</f>
        <v>0.01049288969</v>
      </c>
      <c r="K131" s="34" t="str">
        <f t="array" ref="K131">if(VLOOKUP(A131,'NSEBSE Code'!$A$4:$C$219,2,0) &lt;&gt; "",VLOOKUP(A131,'NSEBSE Code'!$A$4:$C$219,2,0),"")</f>
        <v>Technology</v>
      </c>
      <c r="L131" s="34" t="str">
        <f t="array" ref="L131">VLOOKUP(A131,'NSEBSE Code'!$A$4:$C$219,3,0)</f>
        <v>BOM:532790</v>
      </c>
      <c r="M131" s="35" t="str">
        <f t="array" ref="M131">if(F131 &gt; 30%, "Yes", "No")</f>
        <v>Yes</v>
      </c>
      <c r="N131" s="36" t="str">
        <f t="array" ref="N131">if(H131 &lt; 30%, "Yes", "No")</f>
        <v>Yes</v>
      </c>
      <c r="O131" s="37" t="str">
        <f t="array" ref="O131">if(AND(D131&lt;65,M131="No",N131="No"),"Good Stock","")</f>
        <v/>
      </c>
      <c r="P131" s="37" t="str">
        <f t="array" ref="P131">ifs(B131/$B$2 &gt; 0.6,"Large Cap", B131/$B$2 &gt; 0.4, "Mid Cap",B131/$B$2&gt;0,"Low Cap")</f>
        <v>Low Cap</v>
      </c>
    </row>
    <row r="132">
      <c r="A132" s="38" t="str">
        <f>IFERROR(__xludf.DUMMYFUNCTION("""COMPUTED_VALUE"""),"Amara Raja Batter")</f>
        <v>Amara Raja Batter</v>
      </c>
      <c r="B132" s="31">
        <f>IFERROR(__xludf.DUMMYFUNCTION("""COMPUTED_VALUE"""),9847.33486)</f>
        <v>9847.33486</v>
      </c>
      <c r="C132" s="32">
        <f>IFERROR(__xludf.DUMMYFUNCTION("""COMPUTED_VALUE"""),576.5)</f>
        <v>576.5</v>
      </c>
      <c r="D132" s="32">
        <f>IFERROR(__xludf.DUMMYFUNCTION("""COMPUTED_VALUE"""),17.05)</f>
        <v>17.05</v>
      </c>
      <c r="E132" s="32">
        <f>IFERROR(__xludf.DUMMYFUNCTION("""COMPUTED_VALUE"""),668.15)</f>
        <v>668.15</v>
      </c>
      <c r="F132" s="33">
        <f>IFERROR(__xludf.DUMMYFUNCTION("""COMPUTED_VALUE"""),0.13716979720122724)</f>
        <v>0.1371697972</v>
      </c>
      <c r="G132" s="32">
        <f>IFERROR(__xludf.DUMMYFUNCTION("""COMPUTED_VALUE"""),438.05)</f>
        <v>438.05</v>
      </c>
      <c r="H132" s="33">
        <f>IFERROR(__xludf.DUMMYFUNCTION("""COMPUTED_VALUE"""),0.31605981052391274)</f>
        <v>0.3160598105</v>
      </c>
      <c r="I132" s="32">
        <f>IFERROR(__xludf.DUMMYFUNCTION("""COMPUTED_VALUE"""),590.95)</f>
        <v>590.95</v>
      </c>
      <c r="J132" s="33">
        <f>IFERROR(__xludf.DUMMYFUNCTION("""COMPUTED_VALUE"""),-0.02445215331246306)</f>
        <v>-0.02445215331</v>
      </c>
      <c r="K132" s="34" t="str">
        <f t="array" ref="K132">if(VLOOKUP(A132,'NSEBSE Code'!$A$4:$C$219,2,0) &lt;&gt; "",VLOOKUP(A132,'NSEBSE Code'!$A$4:$C$219,2,0),"")</f>
        <v>Automobile Ancilliary</v>
      </c>
      <c r="L132" s="34" t="str">
        <f t="array" ref="L132">VLOOKUP(A132,'NSEBSE Code'!$A$4:$C$219,3,0)</f>
        <v>AMARAJABAT</v>
      </c>
      <c r="M132" s="35" t="str">
        <f t="array" ref="M132">if(F132 &gt; 30%, "Yes", "No")</f>
        <v>No</v>
      </c>
      <c r="N132" s="36" t="str">
        <f t="array" ref="N132">if(H132 &lt; 30%, "Yes", "No")</f>
        <v>No</v>
      </c>
      <c r="O132" s="37" t="str">
        <f t="array" ref="O132">if(AND(D132&lt;65,M132="No",N132="No"),"Good Stock","")</f>
        <v>Good Stock</v>
      </c>
      <c r="P132" s="37" t="str">
        <f t="array" ref="P132">ifs(B132/$B$2 &gt; 0.6,"Large Cap", B132/$B$2 &gt; 0.4, "Mid Cap",B132/$B$2&gt;0,"Low Cap")</f>
        <v>Low Cap</v>
      </c>
    </row>
    <row r="133">
      <c r="A133" s="38" t="str">
        <f>IFERROR(__xludf.DUMMYFUNCTION("""COMPUTED_VALUE"""),"Cyient")</f>
        <v>Cyient</v>
      </c>
      <c r="B133" s="31">
        <f>IFERROR(__xludf.DUMMYFUNCTION("""COMPUTED_VALUE"""),9606.1541)</f>
        <v>9606.1541</v>
      </c>
      <c r="C133" s="32">
        <f>IFERROR(__xludf.DUMMYFUNCTION("""COMPUTED_VALUE"""),876.0)</f>
        <v>876</v>
      </c>
      <c r="D133" s="32">
        <f>IFERROR(__xludf.DUMMYFUNCTION("""COMPUTED_VALUE"""),19.98)</f>
        <v>19.98</v>
      </c>
      <c r="E133" s="32">
        <f>IFERROR(__xludf.DUMMYFUNCTION("""COMPUTED_VALUE"""),1051.85)</f>
        <v>1051.85</v>
      </c>
      <c r="F133" s="33">
        <f>IFERROR(__xludf.DUMMYFUNCTION("""COMPUTED_VALUE"""),0.16718163236202874)</f>
        <v>0.1671816324</v>
      </c>
      <c r="G133" s="32">
        <f>IFERROR(__xludf.DUMMYFUNCTION("""COMPUTED_VALUE"""),720.0)</f>
        <v>720</v>
      </c>
      <c r="H133" s="33">
        <f>IFERROR(__xludf.DUMMYFUNCTION("""COMPUTED_VALUE"""),0.21666666666666667)</f>
        <v>0.2166666667</v>
      </c>
      <c r="I133" s="32">
        <f>IFERROR(__xludf.DUMMYFUNCTION("""COMPUTED_VALUE"""),883.3)</f>
        <v>883.3</v>
      </c>
      <c r="J133" s="33">
        <f>IFERROR(__xludf.DUMMYFUNCTION("""COMPUTED_VALUE"""),-0.008264462809917304)</f>
        <v>-0.00826446281</v>
      </c>
      <c r="K133" s="34" t="str">
        <f t="array" ref="K133">if(VLOOKUP(A133,'NSEBSE Code'!$A$4:$C$219,2,0) &lt;&gt; "",VLOOKUP(A133,'NSEBSE Code'!$A$4:$C$219,2,0),"")</f>
        <v>IT-Software</v>
      </c>
      <c r="L133" s="34" t="str">
        <f t="array" ref="L133">VLOOKUP(A133,'NSEBSE Code'!$A$4:$C$219,3,0)</f>
        <v>CYIENT</v>
      </c>
      <c r="M133" s="35" t="str">
        <f t="array" ref="M133">if(F133 &gt; 30%, "Yes", "No")</f>
        <v>No</v>
      </c>
      <c r="N133" s="36" t="str">
        <f t="array" ref="N133">if(H133 &lt; 30%, "Yes", "No")</f>
        <v>Yes</v>
      </c>
      <c r="O133" s="37" t="str">
        <f t="array" ref="O133">if(AND(D133&lt;65,M133="No",N133="No"),"Good Stock","")</f>
        <v/>
      </c>
      <c r="P133" s="37" t="str">
        <f t="array" ref="P133">ifs(B133/$B$2 &gt; 0.6,"Large Cap", B133/$B$2 &gt; 0.4, "Mid Cap",B133/$B$2&gt;0,"Low Cap")</f>
        <v>Low Cap</v>
      </c>
    </row>
    <row r="134">
      <c r="A134" s="38" t="str">
        <f>IFERROR(__xludf.DUMMYFUNCTION("""COMPUTED_VALUE"""),"Astrazeneca")</f>
        <v>Astrazeneca</v>
      </c>
      <c r="B134" s="31">
        <f>IFERROR(__xludf.DUMMYFUNCTION("""COMPUTED_VALUE"""),8815.8228535)</f>
        <v>8815.822854</v>
      </c>
      <c r="C134" s="32">
        <f>IFERROR(__xludf.DUMMYFUNCTION("""COMPUTED_VALUE"""),3515.05)</f>
        <v>3515.05</v>
      </c>
      <c r="D134" s="32">
        <f>IFERROR(__xludf.DUMMYFUNCTION("""COMPUTED_VALUE"""),95.35)</f>
        <v>95.35</v>
      </c>
      <c r="E134" s="32">
        <f>IFERROR(__xludf.DUMMYFUNCTION("""COMPUTED_VALUE"""),3619.7)</f>
        <v>3619.7</v>
      </c>
      <c r="F134" s="33">
        <f>IFERROR(__xludf.DUMMYFUNCTION("""COMPUTED_VALUE"""),0.028911235737768225)</f>
        <v>0.02891123574</v>
      </c>
      <c r="G134" s="32">
        <f>IFERROR(__xludf.DUMMYFUNCTION("""COMPUTED_VALUE"""),2437.75)</f>
        <v>2437.75</v>
      </c>
      <c r="H134" s="33">
        <f>IFERROR(__xludf.DUMMYFUNCTION("""COMPUTED_VALUE"""),0.44192390524048825)</f>
        <v>0.4419239052</v>
      </c>
      <c r="I134" s="32">
        <f>IFERROR(__xludf.DUMMYFUNCTION("""COMPUTED_VALUE"""),3443.4)</f>
        <v>3443.4</v>
      </c>
      <c r="J134" s="33">
        <f>IFERROR(__xludf.DUMMYFUNCTION("""COMPUTED_VALUE"""),0.020807922402276847)</f>
        <v>0.0208079224</v>
      </c>
      <c r="K134" s="34" t="str">
        <f t="array" ref="K134">if(VLOOKUP(A134,'NSEBSE Code'!$A$4:$C$219,2,0) &lt;&gt; "",VLOOKUP(A134,'NSEBSE Code'!$A$4:$C$219,2,0),"")</f>
        <v>Pharma</v>
      </c>
      <c r="L134" s="34" t="str">
        <f t="array" ref="L134">VLOOKUP(A134,'NSEBSE Code'!$A$4:$C$219,3,0)</f>
        <v>BOM:506820</v>
      </c>
      <c r="M134" s="35" t="str">
        <f t="array" ref="M134">if(F134 &gt; 30%, "Yes", "No")</f>
        <v>No</v>
      </c>
      <c r="N134" s="36" t="str">
        <f t="array" ref="N134">if(H134 &lt; 30%, "Yes", "No")</f>
        <v>No</v>
      </c>
      <c r="O134" s="37" t="str">
        <f t="array" ref="O134">if(AND(D134&lt;65,M134="No",N134="No"),"Good Stock","")</f>
        <v/>
      </c>
      <c r="P134" s="37" t="str">
        <f t="array" ref="P134">ifs(B134/$B$2 &gt; 0.6,"Large Cap", B134/$B$2 &gt; 0.4, "Mid Cap",B134/$B$2&gt;0,"Low Cap")</f>
        <v>Low Cap</v>
      </c>
    </row>
    <row r="135">
      <c r="A135" s="38" t="str">
        <f>IFERROR(__xludf.DUMMYFUNCTION("""COMPUTED_VALUE"""),"Poly Medicure Ltd")</f>
        <v>Poly Medicure Ltd</v>
      </c>
      <c r="B135" s="31">
        <f>IFERROR(__xludf.DUMMYFUNCTION("""COMPUTED_VALUE"""),8584.669055)</f>
        <v>8584.669055</v>
      </c>
      <c r="C135" s="32">
        <f>IFERROR(__xludf.DUMMYFUNCTION("""COMPUTED_VALUE"""),891.5)</f>
        <v>891.5</v>
      </c>
      <c r="D135" s="32">
        <f>IFERROR(__xludf.DUMMYFUNCTION("""COMPUTED_VALUE"""),61.12)</f>
        <v>61.12</v>
      </c>
      <c r="E135" s="32">
        <f>IFERROR(__xludf.DUMMYFUNCTION("""COMPUTED_VALUE"""),1044.4)</f>
        <v>1044.4</v>
      </c>
      <c r="F135" s="33">
        <f>IFERROR(__xludf.DUMMYFUNCTION("""COMPUTED_VALUE"""),0.14639984680199164)</f>
        <v>0.1463998468</v>
      </c>
      <c r="G135" s="32">
        <f>IFERROR(__xludf.DUMMYFUNCTION("""COMPUTED_VALUE"""),652.3)</f>
        <v>652.3</v>
      </c>
      <c r="H135" s="33">
        <f>IFERROR(__xludf.DUMMYFUNCTION("""COMPUTED_VALUE"""),0.36670243752874454)</f>
        <v>0.3667024375</v>
      </c>
      <c r="I135" s="32">
        <f>IFERROR(__xludf.DUMMYFUNCTION("""COMPUTED_VALUE"""),897.9)</f>
        <v>897.9</v>
      </c>
      <c r="J135" s="33">
        <f>IFERROR(__xludf.DUMMYFUNCTION("""COMPUTED_VALUE"""),-0.00712774251030179)</f>
        <v>-0.00712774251</v>
      </c>
      <c r="K135" s="34" t="str">
        <f t="array" ref="K135">if(VLOOKUP(A135,'NSEBSE Code'!$A$4:$C$219,2,0) &lt;&gt; "",VLOOKUP(A135,'NSEBSE Code'!$A$4:$C$219,2,0),"")</f>
        <v>Healthcare</v>
      </c>
      <c r="L135" s="34" t="str">
        <f t="array" ref="L135">VLOOKUP(A135,'NSEBSE Code'!$A$4:$C$219,3,0)</f>
        <v>BOM:531768</v>
      </c>
      <c r="M135" s="35" t="str">
        <f t="array" ref="M135">if(F135 &gt; 30%, "Yes", "No")</f>
        <v>No</v>
      </c>
      <c r="N135" s="36" t="str">
        <f t="array" ref="N135">if(H135 &lt; 30%, "Yes", "No")</f>
        <v>No</v>
      </c>
      <c r="O135" s="37" t="str">
        <f t="array" ref="O135">if(AND(D135&lt;65,M135="No",N135="No"),"Good Stock","")</f>
        <v>Good Stock</v>
      </c>
      <c r="P135" s="37" t="str">
        <f t="array" ref="P135">ifs(B135/$B$2 &gt; 0.6,"Large Cap", B135/$B$2 &gt; 0.4, "Mid Cap",B135/$B$2&gt;0,"Low Cap")</f>
        <v>Low Cap</v>
      </c>
    </row>
    <row r="136">
      <c r="A136" s="38" t="str">
        <f>IFERROR(__xludf.DUMMYFUNCTION("""COMPUTED_VALUE"""),"Finolex Cable")</f>
        <v>Finolex Cable</v>
      </c>
      <c r="B136" s="31">
        <f>IFERROR(__xludf.DUMMYFUNCTION("""COMPUTED_VALUE"""),8463.6612353)</f>
        <v>8463.661235</v>
      </c>
      <c r="C136" s="32">
        <f>IFERROR(__xludf.DUMMYFUNCTION("""COMPUTED_VALUE"""),553.4)</f>
        <v>553.4</v>
      </c>
      <c r="D136" s="32">
        <f>IFERROR(__xludf.DUMMYFUNCTION("""COMPUTED_VALUE"""),15.6)</f>
        <v>15.6</v>
      </c>
      <c r="E136" s="32">
        <f>IFERROR(__xludf.DUMMYFUNCTION("""COMPUTED_VALUE"""),593.9)</f>
        <v>593.9</v>
      </c>
      <c r="F136" s="33">
        <f>IFERROR(__xludf.DUMMYFUNCTION("""COMPUTED_VALUE"""),0.06819329853510692)</f>
        <v>0.06819329854</v>
      </c>
      <c r="G136" s="32">
        <f>IFERROR(__xludf.DUMMYFUNCTION("""COMPUTED_VALUE"""),343.5)</f>
        <v>343.5</v>
      </c>
      <c r="H136" s="33">
        <f>IFERROR(__xludf.DUMMYFUNCTION("""COMPUTED_VALUE"""),0.6110625909752546)</f>
        <v>0.611062591</v>
      </c>
      <c r="I136" s="32">
        <f>IFERROR(__xludf.DUMMYFUNCTION("""COMPUTED_VALUE"""),539.85)</f>
        <v>539.85</v>
      </c>
      <c r="J136" s="33">
        <f>IFERROR(__xludf.DUMMYFUNCTION("""COMPUTED_VALUE"""),0.02509956469389637)</f>
        <v>0.02509956469</v>
      </c>
      <c r="K136" s="34" t="str">
        <f t="array" ref="K136">if(VLOOKUP(A136,'NSEBSE Code'!$A$4:$C$219,2,0) &lt;&gt; "",VLOOKUP(A136,'NSEBSE Code'!$A$4:$C$219,2,0),"")</f>
        <v>Consumer Electrical</v>
      </c>
      <c r="L136" s="34" t="str">
        <f t="array" ref="L136">VLOOKUP(A136,'NSEBSE Code'!$A$4:$C$219,3,0)</f>
        <v>FINCABLES</v>
      </c>
      <c r="M136" s="35" t="str">
        <f t="array" ref="M136">if(F136 &gt; 30%, "Yes", "No")</f>
        <v>No</v>
      </c>
      <c r="N136" s="36" t="str">
        <f t="array" ref="N136">if(H136 &lt; 30%, "Yes", "No")</f>
        <v>No</v>
      </c>
      <c r="O136" s="37" t="str">
        <f t="array" ref="O136">if(AND(D136&lt;65,M136="No",N136="No"),"Good Stock","")</f>
        <v>Good Stock</v>
      </c>
      <c r="P136" s="37" t="str">
        <f t="array" ref="P136">ifs(B136/$B$2 &gt; 0.6,"Large Cap", B136/$B$2 &gt; 0.4, "Mid Cap",B136/$B$2&gt;0,"Low Cap")</f>
        <v>Low Cap</v>
      </c>
    </row>
    <row r="137">
      <c r="A137" s="38" t="str">
        <f>IFERROR(__xludf.DUMMYFUNCTION("""COMPUTED_VALUE"""),"Mahangar Gas")</f>
        <v>Mahangar Gas</v>
      </c>
      <c r="B137" s="31">
        <f>IFERROR(__xludf.DUMMYFUNCTION("""COMPUTED_VALUE"""),8445.006)</f>
        <v>8445.006</v>
      </c>
      <c r="C137" s="32">
        <f>IFERROR(__xludf.DUMMYFUNCTION("""COMPUTED_VALUE"""),853.05)</f>
        <v>853.05</v>
      </c>
      <c r="D137" s="32">
        <f>IFERROR(__xludf.DUMMYFUNCTION("""COMPUTED_VALUE"""),15.67)</f>
        <v>15.67</v>
      </c>
      <c r="E137" s="32">
        <f>IFERROR(__xludf.DUMMYFUNCTION("""COMPUTED_VALUE"""),925.0)</f>
        <v>925</v>
      </c>
      <c r="F137" s="33">
        <f>IFERROR(__xludf.DUMMYFUNCTION("""COMPUTED_VALUE"""),0.07778378378378384)</f>
        <v>0.07778378378</v>
      </c>
      <c r="G137" s="32">
        <f>IFERROR(__xludf.DUMMYFUNCTION("""COMPUTED_VALUE"""),666.35)</f>
        <v>666.35</v>
      </c>
      <c r="H137" s="33">
        <f>IFERROR(__xludf.DUMMYFUNCTION("""COMPUTED_VALUE"""),0.2801830869663089)</f>
        <v>0.280183087</v>
      </c>
      <c r="I137" s="32">
        <f>IFERROR(__xludf.DUMMYFUNCTION("""COMPUTED_VALUE"""),862.5)</f>
        <v>862.5</v>
      </c>
      <c r="J137" s="33">
        <f>IFERROR(__xludf.DUMMYFUNCTION("""COMPUTED_VALUE"""),-0.010956521739130488)</f>
        <v>-0.01095652174</v>
      </c>
      <c r="K137" s="34" t="str">
        <f t="array" ref="K137">if(VLOOKUP(A137,'NSEBSE Code'!$A$4:$C$219,2,0) &lt;&gt; "",VLOOKUP(A137,'NSEBSE Code'!$A$4:$C$219,2,0),"")</f>
        <v>Utility</v>
      </c>
      <c r="L137" s="34" t="str">
        <f t="array" ref="L137">VLOOKUP(A137,'NSEBSE Code'!$A$4:$C$219,3,0)</f>
        <v>BOM:539957</v>
      </c>
      <c r="M137" s="35" t="str">
        <f t="array" ref="M137">if(F137 &gt; 30%, "Yes", "No")</f>
        <v>No</v>
      </c>
      <c r="N137" s="36" t="str">
        <f t="array" ref="N137">if(H137 &lt; 30%, "Yes", "No")</f>
        <v>Yes</v>
      </c>
      <c r="O137" s="37" t="str">
        <f t="array" ref="O137">if(AND(D137&lt;65,M137="No",N137="No"),"Good Stock","")</f>
        <v/>
      </c>
      <c r="P137" s="37" t="str">
        <f t="array" ref="P137">ifs(B137/$B$2 &gt; 0.6,"Large Cap", B137/$B$2 &gt; 0.4, "Mid Cap",B137/$B$2&gt;0,"Low Cap")</f>
        <v>Low Cap</v>
      </c>
    </row>
    <row r="138">
      <c r="A138" s="38" t="str">
        <f>IFERROR(__xludf.DUMMYFUNCTION("""COMPUTED_VALUE"""),"Galaxy Surfactant")</f>
        <v>Galaxy Surfactant</v>
      </c>
      <c r="B138" s="31">
        <f>IFERROR(__xludf.DUMMYFUNCTION("""COMPUTED_VALUE"""),8341.1378051)</f>
        <v>8341.137805</v>
      </c>
      <c r="C138" s="32">
        <f>IFERROR(__xludf.DUMMYFUNCTION("""COMPUTED_VALUE"""),2358.0)</f>
        <v>2358</v>
      </c>
      <c r="D138" s="32">
        <f>IFERROR(__xludf.DUMMYFUNCTION("""COMPUTED_VALUE"""),25.47)</f>
        <v>25.47</v>
      </c>
      <c r="E138" s="32">
        <f>IFERROR(__xludf.DUMMYFUNCTION("""COMPUTED_VALUE"""),3447.55)</f>
        <v>3447.55</v>
      </c>
      <c r="F138" s="33">
        <f>IFERROR(__xludf.DUMMYFUNCTION("""COMPUTED_VALUE"""),0.31603602558338534)</f>
        <v>0.3160360256</v>
      </c>
      <c r="G138" s="32">
        <f>IFERROR(__xludf.DUMMYFUNCTION("""COMPUTED_VALUE"""),2310.1)</f>
        <v>2310.1</v>
      </c>
      <c r="H138" s="33">
        <f>IFERROR(__xludf.DUMMYFUNCTION("""COMPUTED_VALUE"""),0.020735033115449587)</f>
        <v>0.02073503312</v>
      </c>
      <c r="I138" s="32">
        <f>IFERROR(__xludf.DUMMYFUNCTION("""COMPUTED_VALUE"""),2340.5)</f>
        <v>2340.5</v>
      </c>
      <c r="J138" s="33">
        <f>IFERROR(__xludf.DUMMYFUNCTION("""COMPUTED_VALUE"""),0.007477034821619312)</f>
        <v>0.007477034822</v>
      </c>
      <c r="K138" s="34" t="str">
        <f t="array" ref="K138">if(VLOOKUP(A138,'NSEBSE Code'!$A$4:$C$219,2,0) &lt;&gt; "",VLOOKUP(A138,'NSEBSE Code'!$A$4:$C$219,2,0),"")</f>
        <v>Chemical</v>
      </c>
      <c r="L138" s="34" t="str">
        <f t="array" ref="L138">VLOOKUP(A138,'NSEBSE Code'!$A$4:$C$219,3,0)</f>
        <v>GALAXYSURF</v>
      </c>
      <c r="M138" s="35" t="str">
        <f t="array" ref="M138">if(F138 &gt; 30%, "Yes", "No")</f>
        <v>Yes</v>
      </c>
      <c r="N138" s="36" t="str">
        <f t="array" ref="N138">if(H138 &lt; 30%, "Yes", "No")</f>
        <v>Yes</v>
      </c>
      <c r="O138" s="37" t="str">
        <f t="array" ref="O138">if(AND(D138&lt;65,M138="No",N138="No"),"Good Stock","")</f>
        <v/>
      </c>
      <c r="P138" s="37" t="str">
        <f t="array" ref="P138">ifs(B138/$B$2 &gt; 0.6,"Large Cap", B138/$B$2 &gt; 0.4, "Mid Cap",B138/$B$2&gt;0,"Low Cap")</f>
        <v>Low Cap</v>
      </c>
    </row>
    <row r="139">
      <c r="A139" s="38" t="str">
        <f>IFERROR(__xludf.DUMMYFUNCTION("""COMPUTED_VALUE"""),"Balaji Amine")</f>
        <v>Balaji Amine</v>
      </c>
      <c r="B139" s="31">
        <f>IFERROR(__xludf.DUMMYFUNCTION("""COMPUTED_VALUE"""),8293.1763762)</f>
        <v>8293.176376</v>
      </c>
      <c r="C139" s="32">
        <f>IFERROR(__xludf.DUMMYFUNCTION("""COMPUTED_VALUE"""),2562.7)</f>
        <v>2562.7</v>
      </c>
      <c r="D139" s="32">
        <f>IFERROR(__xludf.DUMMYFUNCTION("""COMPUTED_VALUE"""),20.06)</f>
        <v>20.06</v>
      </c>
      <c r="E139" s="32">
        <f>IFERROR(__xludf.DUMMYFUNCTION("""COMPUTED_VALUE"""),3841.85)</f>
        <v>3841.85</v>
      </c>
      <c r="F139" s="33">
        <f>IFERROR(__xludf.DUMMYFUNCTION("""COMPUTED_VALUE"""),0.3329515728099744)</f>
        <v>0.3329515728</v>
      </c>
      <c r="G139" s="32">
        <f>IFERROR(__xludf.DUMMYFUNCTION("""COMPUTED_VALUE"""),2530.0)</f>
        <v>2530</v>
      </c>
      <c r="H139" s="33">
        <f>IFERROR(__xludf.DUMMYFUNCTION("""COMPUTED_VALUE"""),0.01292490118577068)</f>
        <v>0.01292490119</v>
      </c>
      <c r="I139" s="32">
        <f>IFERROR(__xludf.DUMMYFUNCTION("""COMPUTED_VALUE"""),2557.4)</f>
        <v>2557.4</v>
      </c>
      <c r="J139" s="33">
        <f>IFERROR(__xludf.DUMMYFUNCTION("""COMPUTED_VALUE"""),0.0020724172988190064)</f>
        <v>0.002072417299</v>
      </c>
      <c r="K139" s="34" t="str">
        <f t="array" ref="K139">if(VLOOKUP(A139,'NSEBSE Code'!$A$4:$C$219,2,0) &lt;&gt; "",VLOOKUP(A139,'NSEBSE Code'!$A$4:$C$219,2,0),"")</f>
        <v>Chemical</v>
      </c>
      <c r="L139" s="34" t="str">
        <f t="array" ref="L139">VLOOKUP(A139,'NSEBSE Code'!$A$4:$C$219,3,0)</f>
        <v>BOM:530999</v>
      </c>
      <c r="M139" s="35" t="str">
        <f t="array" ref="M139">if(F139 &gt; 30%, "Yes", "No")</f>
        <v>Yes</v>
      </c>
      <c r="N139" s="36" t="str">
        <f t="array" ref="N139">if(H139 &lt; 30%, "Yes", "No")</f>
        <v>Yes</v>
      </c>
      <c r="O139" s="37" t="str">
        <f t="array" ref="O139">if(AND(D139&lt;65,M139="No",N139="No"),"Good Stock","")</f>
        <v/>
      </c>
      <c r="P139" s="37" t="str">
        <f t="array" ref="P139">ifs(B139/$B$2 &gt; 0.6,"Large Cap", B139/$B$2 &gt; 0.4, "Mid Cap",B139/$B$2&gt;0,"Low Cap")</f>
        <v>Low Cap</v>
      </c>
    </row>
    <row r="140">
      <c r="A140" s="38" t="str">
        <f>IFERROR(__xludf.DUMMYFUNCTION("""COMPUTED_VALUE"""),"Sonata Software")</f>
        <v>Sonata Software</v>
      </c>
      <c r="B140" s="31">
        <f>IFERROR(__xludf.DUMMYFUNCTION("""COMPUTED_VALUE"""),8104.163)</f>
        <v>8104.163</v>
      </c>
      <c r="C140" s="32">
        <f>IFERROR(__xludf.DUMMYFUNCTION("""COMPUTED_VALUE"""),582.0)</f>
        <v>582</v>
      </c>
      <c r="D140" s="32">
        <f>IFERROR(__xludf.DUMMYFUNCTION("""COMPUTED_VALUE"""),19.25)</f>
        <v>19.25</v>
      </c>
      <c r="E140" s="32">
        <f>IFERROR(__xludf.DUMMYFUNCTION("""COMPUTED_VALUE"""),694.5)</f>
        <v>694.5</v>
      </c>
      <c r="F140" s="33">
        <f>IFERROR(__xludf.DUMMYFUNCTION("""COMPUTED_VALUE"""),0.16198704103671707)</f>
        <v>0.161987041</v>
      </c>
      <c r="G140" s="32">
        <f>IFERROR(__xludf.DUMMYFUNCTION("""COMPUTED_VALUE"""),457.58)</f>
        <v>457.58</v>
      </c>
      <c r="H140" s="33">
        <f>IFERROR(__xludf.DUMMYFUNCTION("""COMPUTED_VALUE"""),0.2719087372699856)</f>
        <v>0.2719087373</v>
      </c>
      <c r="I140" s="32">
        <f>IFERROR(__xludf.DUMMYFUNCTION("""COMPUTED_VALUE"""),574.4)</f>
        <v>574.4</v>
      </c>
      <c r="J140" s="33">
        <f>IFERROR(__xludf.DUMMYFUNCTION("""COMPUTED_VALUE"""),0.013231197771587783)</f>
        <v>0.01323119777</v>
      </c>
      <c r="K140" s="34" t="str">
        <f t="array" ref="K140">if(VLOOKUP(A140,'NSEBSE Code'!$A$4:$C$219,2,0) &lt;&gt; "",VLOOKUP(A140,'NSEBSE Code'!$A$4:$C$219,2,0),"")</f>
        <v>IT-Software</v>
      </c>
      <c r="L140" s="34" t="str">
        <f t="array" ref="L140">VLOOKUP(A140,'NSEBSE Code'!$A$4:$C$219,3,0)</f>
        <v>SONATSOFTW</v>
      </c>
      <c r="M140" s="35" t="str">
        <f t="array" ref="M140">if(F140 &gt; 30%, "Yes", "No")</f>
        <v>No</v>
      </c>
      <c r="N140" s="36" t="str">
        <f t="array" ref="N140">if(H140 &lt; 30%, "Yes", "No")</f>
        <v>Yes</v>
      </c>
      <c r="O140" s="37" t="str">
        <f t="array" ref="O140">if(AND(D140&lt;65,M140="No",N140="No"),"Good Stock","")</f>
        <v/>
      </c>
      <c r="P140" s="37" t="str">
        <f t="array" ref="P140">ifs(B140/$B$2 &gt; 0.6,"Large Cap", B140/$B$2 &gt; 0.4, "Mid Cap",B140/$B$2&gt;0,"Low Cap")</f>
        <v>Low Cap</v>
      </c>
    </row>
    <row r="141">
      <c r="A141" s="38" t="str">
        <f>IFERROR(__xludf.DUMMYFUNCTION("""COMPUTED_VALUE"""),"Granules India")</f>
        <v>Granules India</v>
      </c>
      <c r="B141" s="31">
        <f>IFERROR(__xludf.DUMMYFUNCTION("""COMPUTED_VALUE"""),7705.431)</f>
        <v>7705.431</v>
      </c>
      <c r="C141" s="32">
        <f>IFERROR(__xludf.DUMMYFUNCTION("""COMPUTED_VALUE"""),318.6)</f>
        <v>318.6</v>
      </c>
      <c r="D141" s="32">
        <f>IFERROR(__xludf.DUMMYFUNCTION("""COMPUTED_VALUE"""),16.36)</f>
        <v>16.36</v>
      </c>
      <c r="E141" s="32">
        <f>IFERROR(__xludf.DUMMYFUNCTION("""COMPUTED_VALUE"""),381.25)</f>
        <v>381.25</v>
      </c>
      <c r="F141" s="33">
        <f>IFERROR(__xludf.DUMMYFUNCTION("""COMPUTED_VALUE"""),0.16432786885245895)</f>
        <v>0.1643278689</v>
      </c>
      <c r="G141" s="32">
        <f>IFERROR(__xludf.DUMMYFUNCTION("""COMPUTED_VALUE"""),227.0)</f>
        <v>227</v>
      </c>
      <c r="H141" s="33">
        <f>IFERROR(__xludf.DUMMYFUNCTION("""COMPUTED_VALUE"""),0.40352422907489)</f>
        <v>0.4035242291</v>
      </c>
      <c r="I141" s="32">
        <f>IFERROR(__xludf.DUMMYFUNCTION("""COMPUTED_VALUE"""),318.15)</f>
        <v>318.15</v>
      </c>
      <c r="J141" s="33">
        <f>IFERROR(__xludf.DUMMYFUNCTION("""COMPUTED_VALUE"""),0.0014144271570015574)</f>
        <v>0.001414427157</v>
      </c>
      <c r="K141" s="34" t="str">
        <f t="array" ref="K141">if(VLOOKUP(A141,'NSEBSE Code'!$A$4:$C$219,2,0) &lt;&gt; "",VLOOKUP(A141,'NSEBSE Code'!$A$4:$C$219,2,0),"")</f>
        <v>Pharma</v>
      </c>
      <c r="L141" s="34" t="str">
        <f t="array" ref="L141">VLOOKUP(A141,'NSEBSE Code'!$A$4:$C$219,3,0)</f>
        <v>BOM:532482</v>
      </c>
      <c r="M141" s="35" t="str">
        <f t="array" ref="M141">if(F141 &gt; 30%, "Yes", "No")</f>
        <v>No</v>
      </c>
      <c r="N141" s="36" t="str">
        <f t="array" ref="N141">if(H141 &lt; 30%, "Yes", "No")</f>
        <v>No</v>
      </c>
      <c r="O141" s="37" t="str">
        <f t="array" ref="O141">if(AND(D141&lt;65,M141="No",N141="No"),"Good Stock","")</f>
        <v>Good Stock</v>
      </c>
      <c r="P141" s="37" t="str">
        <f t="array" ref="P141">ifs(B141/$B$2 &gt; 0.6,"Large Cap", B141/$B$2 &gt; 0.4, "Mid Cap",B141/$B$2&gt;0,"Low Cap")</f>
        <v>Low Cap</v>
      </c>
    </row>
    <row r="142">
      <c r="A142" s="38" t="str">
        <f>IFERROR(__xludf.DUMMYFUNCTION("""COMPUTED_VALUE"""),"Laxmi Orgamic")</f>
        <v>Laxmi Orgamic</v>
      </c>
      <c r="B142" s="31">
        <f>IFERROR(__xludf.DUMMYFUNCTION("""COMPUTED_VALUE"""),7672.4308321)</f>
        <v>7672.430832</v>
      </c>
      <c r="C142" s="32">
        <f>IFERROR(__xludf.DUMMYFUNCTION("""COMPUTED_VALUE"""),289.4)</f>
        <v>289.4</v>
      </c>
      <c r="D142" s="32">
        <f>IFERROR(__xludf.DUMMYFUNCTION("""COMPUTED_VALUE"""),36.41)</f>
        <v>36.41</v>
      </c>
      <c r="E142" s="32">
        <f>IFERROR(__xludf.DUMMYFUNCTION("""COMPUTED_VALUE"""),501.6)</f>
        <v>501.6</v>
      </c>
      <c r="F142" s="33">
        <f>IFERROR(__xludf.DUMMYFUNCTION("""COMPUTED_VALUE"""),0.4230462519936205)</f>
        <v>0.423046252</v>
      </c>
      <c r="G142" s="32">
        <f>IFERROR(__xludf.DUMMYFUNCTION("""COMPUTED_VALUE"""),274.35)</f>
        <v>274.35</v>
      </c>
      <c r="H142" s="33">
        <f>IFERROR(__xludf.DUMMYFUNCTION("""COMPUTED_VALUE"""),0.05485693457262604)</f>
        <v>0.05485693457</v>
      </c>
      <c r="I142" s="32">
        <f>IFERROR(__xludf.DUMMYFUNCTION("""COMPUTED_VALUE"""),289.25)</f>
        <v>289.25</v>
      </c>
      <c r="J142" s="33">
        <f>IFERROR(__xludf.DUMMYFUNCTION("""COMPUTED_VALUE"""),5.185825410543726E-4)</f>
        <v>0.0005185825411</v>
      </c>
      <c r="K142" s="34" t="str">
        <f t="array" ref="K142">if(VLOOKUP(A142,'NSEBSE Code'!$A$4:$C$219,2,0) &lt;&gt; "",VLOOKUP(A142,'NSEBSE Code'!$A$4:$C$219,2,0),"")</f>
        <v>Chemical</v>
      </c>
      <c r="L142" s="34" t="str">
        <f t="array" ref="L142">VLOOKUP(A142,'NSEBSE Code'!$A$4:$C$219,3,0)</f>
        <v>BOM:543277</v>
      </c>
      <c r="M142" s="35" t="str">
        <f t="array" ref="M142">if(F142 &gt; 30%, "Yes", "No")</f>
        <v>Yes</v>
      </c>
      <c r="N142" s="36" t="str">
        <f t="array" ref="N142">if(H142 &lt; 30%, "Yes", "No")</f>
        <v>Yes</v>
      </c>
      <c r="O142" s="37" t="str">
        <f t="array" ref="O142">if(AND(D142&lt;65,M142="No",N142="No"),"Good Stock","")</f>
        <v/>
      </c>
      <c r="P142" s="37" t="str">
        <f t="array" ref="P142">ifs(B142/$B$2 &gt; 0.6,"Large Cap", B142/$B$2 &gt; 0.4, "Mid Cap",B142/$B$2&gt;0,"Low Cap")</f>
        <v>Low Cap</v>
      </c>
    </row>
    <row r="143">
      <c r="A143" s="38" t="str">
        <f>IFERROR(__xludf.DUMMYFUNCTION("""COMPUTED_VALUE"""),"Infosys")</f>
        <v>Infosys</v>
      </c>
      <c r="B143" s="31">
        <f>IFERROR(__xludf.DUMMYFUNCTION("""COMPUTED_VALUE"""),7658.1331612)</f>
        <v>7658.133161</v>
      </c>
      <c r="C143" s="32">
        <f>IFERROR(__xludf.DUMMYFUNCTION("""COMPUTED_VALUE"""),1503.5)</f>
        <v>1503.5</v>
      </c>
      <c r="D143" s="32">
        <f>IFERROR(__xludf.DUMMYFUNCTION("""COMPUTED_VALUE"""),27.61)</f>
        <v>27.61</v>
      </c>
      <c r="E143" s="32">
        <f>IFERROR(__xludf.DUMMYFUNCTION("""COMPUTED_VALUE"""),1953.7)</f>
        <v>1953.7</v>
      </c>
      <c r="F143" s="33">
        <f>IFERROR(__xludf.DUMMYFUNCTION("""COMPUTED_VALUE"""),0.23043456006551674)</f>
        <v>0.2304345601</v>
      </c>
      <c r="G143" s="32">
        <f>IFERROR(__xludf.DUMMYFUNCTION("""COMPUTED_VALUE"""),1355.5)</f>
        <v>1355.5</v>
      </c>
      <c r="H143" s="33">
        <f>IFERROR(__xludf.DUMMYFUNCTION("""COMPUTED_VALUE"""),0.10918480265584656)</f>
        <v>0.1091848027</v>
      </c>
      <c r="I143" s="32">
        <f>IFERROR(__xludf.DUMMYFUNCTION("""COMPUTED_VALUE"""),1480.55)</f>
        <v>1480.55</v>
      </c>
      <c r="J143" s="33">
        <f>IFERROR(__xludf.DUMMYFUNCTION("""COMPUTED_VALUE"""),0.015500996251393095)</f>
        <v>0.01550099625</v>
      </c>
      <c r="K143" s="34" t="str">
        <f t="array" ref="K143">if(VLOOKUP(A143,'NSEBSE Code'!$A$4:$C$219,2,0) &lt;&gt; "",VLOOKUP(A143,'NSEBSE Code'!$A$4:$C$219,2,0),"")</f>
        <v>IT</v>
      </c>
      <c r="L143" s="34" t="str">
        <f t="array" ref="L143">VLOOKUP(A143,'NSEBSE Code'!$A$4:$C$219,3,0)</f>
        <v>BOM:500209</v>
      </c>
      <c r="M143" s="35" t="str">
        <f t="array" ref="M143">if(F143 &gt; 30%, "Yes", "No")</f>
        <v>No</v>
      </c>
      <c r="N143" s="36" t="str">
        <f t="array" ref="N143">if(H143 &lt; 30%, "Yes", "No")</f>
        <v>Yes</v>
      </c>
      <c r="O143" s="37" t="str">
        <f t="array" ref="O143">if(AND(D143&lt;65,M143="No",N143="No"),"Good Stock","")</f>
        <v/>
      </c>
      <c r="P143" s="37" t="str">
        <f t="array" ref="P143">ifs(B143/$B$2 &gt; 0.6,"Large Cap", B143/$B$2 &gt; 0.4, "Mid Cap",B143/$B$2&gt;0,"Low Cap")</f>
        <v>Low Cap</v>
      </c>
    </row>
    <row r="144">
      <c r="A144" s="38" t="str">
        <f>IFERROR(__xludf.DUMMYFUNCTION("""COMPUTED_VALUE"""),"Latent View")</f>
        <v>Latent View</v>
      </c>
      <c r="B144" s="31">
        <f>IFERROR(__xludf.DUMMYFUNCTION("""COMPUTED_VALUE"""),7452.986336)</f>
        <v>7452.986336</v>
      </c>
      <c r="C144" s="32">
        <f>IFERROR(__xludf.DUMMYFUNCTION("""COMPUTED_VALUE"""),367.25)</f>
        <v>367.25</v>
      </c>
      <c r="D144" s="32">
        <f>IFERROR(__xludf.DUMMYFUNCTION("""COMPUTED_VALUE"""),49.25)</f>
        <v>49.25</v>
      </c>
      <c r="E144" s="32">
        <f>IFERROR(__xludf.DUMMYFUNCTION("""COMPUTED_VALUE"""),617.4)</f>
        <v>617.4</v>
      </c>
      <c r="F144" s="33">
        <f>IFERROR(__xludf.DUMMYFUNCTION("""COMPUTED_VALUE"""),0.4051668286362164)</f>
        <v>0.4051668286</v>
      </c>
      <c r="G144" s="32">
        <f>IFERROR(__xludf.DUMMYFUNCTION("""COMPUTED_VALUE"""),305.25)</f>
        <v>305.25</v>
      </c>
      <c r="H144" s="33">
        <f>IFERROR(__xludf.DUMMYFUNCTION("""COMPUTED_VALUE"""),0.2031122031122031)</f>
        <v>0.2031122031</v>
      </c>
      <c r="I144" s="32">
        <f>IFERROR(__xludf.DUMMYFUNCTION("""COMPUTED_VALUE"""),368.4)</f>
        <v>368.4</v>
      </c>
      <c r="J144" s="33">
        <f>IFERROR(__xludf.DUMMYFUNCTION("""COMPUTED_VALUE"""),-0.003121606948968451)</f>
        <v>-0.003121606949</v>
      </c>
      <c r="K144" s="34" t="str">
        <f t="array" ref="K144">if(VLOOKUP(A144,'NSEBSE Code'!$A$4:$C$219,2,0) &lt;&gt; "",VLOOKUP(A144,'NSEBSE Code'!$A$4:$C$219,2,0),"")</f>
        <v>IT</v>
      </c>
      <c r="L144" s="34" t="str">
        <f t="array" ref="L144">VLOOKUP(A144,'NSEBSE Code'!$A$4:$C$219,3,0)</f>
        <v>BOM:543398</v>
      </c>
      <c r="M144" s="35" t="str">
        <f t="array" ref="M144">if(F144 &gt; 30%, "Yes", "No")</f>
        <v>Yes</v>
      </c>
      <c r="N144" s="36" t="str">
        <f t="array" ref="N144">if(H144 &lt; 30%, "Yes", "No")</f>
        <v>Yes</v>
      </c>
      <c r="O144" s="37" t="str">
        <f t="array" ref="O144">if(AND(D144&lt;65,M144="No",N144="No"),"Good Stock","")</f>
        <v/>
      </c>
      <c r="P144" s="37" t="str">
        <f t="array" ref="P144">ifs(B144/$B$2 &gt; 0.6,"Large Cap", B144/$B$2 &gt; 0.4, "Mid Cap",B144/$B$2&gt;0,"Low Cap")</f>
        <v>Low Cap</v>
      </c>
    </row>
    <row r="145">
      <c r="A145" s="38" t="str">
        <f>IFERROR(__xludf.DUMMYFUNCTION("""COMPUTED_VALUE"""),"ICICI Bank")</f>
        <v>ICICI Bank</v>
      </c>
      <c r="B145" s="31">
        <f>IFERROR(__xludf.DUMMYFUNCTION("""COMPUTED_VALUE"""),7451.4657292)</f>
        <v>7451.465729</v>
      </c>
      <c r="C145" s="32">
        <f>IFERROR(__xludf.DUMMYFUNCTION("""COMPUTED_VALUE"""),873.25)</f>
        <v>873.25</v>
      </c>
      <c r="D145" s="32">
        <f>IFERROR(__xludf.DUMMYFUNCTION("""COMPUTED_VALUE"""),20.88)</f>
        <v>20.88</v>
      </c>
      <c r="E145" s="32">
        <f>IFERROR(__xludf.DUMMYFUNCTION("""COMPUTED_VALUE"""),958.0)</f>
        <v>958</v>
      </c>
      <c r="F145" s="33">
        <f>IFERROR(__xludf.DUMMYFUNCTION("""COMPUTED_VALUE"""),0.08846555323590814)</f>
        <v>0.08846555324</v>
      </c>
      <c r="G145" s="32">
        <f>IFERROR(__xludf.DUMMYFUNCTION("""COMPUTED_VALUE"""),642.0)</f>
        <v>642</v>
      </c>
      <c r="H145" s="33">
        <f>IFERROR(__xludf.DUMMYFUNCTION("""COMPUTED_VALUE"""),0.36020249221183803)</f>
        <v>0.3602024922</v>
      </c>
      <c r="I145" s="32">
        <f>IFERROR(__xludf.DUMMYFUNCTION("""COMPUTED_VALUE"""),861.2)</f>
        <v>861.2</v>
      </c>
      <c r="J145" s="33">
        <f>IFERROR(__xludf.DUMMYFUNCTION("""COMPUTED_VALUE"""),0.013992104040873147)</f>
        <v>0.01399210404</v>
      </c>
      <c r="K145" s="34" t="str">
        <f t="array" ref="K145">if(VLOOKUP(A145,'NSEBSE Code'!$A$4:$C$219,2,0) &lt;&gt; "",VLOOKUP(A145,'NSEBSE Code'!$A$4:$C$219,2,0),"")</f>
        <v>Bank</v>
      </c>
      <c r="L145" s="34" t="str">
        <f t="array" ref="L145">VLOOKUP(A145,'NSEBSE Code'!$A$4:$C$219,3,0)</f>
        <v>BOM:532174</v>
      </c>
      <c r="M145" s="35" t="str">
        <f t="array" ref="M145">if(F145 &gt; 30%, "Yes", "No")</f>
        <v>No</v>
      </c>
      <c r="N145" s="36" t="str">
        <f t="array" ref="N145">if(H145 &lt; 30%, "Yes", "No")</f>
        <v>No</v>
      </c>
      <c r="O145" s="37" t="str">
        <f t="array" ref="O145">if(AND(D145&lt;65,M145="No",N145="No"),"Good Stock","")</f>
        <v>Good Stock</v>
      </c>
      <c r="P145" s="37" t="str">
        <f t="array" ref="P145">ifs(B145/$B$2 &gt; 0.6,"Large Cap", B145/$B$2 &gt; 0.4, "Mid Cap",B145/$B$2&gt;0,"Low Cap")</f>
        <v>Low Cap</v>
      </c>
    </row>
    <row r="146">
      <c r="A146" s="38" t="str">
        <f>IFERROR(__xludf.DUMMYFUNCTION("""COMPUTED_VALUE"""),"Route Mobile")</f>
        <v>Route Mobile</v>
      </c>
      <c r="B146" s="31">
        <f>IFERROR(__xludf.DUMMYFUNCTION("""COMPUTED_VALUE"""),7415.8287656)</f>
        <v>7415.828766</v>
      </c>
      <c r="C146" s="32">
        <f>IFERROR(__xludf.DUMMYFUNCTION("""COMPUTED_VALUE"""),1190.8)</f>
        <v>1190.8</v>
      </c>
      <c r="D146" s="32">
        <f>IFERROR(__xludf.DUMMYFUNCTION("""COMPUTED_VALUE"""),32.12)</f>
        <v>32.12</v>
      </c>
      <c r="E146" s="32">
        <f>IFERROR(__xludf.DUMMYFUNCTION("""COMPUTED_VALUE"""),1919.0)</f>
        <v>1919</v>
      </c>
      <c r="F146" s="33">
        <f>IFERROR(__xludf.DUMMYFUNCTION("""COMPUTED_VALUE"""),0.37946847316310583)</f>
        <v>0.3794684732</v>
      </c>
      <c r="G146" s="32">
        <f>IFERROR(__xludf.DUMMYFUNCTION("""COMPUTED_VALUE"""),1052.6)</f>
        <v>1052.6</v>
      </c>
      <c r="H146" s="33">
        <f>IFERROR(__xludf.DUMMYFUNCTION("""COMPUTED_VALUE"""),0.1312939388181646)</f>
        <v>0.1312939388</v>
      </c>
      <c r="I146" s="32">
        <f>IFERROR(__xludf.DUMMYFUNCTION("""COMPUTED_VALUE"""),1197.6)</f>
        <v>1197.6</v>
      </c>
      <c r="J146" s="33">
        <f>IFERROR(__xludf.DUMMYFUNCTION("""COMPUTED_VALUE"""),-0.005678022712090811)</f>
        <v>-0.005678022712</v>
      </c>
      <c r="K146" s="34" t="str">
        <f t="array" ref="K146">if(VLOOKUP(A146,'NSEBSE Code'!$A$4:$C$219,2,0) &lt;&gt; "",VLOOKUP(A146,'NSEBSE Code'!$A$4:$C$219,2,0),"")</f>
        <v>Technology</v>
      </c>
      <c r="L146" s="34" t="str">
        <f t="array" ref="L146">VLOOKUP(A146,'NSEBSE Code'!$A$4:$C$219,3,0)</f>
        <v>BOM:543228</v>
      </c>
      <c r="M146" s="35" t="str">
        <f t="array" ref="M146">if(F146 &gt; 30%, "Yes", "No")</f>
        <v>Yes</v>
      </c>
      <c r="N146" s="36" t="str">
        <f t="array" ref="N146">if(H146 &lt; 30%, "Yes", "No")</f>
        <v>Yes</v>
      </c>
      <c r="O146" s="37" t="str">
        <f t="array" ref="O146">if(AND(D146&lt;65,M146="No",N146="No"),"Good Stock","")</f>
        <v/>
      </c>
      <c r="P146" s="37" t="str">
        <f t="array" ref="P146">ifs(B146/$B$2 &gt; 0.6,"Large Cap", B146/$B$2 &gt; 0.4, "Mid Cap",B146/$B$2&gt;0,"Low Cap")</f>
        <v>Low Cap</v>
      </c>
    </row>
    <row r="147">
      <c r="A147" s="38" t="str">
        <f>IFERROR(__xludf.DUMMYFUNCTION("""COMPUTED_VALUE"""),"craftsman automation")</f>
        <v>craftsman automation</v>
      </c>
      <c r="B147" s="31">
        <f>IFERROR(__xludf.DUMMYFUNCTION("""COMPUTED_VALUE"""),7324.341471)</f>
        <v>7324.341471</v>
      </c>
      <c r="C147" s="32">
        <f>IFERROR(__xludf.DUMMYFUNCTION("""COMPUTED_VALUE"""),3465.1)</f>
        <v>3465.1</v>
      </c>
      <c r="D147" s="32">
        <f>IFERROR(__xludf.DUMMYFUNCTION("""COMPUTED_VALUE"""),35.75)</f>
        <v>35.75</v>
      </c>
      <c r="E147" s="32">
        <f>IFERROR(__xludf.DUMMYFUNCTION("""COMPUTED_VALUE"""),3709.95)</f>
        <v>3709.95</v>
      </c>
      <c r="F147" s="33">
        <f>IFERROR(__xludf.DUMMYFUNCTION("""COMPUTED_VALUE"""),0.06599819404574184)</f>
        <v>0.06599819405</v>
      </c>
      <c r="G147" s="32">
        <f>IFERROR(__xludf.DUMMYFUNCTION("""COMPUTED_VALUE"""),1845.0)</f>
        <v>1845</v>
      </c>
      <c r="H147" s="33">
        <f>IFERROR(__xludf.DUMMYFUNCTION("""COMPUTED_VALUE"""),0.8781029810298102)</f>
        <v>0.878102981</v>
      </c>
      <c r="I147" s="32">
        <f>IFERROR(__xludf.DUMMYFUNCTION("""COMPUTED_VALUE"""),3461.8)</f>
        <v>3461.8</v>
      </c>
      <c r="J147" s="33">
        <f>IFERROR(__xludf.DUMMYFUNCTION("""COMPUTED_VALUE"""),9.532613091454524E-4)</f>
        <v>0.0009532613091</v>
      </c>
      <c r="K147" s="34" t="str">
        <f t="array" ref="K147">if(VLOOKUP(A147,'NSEBSE Code'!$A$4:$C$219,2,0) &lt;&gt; "",VLOOKUP(A147,'NSEBSE Code'!$A$4:$C$219,2,0),"")</f>
        <v>automobile</v>
      </c>
      <c r="L147" s="34" t="str">
        <f t="array" ref="L147">VLOOKUP(A147,'NSEBSE Code'!$A$4:$C$219,3,0)</f>
        <v>BOM:543276</v>
      </c>
      <c r="M147" s="35" t="str">
        <f t="array" ref="M147">if(F147 &gt; 30%, "Yes", "No")</f>
        <v>No</v>
      </c>
      <c r="N147" s="36" t="str">
        <f t="array" ref="N147">if(H147 &lt; 30%, "Yes", "No")</f>
        <v>No</v>
      </c>
      <c r="O147" s="37" t="str">
        <f t="array" ref="O147">if(AND(D147&lt;65,M147="No",N147="No"),"Good Stock","")</f>
        <v>Good Stock</v>
      </c>
      <c r="P147" s="37" t="str">
        <f t="array" ref="P147">ifs(B147/$B$2 &gt; 0.6,"Large Cap", B147/$B$2 &gt; 0.4, "Mid Cap",B147/$B$2&gt;0,"Low Cap")</f>
        <v>Low Cap</v>
      </c>
    </row>
    <row r="148">
      <c r="A148" s="38" t="str">
        <f>IFERROR(__xludf.DUMMYFUNCTION("""COMPUTED_VALUE"""),"Metropolis Healthcare")</f>
        <v>Metropolis Healthcare</v>
      </c>
      <c r="B148" s="31">
        <f>IFERROR(__xludf.DUMMYFUNCTION("""COMPUTED_VALUE"""),7063.23)</f>
        <v>7063.23</v>
      </c>
      <c r="C148" s="32">
        <f>IFERROR(__xludf.DUMMYFUNCTION("""COMPUTED_VALUE"""),1380.05)</f>
        <v>1380.05</v>
      </c>
      <c r="D148" s="32">
        <f>IFERROR(__xludf.DUMMYFUNCTION("""COMPUTED_VALUE"""),45.85)</f>
        <v>45.85</v>
      </c>
      <c r="E148" s="32">
        <f>IFERROR(__xludf.DUMMYFUNCTION("""COMPUTED_VALUE"""),3142.0)</f>
        <v>3142</v>
      </c>
      <c r="F148" s="33">
        <f>IFERROR(__xludf.DUMMYFUNCTION("""COMPUTED_VALUE"""),0.5607733927434755)</f>
        <v>0.5607733927</v>
      </c>
      <c r="G148" s="32">
        <f>IFERROR(__xludf.DUMMYFUNCTION("""COMPUTED_VALUE"""),1267.05)</f>
        <v>1267.05</v>
      </c>
      <c r="H148" s="33">
        <f>IFERROR(__xludf.DUMMYFUNCTION("""COMPUTED_VALUE"""),0.08918353656130382)</f>
        <v>0.08918353656</v>
      </c>
      <c r="I148" s="32">
        <f>IFERROR(__xludf.DUMMYFUNCTION("""COMPUTED_VALUE"""),1382.35)</f>
        <v>1382.35</v>
      </c>
      <c r="J148" s="33">
        <f>IFERROR(__xludf.DUMMYFUNCTION("""COMPUTED_VALUE"""),-0.0016638333273049188)</f>
        <v>-0.001663833327</v>
      </c>
      <c r="K148" s="34" t="str">
        <f t="array" ref="K148">if(VLOOKUP(A148,'NSEBSE Code'!$A$4:$C$219,2,0) &lt;&gt; "",VLOOKUP(A148,'NSEBSE Code'!$A$4:$C$219,2,0),"")</f>
        <v>Healthcare</v>
      </c>
      <c r="L148" s="34" t="str">
        <f t="array" ref="L148">VLOOKUP(A148,'NSEBSE Code'!$A$4:$C$219,3,0)</f>
        <v>METROPOLIS</v>
      </c>
      <c r="M148" s="35" t="str">
        <f t="array" ref="M148">if(F148 &gt; 30%, "Yes", "No")</f>
        <v>Yes</v>
      </c>
      <c r="N148" s="36" t="str">
        <f t="array" ref="N148">if(H148 &lt; 30%, "Yes", "No")</f>
        <v>Yes</v>
      </c>
      <c r="O148" s="37" t="str">
        <f t="array" ref="O148">if(AND(D148&lt;65,M148="No",N148="No"),"Good Stock","")</f>
        <v/>
      </c>
      <c r="P148" s="37" t="str">
        <f t="array" ref="P148">ifs(B148/$B$2 &gt; 0.6,"Large Cap", B148/$B$2 &gt; 0.4, "Mid Cap",B148/$B$2&gt;0,"Low Cap")</f>
        <v>Low Cap</v>
      </c>
    </row>
    <row r="149">
      <c r="A149" s="38" t="str">
        <f>IFERROR(__xludf.DUMMYFUNCTION("""COMPUTED_VALUE"""),"GMM Pfaudler")</f>
        <v>GMM Pfaudler</v>
      </c>
      <c r="B149" s="31">
        <f>IFERROR(__xludf.DUMMYFUNCTION("""COMPUTED_VALUE"""),7046.8192293)</f>
        <v>7046.819229</v>
      </c>
      <c r="C149" s="32">
        <f>IFERROR(__xludf.DUMMYFUNCTION("""COMPUTED_VALUE"""),1567.45)</f>
        <v>1567.45</v>
      </c>
      <c r="D149" s="32">
        <f>IFERROR(__xludf.DUMMYFUNCTION("""COMPUTED_VALUE"""),53.87)</f>
        <v>53.87</v>
      </c>
      <c r="E149" s="32">
        <f>IFERROR(__xludf.DUMMYFUNCTION("""COMPUTED_VALUE"""),2110.0)</f>
        <v>2110</v>
      </c>
      <c r="F149" s="33">
        <f>IFERROR(__xludf.DUMMYFUNCTION("""COMPUTED_VALUE"""),0.25713270142180095)</f>
        <v>0.2571327014</v>
      </c>
      <c r="G149" s="32">
        <f>IFERROR(__xludf.DUMMYFUNCTION("""COMPUTED_VALUE"""),1256.67)</f>
        <v>1256.67</v>
      </c>
      <c r="H149" s="33">
        <f>IFERROR(__xludf.DUMMYFUNCTION("""COMPUTED_VALUE"""),0.24730438380800046)</f>
        <v>0.2473043838</v>
      </c>
      <c r="I149" s="32">
        <f>IFERROR(__xludf.DUMMYFUNCTION("""COMPUTED_VALUE"""),1576.95)</f>
        <v>1576.95</v>
      </c>
      <c r="J149" s="33">
        <f>IFERROR(__xludf.DUMMYFUNCTION("""COMPUTED_VALUE"""),-0.006024287390215289)</f>
        <v>-0.00602428739</v>
      </c>
      <c r="K149" s="34" t="str">
        <f t="array" ref="K149">if(VLOOKUP(A149,'NSEBSE Code'!$A$4:$C$219,2,0) &lt;&gt; "",VLOOKUP(A149,'NSEBSE Code'!$A$4:$C$219,2,0),"")</f>
        <v>Manufacturing</v>
      </c>
      <c r="L149" s="34" t="str">
        <f t="array" ref="L149">VLOOKUP(A149,'NSEBSE Code'!$A$4:$C$219,3,0)</f>
        <v>GMMPFAUDLR</v>
      </c>
      <c r="M149" s="35" t="str">
        <f t="array" ref="M149">if(F149 &gt; 30%, "Yes", "No")</f>
        <v>No</v>
      </c>
      <c r="N149" s="36" t="str">
        <f t="array" ref="N149">if(H149 &lt; 30%, "Yes", "No")</f>
        <v>Yes</v>
      </c>
      <c r="O149" s="37" t="str">
        <f t="array" ref="O149">if(AND(D149&lt;65,M149="No",N149="No"),"Good Stock","")</f>
        <v/>
      </c>
      <c r="P149" s="37" t="str">
        <f t="array" ref="P149">ifs(B149/$B$2 &gt; 0.6,"Large Cap", B149/$B$2 &gt; 0.4, "Mid Cap",B149/$B$2&gt;0,"Low Cap")</f>
        <v>Low Cap</v>
      </c>
    </row>
    <row r="150">
      <c r="A150" s="38" t="str">
        <f>IFERROR(__xludf.DUMMYFUNCTION("""COMPUTED_VALUE"""),"TCI Express")</f>
        <v>TCI Express</v>
      </c>
      <c r="B150" s="31">
        <f>IFERROR(__xludf.DUMMYFUNCTION("""COMPUTED_VALUE"""),6985.583)</f>
        <v>6985.583</v>
      </c>
      <c r="C150" s="32">
        <f>IFERROR(__xludf.DUMMYFUNCTION("""COMPUTED_VALUE"""),1795.0)</f>
        <v>1795</v>
      </c>
      <c r="D150" s="32">
        <f>IFERROR(__xludf.DUMMYFUNCTION("""COMPUTED_VALUE"""),49.5)</f>
        <v>49.5</v>
      </c>
      <c r="E150" s="32">
        <f>IFERROR(__xludf.DUMMYFUNCTION("""COMPUTED_VALUE"""),2249.0)</f>
        <v>2249</v>
      </c>
      <c r="F150" s="33">
        <f>IFERROR(__xludf.DUMMYFUNCTION("""COMPUTED_VALUE"""),0.20186749666518453)</f>
        <v>0.2018674967</v>
      </c>
      <c r="G150" s="32">
        <f>IFERROR(__xludf.DUMMYFUNCTION("""COMPUTED_VALUE"""),1444.5)</f>
        <v>1444.5</v>
      </c>
      <c r="H150" s="33">
        <f>IFERROR(__xludf.DUMMYFUNCTION("""COMPUTED_VALUE"""),0.24264451367255105)</f>
        <v>0.2426445137</v>
      </c>
      <c r="I150" s="32">
        <f>IFERROR(__xludf.DUMMYFUNCTION("""COMPUTED_VALUE"""),1807.4)</f>
        <v>1807.4</v>
      </c>
      <c r="J150" s="33">
        <f>IFERROR(__xludf.DUMMYFUNCTION("""COMPUTED_VALUE"""),-0.006860683855261752)</f>
        <v>-0.006860683855</v>
      </c>
      <c r="K150" s="34" t="str">
        <f t="array" ref="K150">if(VLOOKUP(A150,'NSEBSE Code'!$A$4:$C$219,2,0) &lt;&gt; "",VLOOKUP(A150,'NSEBSE Code'!$A$4:$C$219,2,0),"")</f>
        <v>Logistic</v>
      </c>
      <c r="L150" s="34" t="str">
        <f t="array" ref="L150">VLOOKUP(A150,'NSEBSE Code'!$A$4:$C$219,3,0)</f>
        <v>BOM:540212</v>
      </c>
      <c r="M150" s="35" t="str">
        <f t="array" ref="M150">if(F150 &gt; 30%, "Yes", "No")</f>
        <v>No</v>
      </c>
      <c r="N150" s="36" t="str">
        <f t="array" ref="N150">if(H150 &lt; 30%, "Yes", "No")</f>
        <v>Yes</v>
      </c>
      <c r="O150" s="37" t="str">
        <f t="array" ref="O150">if(AND(D150&lt;65,M150="No",N150="No"),"Good Stock","")</f>
        <v/>
      </c>
      <c r="P150" s="37" t="str">
        <f t="array" ref="P150">ifs(B150/$B$2 &gt; 0.6,"Large Cap", B150/$B$2 &gt; 0.4, "Mid Cap",B150/$B$2&gt;0,"Low Cap")</f>
        <v>Low Cap</v>
      </c>
    </row>
    <row r="151">
      <c r="A151" s="38" t="str">
        <f>IFERROR(__xludf.DUMMYFUNCTION("""COMPUTED_VALUE"""),"Cera Sanitaryware")</f>
        <v>Cera Sanitaryware</v>
      </c>
      <c r="B151" s="31">
        <f>IFERROR(__xludf.DUMMYFUNCTION("""COMPUTED_VALUE"""),6919.97)</f>
        <v>6919.97</v>
      </c>
      <c r="C151" s="32">
        <f>IFERROR(__xludf.DUMMYFUNCTION("""COMPUTED_VALUE"""),5294.0)</f>
        <v>5294</v>
      </c>
      <c r="D151" s="32">
        <f>IFERROR(__xludf.DUMMYFUNCTION("""COMPUTED_VALUE"""),37.0)</f>
        <v>37</v>
      </c>
      <c r="E151" s="32">
        <f>IFERROR(__xludf.DUMMYFUNCTION("""COMPUTED_VALUE"""),6067.95)</f>
        <v>6067.95</v>
      </c>
      <c r="F151" s="33">
        <f>IFERROR(__xludf.DUMMYFUNCTION("""COMPUTED_VALUE"""),0.1275471946868382)</f>
        <v>0.1275471947</v>
      </c>
      <c r="G151" s="32">
        <f>IFERROR(__xludf.DUMMYFUNCTION("""COMPUTED_VALUE"""),3518.6)</f>
        <v>3518.6</v>
      </c>
      <c r="H151" s="33">
        <f>IFERROR(__xludf.DUMMYFUNCTION("""COMPUTED_VALUE"""),0.5045756835104872)</f>
        <v>0.5045756835</v>
      </c>
      <c r="I151" s="32">
        <f>IFERROR(__xludf.DUMMYFUNCTION("""COMPUTED_VALUE"""),5320.0)</f>
        <v>5320</v>
      </c>
      <c r="J151" s="33">
        <f>IFERROR(__xludf.DUMMYFUNCTION("""COMPUTED_VALUE"""),-0.004887218045112782)</f>
        <v>-0.004887218045</v>
      </c>
      <c r="K151" s="34" t="str">
        <f t="array" ref="K151">if(VLOOKUP(A151,'NSEBSE Code'!$A$4:$C$219,2,0) &lt;&gt; "",VLOOKUP(A151,'NSEBSE Code'!$A$4:$C$219,2,0),"")</f>
        <v>Ceramics</v>
      </c>
      <c r="L151" s="34" t="str">
        <f t="array" ref="L151">VLOOKUP(A151,'NSEBSE Code'!$A$4:$C$219,3,0)</f>
        <v>BOM:532443</v>
      </c>
      <c r="M151" s="35" t="str">
        <f t="array" ref="M151">if(F151 &gt; 30%, "Yes", "No")</f>
        <v>No</v>
      </c>
      <c r="N151" s="36" t="str">
        <f t="array" ref="N151">if(H151 &lt; 30%, "Yes", "No")</f>
        <v>No</v>
      </c>
      <c r="O151" s="37" t="str">
        <f t="array" ref="O151">if(AND(D151&lt;65,M151="No",N151="No"),"Good Stock","")</f>
        <v>Good Stock</v>
      </c>
      <c r="P151" s="37" t="str">
        <f t="array" ref="P151">ifs(B151/$B$2 &gt; 0.6,"Large Cap", B151/$B$2 &gt; 0.4, "Mid Cap",B151/$B$2&gt;0,"Low Cap")</f>
        <v>Low Cap</v>
      </c>
    </row>
    <row r="152">
      <c r="A152" s="38" t="str">
        <f>IFERROR(__xludf.DUMMYFUNCTION("""COMPUTED_VALUE"""),"Prince Pipe")</f>
        <v>Prince Pipe</v>
      </c>
      <c r="B152" s="31">
        <f>IFERROR(__xludf.DUMMYFUNCTION("""COMPUTED_VALUE"""),6524.233845)</f>
        <v>6524.233845</v>
      </c>
      <c r="C152" s="32">
        <f>IFERROR(__xludf.DUMMYFUNCTION("""COMPUTED_VALUE"""),590.7)</f>
        <v>590.7</v>
      </c>
      <c r="D152" s="32">
        <f>IFERROR(__xludf.DUMMYFUNCTION("""COMPUTED_VALUE"""),44.19)</f>
        <v>44.19</v>
      </c>
      <c r="E152" s="32">
        <f>IFERROR(__xludf.DUMMYFUNCTION("""COMPUTED_VALUE"""),748.0)</f>
        <v>748</v>
      </c>
      <c r="F152" s="33">
        <f>IFERROR(__xludf.DUMMYFUNCTION("""COMPUTED_VALUE"""),0.21029411764705877)</f>
        <v>0.2102941176</v>
      </c>
      <c r="G152" s="32">
        <f>IFERROR(__xludf.DUMMYFUNCTION("""COMPUTED_VALUE"""),513.1)</f>
        <v>513.1</v>
      </c>
      <c r="H152" s="33">
        <f>IFERROR(__xludf.DUMMYFUNCTION("""COMPUTED_VALUE"""),0.1512375755213409)</f>
        <v>0.1512375755</v>
      </c>
      <c r="I152" s="32">
        <f>IFERROR(__xludf.DUMMYFUNCTION("""COMPUTED_VALUE"""),575.3)</f>
        <v>575.3</v>
      </c>
      <c r="J152" s="33">
        <f>IFERROR(__xludf.DUMMYFUNCTION("""COMPUTED_VALUE"""),0.0267686424474189)</f>
        <v>0.02676864245</v>
      </c>
      <c r="K152" s="34" t="str">
        <f t="array" ref="K152">if(VLOOKUP(A152,'NSEBSE Code'!$A$4:$C$219,2,0) &lt;&gt; "",VLOOKUP(A152,'NSEBSE Code'!$A$4:$C$219,2,0),"")</f>
        <v>Piping</v>
      </c>
      <c r="L152" s="34" t="str">
        <f t="array" ref="L152">VLOOKUP(A152,'NSEBSE Code'!$A$4:$C$219,3,0)</f>
        <v>BOM:542907</v>
      </c>
      <c r="M152" s="35" t="str">
        <f t="array" ref="M152">if(F152 &gt; 30%, "Yes", "No")</f>
        <v>No</v>
      </c>
      <c r="N152" s="36" t="str">
        <f t="array" ref="N152">if(H152 &lt; 30%, "Yes", "No")</f>
        <v>Yes</v>
      </c>
      <c r="O152" s="37" t="str">
        <f t="array" ref="O152">if(AND(D152&lt;65,M152="No",N152="No"),"Good Stock","")</f>
        <v/>
      </c>
      <c r="P152" s="37" t="str">
        <f t="array" ref="P152">ifs(B152/$B$2 &gt; 0.6,"Large Cap", B152/$B$2 &gt; 0.4, "Mid Cap",B152/$B$2&gt;0,"Low Cap")</f>
        <v>Low Cap</v>
      </c>
    </row>
    <row r="153">
      <c r="A153" s="38" t="str">
        <f>IFERROR(__xludf.DUMMYFUNCTION("""COMPUTED_VALUE"""),"Praj Industries")</f>
        <v>Praj Industries</v>
      </c>
      <c r="B153" s="31">
        <f>IFERROR(__xludf.DUMMYFUNCTION("""COMPUTED_VALUE"""),6488.72245)</f>
        <v>6488.72245</v>
      </c>
      <c r="C153" s="32">
        <f>IFERROR(__xludf.DUMMYFUNCTION("""COMPUTED_VALUE"""),353.0)</f>
        <v>353</v>
      </c>
      <c r="D153" s="32">
        <f>IFERROR(__xludf.DUMMYFUNCTION("""COMPUTED_VALUE"""),35.19)</f>
        <v>35.19</v>
      </c>
      <c r="E153" s="32">
        <f>IFERROR(__xludf.DUMMYFUNCTION("""COMPUTED_VALUE"""),461.5)</f>
        <v>461.5</v>
      </c>
      <c r="F153" s="33">
        <f>IFERROR(__xludf.DUMMYFUNCTION("""COMPUTED_VALUE"""),0.23510292524377033)</f>
        <v>0.2351029252</v>
      </c>
      <c r="G153" s="32">
        <f>IFERROR(__xludf.DUMMYFUNCTION("""COMPUTED_VALUE"""),289.05)</f>
        <v>289.05</v>
      </c>
      <c r="H153" s="33">
        <f>IFERROR(__xludf.DUMMYFUNCTION("""COMPUTED_VALUE"""),0.22124199965403904)</f>
        <v>0.2212419997</v>
      </c>
      <c r="I153" s="32">
        <f>IFERROR(__xludf.DUMMYFUNCTION("""COMPUTED_VALUE"""),355.1)</f>
        <v>355.1</v>
      </c>
      <c r="J153" s="33">
        <f>IFERROR(__xludf.DUMMYFUNCTION("""COMPUTED_VALUE"""),-0.005913827090960356)</f>
        <v>-0.005913827091</v>
      </c>
      <c r="K153" s="34" t="str">
        <f t="array" ref="K153">if(VLOOKUP(A153,'NSEBSE Code'!$A$4:$C$219,2,0) &lt;&gt; "",VLOOKUP(A153,'NSEBSE Code'!$A$4:$C$219,2,0),"")</f>
        <v>Manufacturing</v>
      </c>
      <c r="L153" s="34" t="str">
        <f t="array" ref="L153">VLOOKUP(A153,'NSEBSE Code'!$A$4:$C$219,3,0)</f>
        <v>BOM:522205</v>
      </c>
      <c r="M153" s="35" t="str">
        <f t="array" ref="M153">if(F153 &gt; 30%, "Yes", "No")</f>
        <v>No</v>
      </c>
      <c r="N153" s="36" t="str">
        <f t="array" ref="N153">if(H153 &lt; 30%, "Yes", "No")</f>
        <v>Yes</v>
      </c>
      <c r="O153" s="37" t="str">
        <f t="array" ref="O153">if(AND(D153&lt;65,M153="No",N153="No"),"Good Stock","")</f>
        <v/>
      </c>
      <c r="P153" s="37" t="str">
        <f t="array" ref="P153">ifs(B153/$B$2 &gt; 0.6,"Large Cap", B153/$B$2 &gt; 0.4, "Mid Cap",B153/$B$2&gt;0,"Low Cap")</f>
        <v>Low Cap</v>
      </c>
    </row>
    <row r="154">
      <c r="A154" s="38" t="str">
        <f>IFERROR(__xludf.DUMMYFUNCTION("""COMPUTED_VALUE"""),"Data Pattern")</f>
        <v>Data Pattern</v>
      </c>
      <c r="B154" s="31">
        <f>IFERROR(__xludf.DUMMYFUNCTION("""COMPUTED_VALUE"""),6367.8328518)</f>
        <v>6367.832852</v>
      </c>
      <c r="C154" s="32">
        <f>IFERROR(__xludf.DUMMYFUNCTION("""COMPUTED_VALUE"""),1227.1)</f>
        <v>1227.1</v>
      </c>
      <c r="D154" s="32">
        <f>IFERROR(__xludf.DUMMYFUNCTION("""COMPUTED_VALUE"""),59.65)</f>
        <v>59.65</v>
      </c>
      <c r="E154" s="32">
        <f>IFERROR(__xludf.DUMMYFUNCTION("""COMPUTED_VALUE"""),1480.0)</f>
        <v>1480</v>
      </c>
      <c r="F154" s="33">
        <f>IFERROR(__xludf.DUMMYFUNCTION("""COMPUTED_VALUE"""),0.17087837837837844)</f>
        <v>0.1708783784</v>
      </c>
      <c r="G154" s="32">
        <f>IFERROR(__xludf.DUMMYFUNCTION("""COMPUTED_VALUE"""),575.0)</f>
        <v>575</v>
      </c>
      <c r="H154" s="33">
        <f>IFERROR(__xludf.DUMMYFUNCTION("""COMPUTED_VALUE"""),1.134086956521739)</f>
        <v>1.134086957</v>
      </c>
      <c r="I154" s="32">
        <f>IFERROR(__xludf.DUMMYFUNCTION("""COMPUTED_VALUE"""),1161.25)</f>
        <v>1161.25</v>
      </c>
      <c r="J154" s="33">
        <f>IFERROR(__xludf.DUMMYFUNCTION("""COMPUTED_VALUE"""),0.05670613562970929)</f>
        <v>0.05670613563</v>
      </c>
      <c r="K154" s="34" t="str">
        <f t="array" ref="K154">if(VLOOKUP(A154,'NSEBSE Code'!$A$4:$C$219,2,0) &lt;&gt; "",VLOOKUP(A154,'NSEBSE Code'!$A$4:$C$219,2,0),"")</f>
        <v>Technology</v>
      </c>
      <c r="L154" s="34" t="str">
        <f t="array" ref="L154">VLOOKUP(A154,'NSEBSE Code'!$A$4:$C$219,3,0)</f>
        <v>BOM:543428</v>
      </c>
      <c r="M154" s="35" t="str">
        <f t="array" ref="M154">if(F154 &gt; 30%, "Yes", "No")</f>
        <v>No</v>
      </c>
      <c r="N154" s="36" t="str">
        <f t="array" ref="N154">if(H154 &lt; 30%, "Yes", "No")</f>
        <v>No</v>
      </c>
      <c r="O154" s="37" t="str">
        <f t="array" ref="O154">if(AND(D154&lt;65,M154="No",N154="No"),"Good Stock","")</f>
        <v>Good Stock</v>
      </c>
      <c r="P154" s="37" t="str">
        <f t="array" ref="P154">ifs(B154/$B$2 &gt; 0.6,"Large Cap", B154/$B$2 &gt; 0.4, "Mid Cap",B154/$B$2&gt;0,"Low Cap")</f>
        <v>Low Cap</v>
      </c>
    </row>
    <row r="155">
      <c r="A155" s="38" t="str">
        <f>IFERROR(__xludf.DUMMYFUNCTION("""COMPUTED_VALUE"""),"Amber Enterprise")</f>
        <v>Amber Enterprise</v>
      </c>
      <c r="B155" s="31">
        <f>IFERROR(__xludf.DUMMYFUNCTION("""COMPUTED_VALUE"""),6297.527)</f>
        <v>6297.527</v>
      </c>
      <c r="C155" s="32">
        <f>IFERROR(__xludf.DUMMYFUNCTION("""COMPUTED_VALUE"""),1870.0)</f>
        <v>1870</v>
      </c>
      <c r="D155" s="32">
        <f>IFERROR(__xludf.DUMMYFUNCTION("""COMPUTED_VALUE"""),49.07)</f>
        <v>49.07</v>
      </c>
      <c r="E155" s="32">
        <f>IFERROR(__xludf.DUMMYFUNCTION("""COMPUTED_VALUE"""),4023.65)</f>
        <v>4023.65</v>
      </c>
      <c r="F155" s="33">
        <f>IFERROR(__xludf.DUMMYFUNCTION("""COMPUTED_VALUE"""),0.5352478471039976)</f>
        <v>0.5352478471</v>
      </c>
      <c r="G155" s="32">
        <f>IFERROR(__xludf.DUMMYFUNCTION("""COMPUTED_VALUE"""),1844.15)</f>
        <v>1844.15</v>
      </c>
      <c r="H155" s="33">
        <f>IFERROR(__xludf.DUMMYFUNCTION("""COMPUTED_VALUE"""),0.014017297942141316)</f>
        <v>0.01401729794</v>
      </c>
      <c r="I155" s="32">
        <f>IFERROR(__xludf.DUMMYFUNCTION("""COMPUTED_VALUE"""),1876.0)</f>
        <v>1876</v>
      </c>
      <c r="J155" s="33">
        <f>IFERROR(__xludf.DUMMYFUNCTION("""COMPUTED_VALUE"""),-0.0031982942430703624)</f>
        <v>-0.003198294243</v>
      </c>
      <c r="K155" s="34" t="str">
        <f t="array" ref="K155">if(VLOOKUP(A155,'NSEBSE Code'!$A$4:$C$219,2,0) &lt;&gt; "",VLOOKUP(A155,'NSEBSE Code'!$A$4:$C$219,2,0),"")</f>
        <v>Manufacturing</v>
      </c>
      <c r="L155" s="34" t="str">
        <f t="array" ref="L155">VLOOKUP(A155,'NSEBSE Code'!$A$4:$C$219,3,0)</f>
        <v>BOM:540902</v>
      </c>
      <c r="M155" s="35" t="str">
        <f t="array" ref="M155">if(F155 &gt; 30%, "Yes", "No")</f>
        <v>Yes</v>
      </c>
      <c r="N155" s="36" t="str">
        <f t="array" ref="N155">if(H155 &lt; 30%, "Yes", "No")</f>
        <v>Yes</v>
      </c>
      <c r="O155" s="37" t="str">
        <f t="array" ref="O155">if(AND(D155&lt;65,M155="No",N155="No"),"Good Stock","")</f>
        <v/>
      </c>
      <c r="P155" s="37" t="str">
        <f t="array" ref="P155">ifs(B155/$B$2 &gt; 0.6,"Large Cap", B155/$B$2 &gt; 0.4, "Mid Cap",B155/$B$2&gt;0,"Low Cap")</f>
        <v>Low Cap</v>
      </c>
    </row>
    <row r="156">
      <c r="A156" s="38" t="str">
        <f>IFERROR(__xludf.DUMMYFUNCTION("""COMPUTED_VALUE"""),"Garware technical")</f>
        <v>Garware technical</v>
      </c>
      <c r="B156" s="31">
        <f>IFERROR(__xludf.DUMMYFUNCTION("""COMPUTED_VALUE"""),6152.5851506)</f>
        <v>6152.585151</v>
      </c>
      <c r="C156" s="32">
        <f>IFERROR(__xludf.DUMMYFUNCTION("""COMPUTED_VALUE"""),3024.95)</f>
        <v>3024.95</v>
      </c>
      <c r="D156" s="32">
        <f>IFERROR(__xludf.DUMMYFUNCTION("""COMPUTED_VALUE"""),37.14)</f>
        <v>37.14</v>
      </c>
      <c r="E156" s="32">
        <f>IFERROR(__xludf.DUMMYFUNCTION("""COMPUTED_VALUE"""),3754.85)</f>
        <v>3754.85</v>
      </c>
      <c r="F156" s="33">
        <f>IFERROR(__xludf.DUMMYFUNCTION("""COMPUTED_VALUE"""),0.19438859075595566)</f>
        <v>0.1943885908</v>
      </c>
      <c r="G156" s="32">
        <f>IFERROR(__xludf.DUMMYFUNCTION("""COMPUTED_VALUE"""),2619.8)</f>
        <v>2619.8</v>
      </c>
      <c r="H156" s="33">
        <f>IFERROR(__xludf.DUMMYFUNCTION("""COMPUTED_VALUE"""),0.1546492098633482)</f>
        <v>0.1546492099</v>
      </c>
      <c r="I156" s="32">
        <f>IFERROR(__xludf.DUMMYFUNCTION("""COMPUTED_VALUE"""),3026.7)</f>
        <v>3026.7</v>
      </c>
      <c r="J156" s="33">
        <f>IFERROR(__xludf.DUMMYFUNCTION("""COMPUTED_VALUE"""),-5.781874648957611E-4)</f>
        <v>-0.0005781874649</v>
      </c>
      <c r="K156" s="34" t="str">
        <f t="array" ref="K156">if(VLOOKUP(A156,'NSEBSE Code'!$A$4:$C$219,2,0) &lt;&gt; "",VLOOKUP(A156,'NSEBSE Code'!$A$4:$C$219,2,0),"")</f>
        <v>Textile</v>
      </c>
      <c r="L156" s="34" t="str">
        <f t="array" ref="L156">VLOOKUP(A156,'NSEBSE Code'!$A$4:$C$219,3,0)</f>
        <v>GARFIBRES</v>
      </c>
      <c r="M156" s="35" t="str">
        <f t="array" ref="M156">if(F156 &gt; 30%, "Yes", "No")</f>
        <v>No</v>
      </c>
      <c r="N156" s="36" t="str">
        <f t="array" ref="N156">if(H156 &lt; 30%, "Yes", "No")</f>
        <v>Yes</v>
      </c>
      <c r="O156" s="37" t="str">
        <f t="array" ref="O156">if(AND(D156&lt;65,M156="No",N156="No"),"Good Stock","")</f>
        <v/>
      </c>
      <c r="P156" s="37" t="str">
        <f t="array" ref="P156">ifs(B156/$B$2 &gt; 0.6,"Large Cap", B156/$B$2 &gt; 0.4, "Mid Cap",B156/$B$2&gt;0,"Low Cap")</f>
        <v>Low Cap</v>
      </c>
    </row>
    <row r="157">
      <c r="A157" s="38" t="str">
        <f>IFERROR(__xludf.DUMMYFUNCTION("""COMPUTED_VALUE"""),"MapmyIndia")</f>
        <v>MapmyIndia</v>
      </c>
      <c r="B157" s="31">
        <f>IFERROR(__xludf.DUMMYFUNCTION("""COMPUTED_VALUE"""),5752.7067025)</f>
        <v>5752.706703</v>
      </c>
      <c r="C157" s="32">
        <f>IFERROR(__xludf.DUMMYFUNCTION("""COMPUTED_VALUE"""),1071.5)</f>
        <v>1071.5</v>
      </c>
      <c r="D157" s="32">
        <f>IFERROR(__xludf.DUMMYFUNCTION("""COMPUTED_VALUE"""),65.24)</f>
        <v>65.24</v>
      </c>
      <c r="E157" s="32">
        <f>IFERROR(__xludf.DUMMYFUNCTION("""COMPUTED_VALUE"""),1918.35)</f>
        <v>1918.35</v>
      </c>
      <c r="F157" s="33">
        <f>IFERROR(__xludf.DUMMYFUNCTION("""COMPUTED_VALUE"""),0.4414470769150572)</f>
        <v>0.4414470769</v>
      </c>
      <c r="G157" s="32">
        <f>IFERROR(__xludf.DUMMYFUNCTION("""COMPUTED_VALUE"""),1023.2)</f>
        <v>1023.2</v>
      </c>
      <c r="H157" s="33">
        <f>IFERROR(__xludf.DUMMYFUNCTION("""COMPUTED_VALUE"""),0.04720484753713834)</f>
        <v>0.04720484754</v>
      </c>
      <c r="I157" s="32">
        <f>IFERROR(__xludf.DUMMYFUNCTION("""COMPUTED_VALUE"""),1069.9)</f>
        <v>1069.9</v>
      </c>
      <c r="J157" s="33">
        <f>IFERROR(__xludf.DUMMYFUNCTION("""COMPUTED_VALUE"""),0.0014954668660621636)</f>
        <v>0.001495466866</v>
      </c>
      <c r="K157" s="34" t="str">
        <f t="array" ref="K157">if(VLOOKUP(A157,'NSEBSE Code'!$A$4:$C$219,2,0) &lt;&gt; "",VLOOKUP(A157,'NSEBSE Code'!$A$4:$C$219,2,0),"")</f>
        <v>Technology</v>
      </c>
      <c r="L157" s="34" t="str">
        <f t="array" ref="L157">VLOOKUP(A157,'NSEBSE Code'!$A$4:$C$219,3,0)</f>
        <v>BOM:543425</v>
      </c>
      <c r="M157" s="35" t="str">
        <f t="array" ref="M157">if(F157 &gt; 30%, "Yes", "No")</f>
        <v>Yes</v>
      </c>
      <c r="N157" s="36" t="str">
        <f t="array" ref="N157">if(H157 &lt; 30%, "Yes", "No")</f>
        <v>Yes</v>
      </c>
      <c r="O157" s="37" t="str">
        <f t="array" ref="O157">if(AND(D157&lt;65,M157="No",N157="No"),"Good Stock","")</f>
        <v/>
      </c>
      <c r="P157" s="37" t="str">
        <f t="array" ref="P157">ifs(B157/$B$2 &gt; 0.6,"Large Cap", B157/$B$2 &gt; 0.4, "Mid Cap",B157/$B$2&gt;0,"Low Cap")</f>
        <v>Low Cap</v>
      </c>
    </row>
    <row r="158">
      <c r="A158" s="38" t="str">
        <f>IFERROR(__xludf.DUMMYFUNCTION("""COMPUTED_VALUE"""),"Borosil Renewable")</f>
        <v>Borosil Renewable</v>
      </c>
      <c r="B158" s="31">
        <f>IFERROR(__xludf.DUMMYFUNCTION("""COMPUTED_VALUE"""),5686.243)</f>
        <v>5686.243</v>
      </c>
      <c r="C158" s="32">
        <f>IFERROR(__xludf.DUMMYFUNCTION("""COMPUTED_VALUE"""),499.35)</f>
        <v>499.35</v>
      </c>
      <c r="D158" s="32">
        <f>IFERROR(__xludf.DUMMYFUNCTION("""COMPUTED_VALUE"""),39.43)</f>
        <v>39.43</v>
      </c>
      <c r="E158" s="32">
        <f>IFERROR(__xludf.DUMMYFUNCTION("""COMPUTED_VALUE"""),833.0)</f>
        <v>833</v>
      </c>
      <c r="F158" s="33">
        <f>IFERROR(__xludf.DUMMYFUNCTION("""COMPUTED_VALUE"""),0.40054021608643453)</f>
        <v>0.4005402161</v>
      </c>
      <c r="G158" s="32">
        <f>IFERROR(__xludf.DUMMYFUNCTION("""COMPUTED_VALUE"""),468.0)</f>
        <v>468</v>
      </c>
      <c r="H158" s="33">
        <f>IFERROR(__xludf.DUMMYFUNCTION("""COMPUTED_VALUE"""),0.06698717948717954)</f>
        <v>0.06698717949</v>
      </c>
      <c r="I158" s="32">
        <f>IFERROR(__xludf.DUMMYFUNCTION("""COMPUTED_VALUE"""),494.9)</f>
        <v>494.9</v>
      </c>
      <c r="J158" s="33">
        <f>IFERROR(__xludf.DUMMYFUNCTION("""COMPUTED_VALUE"""),0.008991715498080513)</f>
        <v>0.008991715498</v>
      </c>
      <c r="K158" s="34" t="str">
        <f t="array" ref="K158">if(VLOOKUP(A158,'NSEBSE Code'!$A$4:$C$219,2,0) &lt;&gt; "",VLOOKUP(A158,'NSEBSE Code'!$A$4:$C$219,2,0),"")</f>
        <v>Manufacturing</v>
      </c>
      <c r="L158" s="34" t="str">
        <f t="array" ref="L158">VLOOKUP(A158,'NSEBSE Code'!$A$4:$C$219,3,0)</f>
        <v>BOM:502219</v>
      </c>
      <c r="M158" s="35" t="str">
        <f t="array" ref="M158">if(F158 &gt; 30%, "Yes", "No")</f>
        <v>Yes</v>
      </c>
      <c r="N158" s="36" t="str">
        <f t="array" ref="N158">if(H158 &lt; 30%, "Yes", "No")</f>
        <v>Yes</v>
      </c>
      <c r="O158" s="37" t="str">
        <f t="array" ref="O158">if(AND(D158&lt;65,M158="No",N158="No"),"Good Stock","")</f>
        <v/>
      </c>
      <c r="P158" s="37" t="str">
        <f t="array" ref="P158">ifs(B158/$B$2 &gt; 0.6,"Large Cap", B158/$B$2 &gt; 0.4, "Mid Cap",B158/$B$2&gt;0,"Low Cap")</f>
        <v>Low Cap</v>
      </c>
    </row>
    <row r="159">
      <c r="A159" s="38" t="str">
        <f>IFERROR(__xludf.DUMMYFUNCTION("""COMPUTED_VALUE"""),"Orient Electric")</f>
        <v>Orient Electric</v>
      </c>
      <c r="B159" s="31">
        <f>IFERROR(__xludf.DUMMYFUNCTION("""COMPUTED_VALUE"""),5679.5794914)</f>
        <v>5679.579491</v>
      </c>
      <c r="C159" s="32">
        <f>IFERROR(__xludf.DUMMYFUNCTION("""COMPUTED_VALUE"""),267.2)</f>
        <v>267.2</v>
      </c>
      <c r="D159" s="32">
        <f>IFERROR(__xludf.DUMMYFUNCTION("""COMPUTED_VALUE"""),53.9)</f>
        <v>53.9</v>
      </c>
      <c r="E159" s="32">
        <f>IFERROR(__xludf.DUMMYFUNCTION("""COMPUTED_VALUE"""),372.2)</f>
        <v>372.2</v>
      </c>
      <c r="F159" s="33">
        <f>IFERROR(__xludf.DUMMYFUNCTION("""COMPUTED_VALUE"""),0.2821063944116067)</f>
        <v>0.2821063944</v>
      </c>
      <c r="G159" s="32">
        <f>IFERROR(__xludf.DUMMYFUNCTION("""COMPUTED_VALUE"""),244.0)</f>
        <v>244</v>
      </c>
      <c r="H159" s="33">
        <f>IFERROR(__xludf.DUMMYFUNCTION("""COMPUTED_VALUE"""),0.09508196721311471)</f>
        <v>0.09508196721</v>
      </c>
      <c r="I159" s="32">
        <f>IFERROR(__xludf.DUMMYFUNCTION("""COMPUTED_VALUE"""),268.4)</f>
        <v>268.4</v>
      </c>
      <c r="J159" s="33">
        <f>IFERROR(__xludf.DUMMYFUNCTION("""COMPUTED_VALUE"""),-0.004470938897168364)</f>
        <v>-0.004470938897</v>
      </c>
      <c r="K159" s="34" t="str">
        <f t="array" ref="K159">if(VLOOKUP(A159,'NSEBSE Code'!$A$4:$C$219,2,0) &lt;&gt; "",VLOOKUP(A159,'NSEBSE Code'!$A$4:$C$219,2,0),"")</f>
        <v>Consumer Electrical</v>
      </c>
      <c r="L159" s="34" t="str">
        <f t="array" ref="L159">VLOOKUP(A159,'NSEBSE Code'!$A$4:$C$219,3,0)</f>
        <v>ORIENTELEC</v>
      </c>
      <c r="M159" s="35" t="str">
        <f t="array" ref="M159">if(F159 &gt; 30%, "Yes", "No")</f>
        <v>No</v>
      </c>
      <c r="N159" s="36" t="str">
        <f t="array" ref="N159">if(H159 &lt; 30%, "Yes", "No")</f>
        <v>Yes</v>
      </c>
      <c r="O159" s="37" t="str">
        <f t="array" ref="O159">if(AND(D159&lt;65,M159="No",N159="No"),"Good Stock","")</f>
        <v/>
      </c>
      <c r="P159" s="37" t="str">
        <f t="array" ref="P159">ifs(B159/$B$2 &gt; 0.6,"Large Cap", B159/$B$2 &gt; 0.4, "Mid Cap",B159/$B$2&gt;0,"Low Cap")</f>
        <v>Low Cap</v>
      </c>
    </row>
    <row r="160">
      <c r="A160" s="38" t="str">
        <f>IFERROR(__xludf.DUMMYFUNCTION("""COMPUTED_VALUE"""),"Gujarat Ambuja Export")</f>
        <v>Gujarat Ambuja Export</v>
      </c>
      <c r="B160" s="31">
        <f>IFERROR(__xludf.DUMMYFUNCTION("""COMPUTED_VALUE"""),5515.515)</f>
        <v>5515.515</v>
      </c>
      <c r="C160" s="32">
        <f>IFERROR(__xludf.DUMMYFUNCTION("""COMPUTED_VALUE"""),241.5)</f>
        <v>241.5</v>
      </c>
      <c r="D160" s="32">
        <f>IFERROR(__xludf.DUMMYFUNCTION("""COMPUTED_VALUE"""),12.67)</f>
        <v>12.67</v>
      </c>
      <c r="E160" s="32">
        <f>IFERROR(__xludf.DUMMYFUNCTION("""COMPUTED_VALUE"""),393.85)</f>
        <v>393.85</v>
      </c>
      <c r="F160" s="33">
        <f>IFERROR(__xludf.DUMMYFUNCTION("""COMPUTED_VALUE"""),0.38682239431255555)</f>
        <v>0.3868223943</v>
      </c>
      <c r="G160" s="32">
        <f>IFERROR(__xludf.DUMMYFUNCTION("""COMPUTED_VALUE"""),169.25)</f>
        <v>169.25</v>
      </c>
      <c r="H160" s="33">
        <f>IFERROR(__xludf.DUMMYFUNCTION("""COMPUTED_VALUE"""),0.42688330871491875)</f>
        <v>0.4268833087</v>
      </c>
      <c r="I160" s="32">
        <f>IFERROR(__xludf.DUMMYFUNCTION("""COMPUTED_VALUE"""),236.7)</f>
        <v>236.7</v>
      </c>
      <c r="J160" s="33">
        <f>IFERROR(__xludf.DUMMYFUNCTION("""COMPUTED_VALUE"""),0.020278833967046942)</f>
        <v>0.02027883397</v>
      </c>
      <c r="K160" s="34" t="str">
        <f t="array" ref="K160">if(VLOOKUP(A160,'NSEBSE Code'!$A$4:$C$219,2,0) &lt;&gt; "",VLOOKUP(A160,'NSEBSE Code'!$A$4:$C$219,2,0),"")</f>
        <v/>
      </c>
      <c r="L160" s="34" t="str">
        <f t="array" ref="L160">VLOOKUP(A160,'NSEBSE Code'!$A$4:$C$219,3,0)</f>
        <v>BOM:524226</v>
      </c>
      <c r="M160" s="35" t="str">
        <f t="array" ref="M160">if(F160 &gt; 30%, "Yes", "No")</f>
        <v>Yes</v>
      </c>
      <c r="N160" s="36" t="str">
        <f t="array" ref="N160">if(H160 &lt; 30%, "Yes", "No")</f>
        <v>No</v>
      </c>
      <c r="O160" s="37" t="str">
        <f t="array" ref="O160">if(AND(D160&lt;65,M160="No",N160="No"),"Good Stock","")</f>
        <v/>
      </c>
      <c r="P160" s="37" t="str">
        <f t="array" ref="P160">ifs(B160/$B$2 &gt; 0.6,"Large Cap", B160/$B$2 &gt; 0.4, "Mid Cap",B160/$B$2&gt;0,"Low Cap")</f>
        <v>Low Cap</v>
      </c>
    </row>
    <row r="161">
      <c r="A161" s="38" t="str">
        <f>IFERROR(__xludf.DUMMYFUNCTION("""COMPUTED_VALUE"""),"Avanti Feed")</f>
        <v>Avanti Feed</v>
      </c>
      <c r="B161" s="31">
        <f>IFERROR(__xludf.DUMMYFUNCTION("""COMPUTED_VALUE"""),5305.4035808)</f>
        <v>5305.403581</v>
      </c>
      <c r="C161" s="32">
        <f>IFERROR(__xludf.DUMMYFUNCTION("""COMPUTED_VALUE"""),389.4)</f>
        <v>389.4</v>
      </c>
      <c r="D161" s="32">
        <f>IFERROR(__xludf.DUMMYFUNCTION("""COMPUTED_VALUE"""),21.44)</f>
        <v>21.44</v>
      </c>
      <c r="E161" s="32">
        <f>IFERROR(__xludf.DUMMYFUNCTION("""COMPUTED_VALUE"""),638.8)</f>
        <v>638.8</v>
      </c>
      <c r="F161" s="33">
        <f>IFERROR(__xludf.DUMMYFUNCTION("""COMPUTED_VALUE"""),0.39041953663118345)</f>
        <v>0.3904195366</v>
      </c>
      <c r="G161" s="32">
        <f>IFERROR(__xludf.DUMMYFUNCTION("""COMPUTED_VALUE"""),364.1)</f>
        <v>364.1</v>
      </c>
      <c r="H161" s="33">
        <f>IFERROR(__xludf.DUMMYFUNCTION("""COMPUTED_VALUE"""),0.06948640483383672)</f>
        <v>0.06948640483</v>
      </c>
      <c r="I161" s="32">
        <f>IFERROR(__xludf.DUMMYFUNCTION("""COMPUTED_VALUE"""),388.7)</f>
        <v>388.7</v>
      </c>
      <c r="J161" s="33">
        <f>IFERROR(__xludf.DUMMYFUNCTION("""COMPUTED_VALUE"""),0.001800874710573678)</f>
        <v>0.001800874711</v>
      </c>
      <c r="K161" s="34" t="str">
        <f t="array" ref="K161">if(VLOOKUP(A161,'NSEBSE Code'!$A$4:$C$219,2,0) &lt;&gt; "",VLOOKUP(A161,'NSEBSE Code'!$A$4:$C$219,2,0),"")</f>
        <v>Food</v>
      </c>
      <c r="L161" s="34" t="str">
        <f t="array" ref="L161">VLOOKUP(A161,'NSEBSE Code'!$A$4:$C$219,3,0)</f>
        <v>AVANTIFEED</v>
      </c>
      <c r="M161" s="35" t="str">
        <f t="array" ref="M161">if(F161 &gt; 30%, "Yes", "No")</f>
        <v>Yes</v>
      </c>
      <c r="N161" s="36" t="str">
        <f t="array" ref="N161">if(H161 &lt; 30%, "Yes", "No")</f>
        <v>Yes</v>
      </c>
      <c r="O161" s="37" t="str">
        <f t="array" ref="O161">if(AND(D161&lt;65,M161="No",N161="No"),"Good Stock","")</f>
        <v/>
      </c>
      <c r="P161" s="37" t="str">
        <f t="array" ref="P161">ifs(B161/$B$2 &gt; 0.6,"Large Cap", B161/$B$2 &gt; 0.4, "Mid Cap",B161/$B$2&gt;0,"Low Cap")</f>
        <v>Low Cap</v>
      </c>
    </row>
    <row r="162">
      <c r="A162" s="38" t="str">
        <f>IFERROR(__xludf.DUMMYFUNCTION("""COMPUTED_VALUE"""),"MTAR")</f>
        <v>MTAR</v>
      </c>
      <c r="B162" s="31">
        <f>IFERROR(__xludf.DUMMYFUNCTION("""COMPUTED_VALUE"""),5182.98923)</f>
        <v>5182.98923</v>
      </c>
      <c r="C162" s="32">
        <f>IFERROR(__xludf.DUMMYFUNCTION("""COMPUTED_VALUE"""),1688.15)</f>
        <v>1688.15</v>
      </c>
      <c r="D162" s="32">
        <f>IFERROR(__xludf.DUMMYFUNCTION("""COMPUTED_VALUE"""),70.16)</f>
        <v>70.16</v>
      </c>
      <c r="E162" s="32">
        <f>IFERROR(__xludf.DUMMYFUNCTION("""COMPUTED_VALUE"""),2409.15)</f>
        <v>2409.15</v>
      </c>
      <c r="F162" s="33">
        <f>IFERROR(__xludf.DUMMYFUNCTION("""COMPUTED_VALUE"""),0.2992756781437436)</f>
        <v>0.2992756781</v>
      </c>
      <c r="G162" s="32">
        <f>IFERROR(__xludf.DUMMYFUNCTION("""COMPUTED_VALUE"""),1211.85)</f>
        <v>1211.85</v>
      </c>
      <c r="H162" s="33">
        <f>IFERROR(__xludf.DUMMYFUNCTION("""COMPUTED_VALUE"""),0.3930354416800761)</f>
        <v>0.3930354417</v>
      </c>
      <c r="I162" s="32">
        <f>IFERROR(__xludf.DUMMYFUNCTION("""COMPUTED_VALUE"""),1670.5)</f>
        <v>1670.5</v>
      </c>
      <c r="J162" s="33">
        <f>IFERROR(__xludf.DUMMYFUNCTION("""COMPUTED_VALUE"""),0.010565698892547196)</f>
        <v>0.01056569889</v>
      </c>
      <c r="K162" s="34" t="str">
        <f t="array" ref="K162">if(VLOOKUP(A162,'NSEBSE Code'!$A$4:$C$219,2,0) &lt;&gt; "",VLOOKUP(A162,'NSEBSE Code'!$A$4:$C$219,2,0),"")</f>
        <v>Defence</v>
      </c>
      <c r="L162" s="34" t="str">
        <f t="array" ref="L162">VLOOKUP(A162,'NSEBSE Code'!$A$4:$C$219,3,0)</f>
        <v>BOM:543270</v>
      </c>
      <c r="M162" s="35" t="str">
        <f t="array" ref="M162">if(F162 &gt; 30%, "Yes", "No")</f>
        <v>No</v>
      </c>
      <c r="N162" s="36" t="str">
        <f t="array" ref="N162">if(H162 &lt; 30%, "Yes", "No")</f>
        <v>No</v>
      </c>
      <c r="O162" s="37" t="str">
        <f t="array" ref="O162">if(AND(D162&lt;65,M162="No",N162="No"),"Good Stock","")</f>
        <v/>
      </c>
      <c r="P162" s="37" t="str">
        <f t="array" ref="P162">ifs(B162/$B$2 &gt; 0.6,"Large Cap", B162/$B$2 &gt; 0.4, "Mid Cap",B162/$B$2&gt;0,"Low Cap")</f>
        <v>Low Cap</v>
      </c>
    </row>
    <row r="163">
      <c r="A163" s="38" t="str">
        <f>IFERROR(__xludf.DUMMYFUNCTION("""COMPUTED_VALUE"""),"Mastek")</f>
        <v>Mastek</v>
      </c>
      <c r="B163" s="31">
        <f>IFERROR(__xludf.DUMMYFUNCTION("""COMPUTED_VALUE"""),5153.9576635)</f>
        <v>5153.957664</v>
      </c>
      <c r="C163" s="32">
        <f>IFERROR(__xludf.DUMMYFUNCTION("""COMPUTED_VALUE"""),1714.7)</f>
        <v>1714.7</v>
      </c>
      <c r="D163" s="32">
        <f>IFERROR(__xludf.DUMMYFUNCTION("""COMPUTED_VALUE"""),17.12)</f>
        <v>17.12</v>
      </c>
      <c r="E163" s="32">
        <f>IFERROR(__xludf.DUMMYFUNCTION("""COMPUTED_VALUE"""),3410.85)</f>
        <v>3410.85</v>
      </c>
      <c r="F163" s="33">
        <f>IFERROR(__xludf.DUMMYFUNCTION("""COMPUTED_VALUE"""),0.49728073647331306)</f>
        <v>0.4972807365</v>
      </c>
      <c r="G163" s="32">
        <f>IFERROR(__xludf.DUMMYFUNCTION("""COMPUTED_VALUE"""),1492.0)</f>
        <v>1492</v>
      </c>
      <c r="H163" s="33">
        <f>IFERROR(__xludf.DUMMYFUNCTION("""COMPUTED_VALUE"""),0.14926273458445044)</f>
        <v>0.1492627346</v>
      </c>
      <c r="I163" s="32">
        <f>IFERROR(__xludf.DUMMYFUNCTION("""COMPUTED_VALUE"""),1693.7)</f>
        <v>1693.7</v>
      </c>
      <c r="J163" s="33">
        <f>IFERROR(__xludf.DUMMYFUNCTION("""COMPUTED_VALUE"""),0.012398890004132962)</f>
        <v>0.01239889</v>
      </c>
      <c r="K163" s="34" t="str">
        <f t="array" ref="K163">if(VLOOKUP(A163,'NSEBSE Code'!$A$4:$C$219,2,0) &lt;&gt; "",VLOOKUP(A163,'NSEBSE Code'!$A$4:$C$219,2,0),"")</f>
        <v>IT</v>
      </c>
      <c r="L163" s="34" t="str">
        <f t="array" ref="L163">VLOOKUP(A163,'NSEBSE Code'!$A$4:$C$219,3,0)</f>
        <v>BOM:523704</v>
      </c>
      <c r="M163" s="35" t="str">
        <f t="array" ref="M163">if(F163 &gt; 30%, "Yes", "No")</f>
        <v>Yes</v>
      </c>
      <c r="N163" s="36" t="str">
        <f t="array" ref="N163">if(H163 &lt; 30%, "Yes", "No")</f>
        <v>Yes</v>
      </c>
      <c r="O163" s="37" t="str">
        <f t="array" ref="O163">if(AND(D163&lt;65,M163="No",N163="No"),"Good Stock","")</f>
        <v/>
      </c>
      <c r="P163" s="37" t="str">
        <f t="array" ref="P163">ifs(B163/$B$2 &gt; 0.6,"Large Cap", B163/$B$2 &gt; 0.4, "Mid Cap",B163/$B$2&gt;0,"Low Cap")</f>
        <v>Low Cap</v>
      </c>
    </row>
    <row r="164">
      <c r="A164" s="38" t="str">
        <f>IFERROR(__xludf.DUMMYFUNCTION("""COMPUTED_VALUE"""),"Vaibhav Global")</f>
        <v>Vaibhav Global</v>
      </c>
      <c r="B164" s="31">
        <f>IFERROR(__xludf.DUMMYFUNCTION("""COMPUTED_VALUE"""),4927.69342)</f>
        <v>4927.69342</v>
      </c>
      <c r="C164" s="32">
        <f>IFERROR(__xludf.DUMMYFUNCTION("""COMPUTED_VALUE"""),299.0)</f>
        <v>299</v>
      </c>
      <c r="D164" s="32">
        <f>IFERROR(__xludf.DUMMYFUNCTION("""COMPUTED_VALUE"""),35.85)</f>
        <v>35.85</v>
      </c>
      <c r="E164" s="32">
        <f>IFERROR(__xludf.DUMMYFUNCTION("""COMPUTED_VALUE"""),566.5)</f>
        <v>566.5</v>
      </c>
      <c r="F164" s="33">
        <f>IFERROR(__xludf.DUMMYFUNCTION("""COMPUTED_VALUE"""),0.47219770520741394)</f>
        <v>0.4721977052</v>
      </c>
      <c r="G164" s="32">
        <f>IFERROR(__xludf.DUMMYFUNCTION("""COMPUTED_VALUE"""),288.0)</f>
        <v>288</v>
      </c>
      <c r="H164" s="33">
        <f>IFERROR(__xludf.DUMMYFUNCTION("""COMPUTED_VALUE"""),0.03819444444444445)</f>
        <v>0.03819444444</v>
      </c>
      <c r="I164" s="32">
        <f>IFERROR(__xludf.DUMMYFUNCTION("""COMPUTED_VALUE"""),297.35)</f>
        <v>297.35</v>
      </c>
      <c r="J164" s="33">
        <f>IFERROR(__xludf.DUMMYFUNCTION("""COMPUTED_VALUE"""),0.0055490163107448365)</f>
        <v>0.005549016311</v>
      </c>
      <c r="K164" s="34" t="str">
        <f t="array" ref="K164">if(VLOOKUP(A164,'NSEBSE Code'!$A$4:$C$219,2,0) &lt;&gt; "",VLOOKUP(A164,'NSEBSE Code'!$A$4:$C$219,2,0),"")</f>
        <v>Retail</v>
      </c>
      <c r="L164" s="34" t="str">
        <f t="array" ref="L164">VLOOKUP(A164,'NSEBSE Code'!$A$4:$C$219,3,0)</f>
        <v>BOM:532156</v>
      </c>
      <c r="M164" s="35" t="str">
        <f t="array" ref="M164">if(F164 &gt; 30%, "Yes", "No")</f>
        <v>Yes</v>
      </c>
      <c r="N164" s="36" t="str">
        <f t="array" ref="N164">if(H164 &lt; 30%, "Yes", "No")</f>
        <v>Yes</v>
      </c>
      <c r="O164" s="37" t="str">
        <f t="array" ref="O164">if(AND(D164&lt;65,M164="No",N164="No"),"Good Stock","")</f>
        <v/>
      </c>
      <c r="P164" s="37" t="str">
        <f t="array" ref="P164">ifs(B164/$B$2 &gt; 0.6,"Large Cap", B164/$B$2 &gt; 0.4, "Mid Cap",B164/$B$2&gt;0,"Low Cap")</f>
        <v>Low Cap</v>
      </c>
    </row>
    <row r="165">
      <c r="A165" s="38" t="str">
        <f>IFERROR(__xludf.DUMMYFUNCTION("""COMPUTED_VALUE"""),"Polyplex Corporation")</f>
        <v>Polyplex Corporation</v>
      </c>
      <c r="B165" s="31">
        <f>IFERROR(__xludf.DUMMYFUNCTION("""COMPUTED_VALUE"""),4868.970546)</f>
        <v>4868.970546</v>
      </c>
      <c r="C165" s="32">
        <f>IFERROR(__xludf.DUMMYFUNCTION("""COMPUTED_VALUE"""),1555.0)</f>
        <v>1555</v>
      </c>
      <c r="D165" s="32">
        <f>IFERROR(__xludf.DUMMYFUNCTION("""COMPUTED_VALUE"""),7.36)</f>
        <v>7.36</v>
      </c>
      <c r="E165" s="32">
        <f>IFERROR(__xludf.DUMMYFUNCTION("""COMPUTED_VALUE"""),2870.0)</f>
        <v>2870</v>
      </c>
      <c r="F165" s="33">
        <f>IFERROR(__xludf.DUMMYFUNCTION("""COMPUTED_VALUE"""),0.45818815331010454)</f>
        <v>0.4581881533</v>
      </c>
      <c r="G165" s="32">
        <f>IFERROR(__xludf.DUMMYFUNCTION("""COMPUTED_VALUE"""),1463.3)</f>
        <v>1463.3</v>
      </c>
      <c r="H165" s="33">
        <f>IFERROR(__xludf.DUMMYFUNCTION("""COMPUTED_VALUE"""),0.062666575548418)</f>
        <v>0.06266657555</v>
      </c>
      <c r="I165" s="32">
        <f>IFERROR(__xludf.DUMMYFUNCTION("""COMPUTED_VALUE"""),1559.1)</f>
        <v>1559.1</v>
      </c>
      <c r="J165" s="33">
        <f>IFERROR(__xludf.DUMMYFUNCTION("""COMPUTED_VALUE"""),-0.0026297222756718037)</f>
        <v>-0.002629722276</v>
      </c>
      <c r="K165" s="34" t="str">
        <f t="array" ref="K165">if(VLOOKUP(A165,'NSEBSE Code'!$A$4:$C$219,2,0) &lt;&gt; "",VLOOKUP(A165,'NSEBSE Code'!$A$4:$C$219,2,0),"")</f>
        <v>packaging</v>
      </c>
      <c r="L165" s="34" t="str">
        <f t="array" ref="L165">VLOOKUP(A165,'NSEBSE Code'!$A$4:$C$219,3,0)</f>
        <v>BOM:524051</v>
      </c>
      <c r="M165" s="35" t="str">
        <f t="array" ref="M165">if(F165 &gt; 30%, "Yes", "No")</f>
        <v>Yes</v>
      </c>
      <c r="N165" s="36" t="str">
        <f t="array" ref="N165">if(H165 &lt; 30%, "Yes", "No")</f>
        <v>Yes</v>
      </c>
      <c r="O165" s="37" t="str">
        <f t="array" ref="O165">if(AND(D165&lt;65,M165="No",N165="No"),"Good Stock","")</f>
        <v/>
      </c>
      <c r="P165" s="37" t="str">
        <f t="array" ref="P165">ifs(B165/$B$2 &gt; 0.6,"Large Cap", B165/$B$2 &gt; 0.4, "Mid Cap",B165/$B$2&gt;0,"Low Cap")</f>
        <v>Low Cap</v>
      </c>
    </row>
    <row r="166">
      <c r="A166" s="38" t="str">
        <f>IFERROR(__xludf.DUMMYFUNCTION("""COMPUTED_VALUE"""),"Zensar Tech")</f>
        <v>Zensar Tech</v>
      </c>
      <c r="B166" s="31">
        <f>IFERROR(__xludf.DUMMYFUNCTION("""COMPUTED_VALUE"""),4785.1628071)</f>
        <v>4785.162807</v>
      </c>
      <c r="C166" s="32">
        <f>IFERROR(__xludf.DUMMYFUNCTION("""COMPUTED_VALUE"""),211.35)</f>
        <v>211.35</v>
      </c>
      <c r="D166" s="32">
        <f>IFERROR(__xludf.DUMMYFUNCTION("""COMPUTED_VALUE"""),13.73)</f>
        <v>13.73</v>
      </c>
      <c r="E166" s="32">
        <f>IFERROR(__xludf.DUMMYFUNCTION("""COMPUTED_VALUE"""),496.1)</f>
        <v>496.1</v>
      </c>
      <c r="F166" s="33">
        <f>IFERROR(__xludf.DUMMYFUNCTION("""COMPUTED_VALUE"""),0.5739770207619431)</f>
        <v>0.5739770208</v>
      </c>
      <c r="G166" s="32">
        <f>IFERROR(__xludf.DUMMYFUNCTION("""COMPUTED_VALUE"""),202.0)</f>
        <v>202</v>
      </c>
      <c r="H166" s="33">
        <f>IFERROR(__xludf.DUMMYFUNCTION("""COMPUTED_VALUE"""),0.04628712871287126)</f>
        <v>0.04628712871</v>
      </c>
      <c r="I166" s="32">
        <f>IFERROR(__xludf.DUMMYFUNCTION("""COMPUTED_VALUE"""),212.4)</f>
        <v>212.4</v>
      </c>
      <c r="J166" s="33">
        <f>IFERROR(__xludf.DUMMYFUNCTION("""COMPUTED_VALUE"""),-0.00494350282485881)</f>
        <v>-0.004943502825</v>
      </c>
      <c r="K166" s="34" t="str">
        <f t="array" ref="K166">if(VLOOKUP(A166,'NSEBSE Code'!$A$4:$C$219,2,0) &lt;&gt; "",VLOOKUP(A166,'NSEBSE Code'!$A$4:$C$219,2,0),"")</f>
        <v>IT</v>
      </c>
      <c r="L166" s="34" t="str">
        <f t="array" ref="L166">VLOOKUP(A166,'NSEBSE Code'!$A$4:$C$219,3,0)</f>
        <v>BOM:504067</v>
      </c>
      <c r="M166" s="35" t="str">
        <f t="array" ref="M166">if(F166 &gt; 30%, "Yes", "No")</f>
        <v>Yes</v>
      </c>
      <c r="N166" s="36" t="str">
        <f t="array" ref="N166">if(H166 &lt; 30%, "Yes", "No")</f>
        <v>Yes</v>
      </c>
      <c r="O166" s="37" t="str">
        <f t="array" ref="O166">if(AND(D166&lt;65,M166="No",N166="No"),"Good Stock","")</f>
        <v/>
      </c>
      <c r="P166" s="37" t="str">
        <f t="array" ref="P166">ifs(B166/$B$2 &gt; 0.6,"Large Cap", B166/$B$2 &gt; 0.4, "Mid Cap",B166/$B$2&gt;0,"Low Cap")</f>
        <v>Low Cap</v>
      </c>
    </row>
    <row r="167">
      <c r="A167" s="38" t="str">
        <f>IFERROR(__xludf.DUMMYFUNCTION("""COMPUTED_VALUE"""),"Lux Industries")</f>
        <v>Lux Industries</v>
      </c>
      <c r="B167" s="31">
        <f>IFERROR(__xludf.DUMMYFUNCTION("""COMPUTED_VALUE"""),4564.43)</f>
        <v>4564.43</v>
      </c>
      <c r="C167" s="32">
        <f>IFERROR(__xludf.DUMMYFUNCTION("""COMPUTED_VALUE"""),1524.7)</f>
        <v>1524.7</v>
      </c>
      <c r="D167" s="32">
        <f>IFERROR(__xludf.DUMMYFUNCTION("""COMPUTED_VALUE"""),17.12)</f>
        <v>17.12</v>
      </c>
      <c r="E167" s="32">
        <f>IFERROR(__xludf.DUMMYFUNCTION("""COMPUTED_VALUE"""),3925.0)</f>
        <v>3925</v>
      </c>
      <c r="F167" s="33">
        <f>IFERROR(__xludf.DUMMYFUNCTION("""COMPUTED_VALUE"""),0.6115414012738853)</f>
        <v>0.6115414013</v>
      </c>
      <c r="G167" s="32">
        <f>IFERROR(__xludf.DUMMYFUNCTION("""COMPUTED_VALUE"""),1515.1)</f>
        <v>1515.1</v>
      </c>
      <c r="H167" s="33">
        <f>IFERROR(__xludf.DUMMYFUNCTION("""COMPUTED_VALUE"""),0.0063362154313247555)</f>
        <v>0.006336215431</v>
      </c>
      <c r="I167" s="32">
        <f>IFERROR(__xludf.DUMMYFUNCTION("""COMPUTED_VALUE"""),1526.65)</f>
        <v>1526.65</v>
      </c>
      <c r="J167" s="33">
        <f>IFERROR(__xludf.DUMMYFUNCTION("""COMPUTED_VALUE"""),-0.0012773065208135756)</f>
        <v>-0.001277306521</v>
      </c>
      <c r="K167" s="34" t="str">
        <f t="array" ref="K167">if(VLOOKUP(A167,'NSEBSE Code'!$A$4:$C$219,2,0) &lt;&gt; "",VLOOKUP(A167,'NSEBSE Code'!$A$4:$C$219,2,0),"")</f>
        <v>Textile</v>
      </c>
      <c r="L167" s="34" t="str">
        <f t="array" ref="L167">VLOOKUP(A167,'NSEBSE Code'!$A$4:$C$219,3,0)</f>
        <v>BOM:539542</v>
      </c>
      <c r="M167" s="35" t="str">
        <f t="array" ref="M167">if(F167 &gt; 30%, "Yes", "No")</f>
        <v>Yes</v>
      </c>
      <c r="N167" s="36" t="str">
        <f t="array" ref="N167">if(H167 &lt; 30%, "Yes", "No")</f>
        <v>Yes</v>
      </c>
      <c r="O167" s="37" t="str">
        <f t="array" ref="O167">if(AND(D167&lt;65,M167="No",N167="No"),"Good Stock","")</f>
        <v/>
      </c>
      <c r="P167" s="37" t="str">
        <f t="array" ref="P167">ifs(B167/$B$2 &gt; 0.6,"Large Cap", B167/$B$2 &gt; 0.4, "Mid Cap",B167/$B$2&gt;0,"Low Cap")</f>
        <v>Low Cap</v>
      </c>
    </row>
    <row r="168">
      <c r="A168" s="38" t="str">
        <f>IFERROR(__xludf.DUMMYFUNCTION("""COMPUTED_VALUE"""),"Heidelberg Cement")</f>
        <v>Heidelberg Cement</v>
      </c>
      <c r="B168" s="31">
        <f>IFERROR(__xludf.DUMMYFUNCTION("""COMPUTED_VALUE"""),4230.867)</f>
        <v>4230.867</v>
      </c>
      <c r="C168" s="32">
        <f>IFERROR(__xludf.DUMMYFUNCTION("""COMPUTED_VALUE"""),186.9)</f>
        <v>186.9</v>
      </c>
      <c r="D168" s="32">
        <f>IFERROR(__xludf.DUMMYFUNCTION("""COMPUTED_VALUE"""),23.18)</f>
        <v>23.18</v>
      </c>
      <c r="E168" s="32">
        <f>IFERROR(__xludf.DUMMYFUNCTION("""COMPUTED_VALUE"""),242.0)</f>
        <v>242</v>
      </c>
      <c r="F168" s="33">
        <f>IFERROR(__xludf.DUMMYFUNCTION("""COMPUTED_VALUE"""),0.22768595041322312)</f>
        <v>0.2276859504</v>
      </c>
      <c r="G168" s="32">
        <f>IFERROR(__xludf.DUMMYFUNCTION("""COMPUTED_VALUE"""),164.0)</f>
        <v>164</v>
      </c>
      <c r="H168" s="33">
        <f>IFERROR(__xludf.DUMMYFUNCTION("""COMPUTED_VALUE"""),0.13963414634146346)</f>
        <v>0.1396341463</v>
      </c>
      <c r="I168" s="32">
        <f>IFERROR(__xludf.DUMMYFUNCTION("""COMPUTED_VALUE"""),186.85)</f>
        <v>186.85</v>
      </c>
      <c r="J168" s="33">
        <f>IFERROR(__xludf.DUMMYFUNCTION("""COMPUTED_VALUE"""),2.6759432700032847E-4)</f>
        <v>0.000267594327</v>
      </c>
      <c r="K168" s="34" t="str">
        <f t="array" ref="K168">if(VLOOKUP(A168,'NSEBSE Code'!$A$4:$C$219,2,0) &lt;&gt; "",VLOOKUP(A168,'NSEBSE Code'!$A$4:$C$219,2,0),"")</f>
        <v>Cement</v>
      </c>
      <c r="L168" s="34" t="str">
        <f t="array" ref="L168">VLOOKUP(A168,'NSEBSE Code'!$A$4:$C$219,3,0)</f>
        <v>BOM:500292</v>
      </c>
      <c r="M168" s="35" t="str">
        <f t="array" ref="M168">if(F168 &gt; 30%, "Yes", "No")</f>
        <v>No</v>
      </c>
      <c r="N168" s="36" t="str">
        <f t="array" ref="N168">if(H168 &lt; 30%, "Yes", "No")</f>
        <v>Yes</v>
      </c>
      <c r="O168" s="37" t="str">
        <f t="array" ref="O168">if(AND(D168&lt;65,M168="No",N168="No"),"Good Stock","")</f>
        <v/>
      </c>
      <c r="P168" s="37" t="str">
        <f t="array" ref="P168">ifs(B168/$B$2 &gt; 0.6,"Large Cap", B168/$B$2 &gt; 0.4, "Mid Cap",B168/$B$2&gt;0,"Low Cap")</f>
        <v>Low Cap</v>
      </c>
    </row>
    <row r="169">
      <c r="A169" s="38" t="str">
        <f>IFERROR(__xludf.DUMMYFUNCTION("""COMPUTED_VALUE"""),"Aarti Drugs")</f>
        <v>Aarti Drugs</v>
      </c>
      <c r="B169" s="31">
        <f>IFERROR(__xludf.DUMMYFUNCTION("""COMPUTED_VALUE"""),4148.48)</f>
        <v>4148.48</v>
      </c>
      <c r="C169" s="32">
        <f>IFERROR(__xludf.DUMMYFUNCTION("""COMPUTED_VALUE"""),448.0)</f>
        <v>448</v>
      </c>
      <c r="D169" s="32">
        <f>IFERROR(__xludf.DUMMYFUNCTION("""COMPUTED_VALUE"""),22.17)</f>
        <v>22.17</v>
      </c>
      <c r="E169" s="32">
        <f>IFERROR(__xludf.DUMMYFUNCTION("""COMPUTED_VALUE"""),537.4)</f>
        <v>537.4</v>
      </c>
      <c r="F169" s="33">
        <f>IFERROR(__xludf.DUMMYFUNCTION("""COMPUTED_VALUE"""),0.16635653144771118)</f>
        <v>0.1663565314</v>
      </c>
      <c r="G169" s="32">
        <f>IFERROR(__xludf.DUMMYFUNCTION("""COMPUTED_VALUE"""),378.4)</f>
        <v>378.4</v>
      </c>
      <c r="H169" s="33">
        <f>IFERROR(__xludf.DUMMYFUNCTION("""COMPUTED_VALUE"""),0.18393234672304448)</f>
        <v>0.1839323467</v>
      </c>
      <c r="I169" s="32">
        <f>IFERROR(__xludf.DUMMYFUNCTION("""COMPUTED_VALUE"""),445.5)</f>
        <v>445.5</v>
      </c>
      <c r="J169" s="33">
        <f>IFERROR(__xludf.DUMMYFUNCTION("""COMPUTED_VALUE"""),0.005611672278338945)</f>
        <v>0.005611672278</v>
      </c>
      <c r="K169" s="34" t="str">
        <f t="array" ref="K169">if(VLOOKUP(A169,'NSEBSE Code'!$A$4:$C$219,2,0) &lt;&gt; "",VLOOKUP(A169,'NSEBSE Code'!$A$4:$C$219,2,0),"")</f>
        <v>Pharma</v>
      </c>
      <c r="L169" s="34" t="str">
        <f t="array" ref="L169">VLOOKUP(A169,'NSEBSE Code'!$A$4:$C$219,3,0)</f>
        <v>BOM:524348</v>
      </c>
      <c r="M169" s="35" t="str">
        <f t="array" ref="M169">if(F169 &gt; 30%, "Yes", "No")</f>
        <v>No</v>
      </c>
      <c r="N169" s="36" t="str">
        <f t="array" ref="N169">if(H169 &lt; 30%, "Yes", "No")</f>
        <v>Yes</v>
      </c>
      <c r="O169" s="37" t="str">
        <f t="array" ref="O169">if(AND(D169&lt;65,M169="No",N169="No"),"Good Stock","")</f>
        <v/>
      </c>
      <c r="P169" s="37" t="str">
        <f t="array" ref="P169">ifs(B169/$B$2 &gt; 0.6,"Large Cap", B169/$B$2 &gt; 0.4, "Mid Cap",B169/$B$2&gt;0,"Low Cap")</f>
        <v>Low Cap</v>
      </c>
    </row>
    <row r="170">
      <c r="A170" s="38" t="str">
        <f>IFERROR(__xludf.DUMMYFUNCTION("""COMPUTED_VALUE"""),"Rossari Biotech")</f>
        <v>Rossari Biotech</v>
      </c>
      <c r="B170" s="31">
        <f>IFERROR(__xludf.DUMMYFUNCTION("""COMPUTED_VALUE"""),3951.357)</f>
        <v>3951.357</v>
      </c>
      <c r="C170" s="32">
        <f>IFERROR(__xludf.DUMMYFUNCTION("""COMPUTED_VALUE"""),717.0)</f>
        <v>717</v>
      </c>
      <c r="D170" s="32">
        <f>IFERROR(__xludf.DUMMYFUNCTION("""COMPUTED_VALUE"""),39.87)</f>
        <v>39.87</v>
      </c>
      <c r="E170" s="32">
        <f>IFERROR(__xludf.DUMMYFUNCTION("""COMPUTED_VALUE"""),1375.0)</f>
        <v>1375</v>
      </c>
      <c r="F170" s="33">
        <f>IFERROR(__xludf.DUMMYFUNCTION("""COMPUTED_VALUE"""),0.47854545454545455)</f>
        <v>0.4785454545</v>
      </c>
      <c r="G170" s="32">
        <f>IFERROR(__xludf.DUMMYFUNCTION("""COMPUTED_VALUE"""),675.0)</f>
        <v>675</v>
      </c>
      <c r="H170" s="33">
        <f>IFERROR(__xludf.DUMMYFUNCTION("""COMPUTED_VALUE"""),0.06222222222222222)</f>
        <v>0.06222222222</v>
      </c>
      <c r="I170" s="32">
        <f>IFERROR(__xludf.DUMMYFUNCTION("""COMPUTED_VALUE"""),726.2)</f>
        <v>726.2</v>
      </c>
      <c r="J170" s="33">
        <f>IFERROR(__xludf.DUMMYFUNCTION("""COMPUTED_VALUE"""),-0.012668686312310721)</f>
        <v>-0.01266868631</v>
      </c>
      <c r="K170" s="34" t="str">
        <f t="array" ref="K170">if(VLOOKUP(A170,'NSEBSE Code'!$A$4:$C$219,2,0) &lt;&gt; "",VLOOKUP(A170,'NSEBSE Code'!$A$4:$C$219,2,0),"")</f>
        <v>Chemical</v>
      </c>
      <c r="L170" s="34" t="str">
        <f t="array" ref="L170">VLOOKUP(A170,'NSEBSE Code'!$A$4:$C$219,3,0)</f>
        <v>BOM:543213</v>
      </c>
      <c r="M170" s="35" t="str">
        <f t="array" ref="M170">if(F170 &gt; 30%, "Yes", "No")</f>
        <v>Yes</v>
      </c>
      <c r="N170" s="36" t="str">
        <f t="array" ref="N170">if(H170 &lt; 30%, "Yes", "No")</f>
        <v>Yes</v>
      </c>
      <c r="O170" s="37" t="str">
        <f t="array" ref="O170">if(AND(D170&lt;65,M170="No",N170="No"),"Good Stock","")</f>
        <v/>
      </c>
      <c r="P170" s="37" t="str">
        <f t="array" ref="P170">ifs(B170/$B$2 &gt; 0.6,"Large Cap", B170/$B$2 &gt; 0.4, "Mid Cap",B170/$B$2&gt;0,"Low Cap")</f>
        <v>Low Cap</v>
      </c>
    </row>
    <row r="171">
      <c r="A171" s="38" t="str">
        <f>IFERROR(__xludf.DUMMYFUNCTION("""COMPUTED_VALUE"""),"Bharat Rasayan")</f>
        <v>Bharat Rasayan</v>
      </c>
      <c r="B171" s="31">
        <f>IFERROR(__xludf.DUMMYFUNCTION("""COMPUTED_VALUE"""),3941.666)</f>
        <v>3941.666</v>
      </c>
      <c r="C171" s="32">
        <f>IFERROR(__xludf.DUMMYFUNCTION("""COMPUTED_VALUE"""),9517.9)</f>
        <v>9517.9</v>
      </c>
      <c r="D171" s="32">
        <f>IFERROR(__xludf.DUMMYFUNCTION("""COMPUTED_VALUE"""),23.12)</f>
        <v>23.12</v>
      </c>
      <c r="E171" s="32">
        <f>IFERROR(__xludf.DUMMYFUNCTION("""COMPUTED_VALUE"""),14362.9)</f>
        <v>14362.9</v>
      </c>
      <c r="F171" s="33">
        <f>IFERROR(__xludf.DUMMYFUNCTION("""COMPUTED_VALUE"""),0.3373274199500101)</f>
        <v>0.33732742</v>
      </c>
      <c r="G171" s="32">
        <f>IFERROR(__xludf.DUMMYFUNCTION("""COMPUTED_VALUE"""),9301.0)</f>
        <v>9301</v>
      </c>
      <c r="H171" s="33">
        <f>IFERROR(__xludf.DUMMYFUNCTION("""COMPUTED_VALUE"""),0.023320073110418196)</f>
        <v>0.02332007311</v>
      </c>
      <c r="I171" s="32">
        <f>IFERROR(__xludf.DUMMYFUNCTION("""COMPUTED_VALUE"""),9497.7)</f>
        <v>9497.7</v>
      </c>
      <c r="J171" s="33">
        <f>IFERROR(__xludf.DUMMYFUNCTION("""COMPUTED_VALUE"""),0.00212683070638143)</f>
        <v>0.002126830706</v>
      </c>
      <c r="K171" s="34" t="str">
        <f t="array" ref="K171">if(VLOOKUP(A171,'NSEBSE Code'!$A$4:$C$219,2,0) &lt;&gt; "",VLOOKUP(A171,'NSEBSE Code'!$A$4:$C$219,2,0),"")</f>
        <v>Agrochemical</v>
      </c>
      <c r="L171" s="34" t="str">
        <f t="array" ref="L171">VLOOKUP(A171,'NSEBSE Code'!$A$4:$C$219,3,0)</f>
        <v>BOM:590021</v>
      </c>
      <c r="M171" s="35" t="str">
        <f t="array" ref="M171">if(F171 &gt; 30%, "Yes", "No")</f>
        <v>Yes</v>
      </c>
      <c r="N171" s="36" t="str">
        <f t="array" ref="N171">if(H171 &lt; 30%, "Yes", "No")</f>
        <v>Yes</v>
      </c>
      <c r="O171" s="37" t="str">
        <f t="array" ref="O171">if(AND(D171&lt;65,M171="No",N171="No"),"Good Stock","")</f>
        <v/>
      </c>
      <c r="P171" s="37" t="str">
        <f t="array" ref="P171">ifs(B171/$B$2 &gt; 0.6,"Large Cap", B171/$B$2 &gt; 0.4, "Mid Cap",B171/$B$2&gt;0,"Low Cap")</f>
        <v>Low Cap</v>
      </c>
    </row>
    <row r="172">
      <c r="A172" s="38" t="str">
        <f>IFERROR(__xludf.DUMMYFUNCTION("""COMPUTED_VALUE"""),"Dhanuka Agritech")</f>
        <v>Dhanuka Agritech</v>
      </c>
      <c r="B172" s="31">
        <f>IFERROR(__xludf.DUMMYFUNCTION("""COMPUTED_VALUE"""),3345.7206687)</f>
        <v>3345.720669</v>
      </c>
      <c r="C172" s="32">
        <f>IFERROR(__xludf.DUMMYFUNCTION("""COMPUTED_VALUE"""),717.5)</f>
        <v>717.5</v>
      </c>
      <c r="D172" s="32">
        <f>IFERROR(__xludf.DUMMYFUNCTION("""COMPUTED_VALUE"""),15.26)</f>
        <v>15.26</v>
      </c>
      <c r="E172" s="32">
        <f>IFERROR(__xludf.DUMMYFUNCTION("""COMPUTED_VALUE"""),815.0)</f>
        <v>815</v>
      </c>
      <c r="F172" s="33">
        <f>IFERROR(__xludf.DUMMYFUNCTION("""COMPUTED_VALUE"""),0.1196319018404908)</f>
        <v>0.1196319018</v>
      </c>
      <c r="G172" s="32">
        <f>IFERROR(__xludf.DUMMYFUNCTION("""COMPUTED_VALUE"""),630.65)</f>
        <v>630.65</v>
      </c>
      <c r="H172" s="33">
        <f>IFERROR(__xludf.DUMMYFUNCTION("""COMPUTED_VALUE"""),0.13771505589471184)</f>
        <v>0.1377150559</v>
      </c>
      <c r="I172" s="32">
        <f>IFERROR(__xludf.DUMMYFUNCTION("""COMPUTED_VALUE"""),724.95)</f>
        <v>724.95</v>
      </c>
      <c r="J172" s="33">
        <f>IFERROR(__xludf.DUMMYFUNCTION("""COMPUTED_VALUE"""),-0.01027657079798613)</f>
        <v>-0.0102765708</v>
      </c>
      <c r="K172" s="34" t="str">
        <f t="array" ref="K172">if(VLOOKUP(A172,'NSEBSE Code'!$A$4:$C$219,2,0) &lt;&gt; "",VLOOKUP(A172,'NSEBSE Code'!$A$4:$C$219,2,0),"")</f>
        <v>Agrochemical</v>
      </c>
      <c r="L172" s="34" t="str">
        <f t="array" ref="L172">VLOOKUP(A172,'NSEBSE Code'!$A$4:$C$219,3,0)</f>
        <v>BOM:507717</v>
      </c>
      <c r="M172" s="35" t="str">
        <f t="array" ref="M172">if(F172 &gt; 30%, "Yes", "No")</f>
        <v>No</v>
      </c>
      <c r="N172" s="36" t="str">
        <f t="array" ref="N172">if(H172 &lt; 30%, "Yes", "No")</f>
        <v>Yes</v>
      </c>
      <c r="O172" s="37" t="str">
        <f t="array" ref="O172">if(AND(D172&lt;65,M172="No",N172="No"),"Good Stock","")</f>
        <v/>
      </c>
      <c r="P172" s="37" t="str">
        <f t="array" ref="P172">ifs(B172/$B$2 &gt; 0.6,"Large Cap", B172/$B$2 &gt; 0.4, "Mid Cap",B172/$B$2&gt;0,"Low Cap")</f>
        <v>Low Cap</v>
      </c>
    </row>
    <row r="173">
      <c r="A173" s="38" t="str">
        <f>IFERROR(__xludf.DUMMYFUNCTION("""COMPUTED_VALUE"""),"Somany home innovation ltd")</f>
        <v>Somany home innovation ltd</v>
      </c>
      <c r="B173" s="31">
        <f>IFERROR(__xludf.DUMMYFUNCTION("""COMPUTED_VALUE"""),3335.191069)</f>
        <v>3335.191069</v>
      </c>
      <c r="C173" s="32">
        <f>IFERROR(__xludf.DUMMYFUNCTION("""COMPUTED_VALUE"""),462.25)</f>
        <v>462.25</v>
      </c>
      <c r="D173" s="32">
        <f>IFERROR(__xludf.DUMMYFUNCTION("""COMPUTED_VALUE"""),33.36)</f>
        <v>33.36</v>
      </c>
      <c r="E173" s="32">
        <f>IFERROR(__xludf.DUMMYFUNCTION("""COMPUTED_VALUE"""),480.4)</f>
        <v>480.4</v>
      </c>
      <c r="F173" s="33">
        <f>IFERROR(__xludf.DUMMYFUNCTION("""COMPUTED_VALUE"""),0.03778101582014983)</f>
        <v>0.03778101582</v>
      </c>
      <c r="G173" s="32">
        <f>IFERROR(__xludf.DUMMYFUNCTION("""COMPUTED_VALUE"""),258.95)</f>
        <v>258.95</v>
      </c>
      <c r="H173" s="33">
        <f>IFERROR(__xludf.DUMMYFUNCTION("""COMPUTED_VALUE"""),0.7850936474222824)</f>
        <v>0.7850936474</v>
      </c>
      <c r="I173" s="32">
        <f>IFERROR(__xludf.DUMMYFUNCTION("""COMPUTED_VALUE"""),473.2)</f>
        <v>473.2</v>
      </c>
      <c r="J173" s="33">
        <f>IFERROR(__xludf.DUMMYFUNCTION("""COMPUTED_VALUE"""),-0.02314032121724427)</f>
        <v>-0.02314032122</v>
      </c>
      <c r="K173" s="34" t="str">
        <f t="array" ref="K173">if(VLOOKUP(A173,'NSEBSE Code'!$A$4:$C$219,2,0) &lt;&gt; "",VLOOKUP(A173,'NSEBSE Code'!$A$4:$C$219,2,0),"")</f>
        <v>Kitchen Appliances</v>
      </c>
      <c r="L173" s="34" t="str">
        <f t="array" ref="L173">VLOOKUP(A173,'NSEBSE Code'!$A$4:$C$219,3,0)</f>
        <v>BOM:542905</v>
      </c>
      <c r="M173" s="35" t="str">
        <f t="array" ref="M173">if(F173 &gt; 30%, "Yes", "No")</f>
        <v>No</v>
      </c>
      <c r="N173" s="36" t="str">
        <f t="array" ref="N173">if(H173 &lt; 30%, "Yes", "No")</f>
        <v>No</v>
      </c>
      <c r="O173" s="37" t="str">
        <f t="array" ref="O173">if(AND(D173&lt;65,M173="No",N173="No"),"Good Stock","")</f>
        <v>Good Stock</v>
      </c>
      <c r="P173" s="37" t="str">
        <f t="array" ref="P173">ifs(B173/$B$2 &gt; 0.6,"Large Cap", B173/$B$2 &gt; 0.4, "Mid Cap",B173/$B$2&gt;0,"Low Cap")</f>
        <v>Low Cap</v>
      </c>
    </row>
    <row r="174">
      <c r="A174" s="38" t="str">
        <f>IFERROR(__xludf.DUMMYFUNCTION("""COMPUTED_VALUE"""),"Astec Lifesciences")</f>
        <v>Astec Lifesciences</v>
      </c>
      <c r="B174" s="31">
        <f>IFERROR(__xludf.DUMMYFUNCTION("""COMPUTED_VALUE"""),3279.733)</f>
        <v>3279.733</v>
      </c>
      <c r="C174" s="32">
        <f>IFERROR(__xludf.DUMMYFUNCTION("""COMPUTED_VALUE"""),1669.3)</f>
        <v>1669.3</v>
      </c>
      <c r="D174" s="32">
        <f>IFERROR(__xludf.DUMMYFUNCTION("""COMPUTED_VALUE"""),33.56)</f>
        <v>33.56</v>
      </c>
      <c r="E174" s="32">
        <f>IFERROR(__xludf.DUMMYFUNCTION("""COMPUTED_VALUE"""),2285.65)</f>
        <v>2285.65</v>
      </c>
      <c r="F174" s="33">
        <f>IFERROR(__xludf.DUMMYFUNCTION("""COMPUTED_VALUE"""),0.2696607092074465)</f>
        <v>0.2696607092</v>
      </c>
      <c r="G174" s="32">
        <f>IFERROR(__xludf.DUMMYFUNCTION("""COMPUTED_VALUE"""),1276.15)</f>
        <v>1276.15</v>
      </c>
      <c r="H174" s="33">
        <f>IFERROR(__xludf.DUMMYFUNCTION("""COMPUTED_VALUE"""),0.30807506954511604)</f>
        <v>0.3080750695</v>
      </c>
      <c r="I174" s="32">
        <f>IFERROR(__xludf.DUMMYFUNCTION("""COMPUTED_VALUE"""),1635.25)</f>
        <v>1635.25</v>
      </c>
      <c r="J174" s="33">
        <f>IFERROR(__xludf.DUMMYFUNCTION("""COMPUTED_VALUE"""),0.020822504204250088)</f>
        <v>0.0208225042</v>
      </c>
      <c r="K174" s="34" t="str">
        <f t="array" ref="K174">if(VLOOKUP(A174,'NSEBSE Code'!$A$4:$C$219,2,0) &lt;&gt; "",VLOOKUP(A174,'NSEBSE Code'!$A$4:$C$219,2,0),"")</f>
        <v>Pharma</v>
      </c>
      <c r="L174" s="34" t="str">
        <f t="array" ref="L174">VLOOKUP(A174,'NSEBSE Code'!$A$4:$C$219,3,0)</f>
        <v>BOM:533138</v>
      </c>
      <c r="M174" s="35" t="str">
        <f t="array" ref="M174">if(F174 &gt; 30%, "Yes", "No")</f>
        <v>No</v>
      </c>
      <c r="N174" s="36" t="str">
        <f t="array" ref="N174">if(H174 &lt; 30%, "Yes", "No")</f>
        <v>No</v>
      </c>
      <c r="O174" s="37" t="str">
        <f t="array" ref="O174">if(AND(D174&lt;65,M174="No",N174="No"),"Good Stock","")</f>
        <v>Good Stock</v>
      </c>
      <c r="P174" s="37" t="str">
        <f t="array" ref="P174">ifs(B174/$B$2 &gt; 0.6,"Large Cap", B174/$B$2 &gt; 0.4, "Mid Cap",B174/$B$2&gt;0,"Low Cap")</f>
        <v>Low Cap</v>
      </c>
    </row>
    <row r="175">
      <c r="A175" s="38" t="str">
        <f>IFERROR(__xludf.DUMMYFUNCTION("""COMPUTED_VALUE"""),"Mold tech")</f>
        <v>Mold tech</v>
      </c>
      <c r="B175" s="31">
        <f>IFERROR(__xludf.DUMMYFUNCTION("""COMPUTED_VALUE"""),3279.606)</f>
        <v>3279.606</v>
      </c>
      <c r="C175" s="32">
        <f>IFERROR(__xludf.DUMMYFUNCTION("""COMPUTED_VALUE"""),988.1)</f>
        <v>988.1</v>
      </c>
      <c r="D175" s="32">
        <f>IFERROR(__xludf.DUMMYFUNCTION("""COMPUTED_VALUE"""),41.73)</f>
        <v>41.73</v>
      </c>
      <c r="E175" s="32">
        <f>IFERROR(__xludf.DUMMYFUNCTION("""COMPUTED_VALUE"""),1057.85)</f>
        <v>1057.85</v>
      </c>
      <c r="F175" s="33">
        <f>IFERROR(__xludf.DUMMYFUNCTION("""COMPUTED_VALUE"""),0.06593562414330945)</f>
        <v>0.06593562414</v>
      </c>
      <c r="G175" s="32">
        <f>IFERROR(__xludf.DUMMYFUNCTION("""COMPUTED_VALUE"""),648.05)</f>
        <v>648.05</v>
      </c>
      <c r="H175" s="33">
        <f>IFERROR(__xludf.DUMMYFUNCTION("""COMPUTED_VALUE"""),0.52472803024458)</f>
        <v>0.5247280302</v>
      </c>
      <c r="I175" s="32">
        <f>IFERROR(__xludf.DUMMYFUNCTION("""COMPUTED_VALUE"""),991.35)</f>
        <v>991.35</v>
      </c>
      <c r="J175" s="33">
        <f>IFERROR(__xludf.DUMMYFUNCTION("""COMPUTED_VALUE"""),-0.0032783577949261106)</f>
        <v>-0.003278357795</v>
      </c>
      <c r="K175" s="34" t="str">
        <f t="array" ref="K175">if(VLOOKUP(A175,'NSEBSE Code'!$A$4:$C$219,2,0) &lt;&gt; "",VLOOKUP(A175,'NSEBSE Code'!$A$4:$C$219,2,0),"")</f>
        <v/>
      </c>
      <c r="L175" s="34" t="str">
        <f t="array" ref="L175">VLOOKUP(A175,'NSEBSE Code'!$A$4:$C$219,3,0)</f>
        <v>BOM:533080</v>
      </c>
      <c r="M175" s="35" t="str">
        <f t="array" ref="M175">if(F175 &gt; 30%, "Yes", "No")</f>
        <v>No</v>
      </c>
      <c r="N175" s="36" t="str">
        <f t="array" ref="N175">if(H175 &lt; 30%, "Yes", "No")</f>
        <v>No</v>
      </c>
      <c r="O175" s="37" t="str">
        <f t="array" ref="O175">if(AND(D175&lt;65,M175="No",N175="No"),"Good Stock","")</f>
        <v>Good Stock</v>
      </c>
      <c r="P175" s="37" t="str">
        <f t="array" ref="P175">ifs(B175/$B$2 &gt; 0.6,"Large Cap", B175/$B$2 &gt; 0.4, "Mid Cap",B175/$B$2&gt;0,"Low Cap")</f>
        <v>Low Cap</v>
      </c>
    </row>
    <row r="176">
      <c r="A176" s="38" t="str">
        <f>IFERROR(__xludf.DUMMYFUNCTION("""COMPUTED_VALUE"""),"Hawkins Cooker")</f>
        <v>Hawkins Cooker</v>
      </c>
      <c r="B176" s="31">
        <f>IFERROR(__xludf.DUMMYFUNCTION("""COMPUTED_VALUE"""),3273.157)</f>
        <v>3273.157</v>
      </c>
      <c r="C176" s="32">
        <f>IFERROR(__xludf.DUMMYFUNCTION("""COMPUTED_VALUE"""),6195.0)</f>
        <v>6195</v>
      </c>
      <c r="D176" s="32">
        <f>IFERROR(__xludf.DUMMYFUNCTION("""COMPUTED_VALUE"""),34.69)</f>
        <v>34.69</v>
      </c>
      <c r="E176" s="32">
        <f>IFERROR(__xludf.DUMMYFUNCTION("""COMPUTED_VALUE"""),6572.75)</f>
        <v>6572.75</v>
      </c>
      <c r="F176" s="33">
        <f>IFERROR(__xludf.DUMMYFUNCTION("""COMPUTED_VALUE"""),0.057472138754706935)</f>
        <v>0.05747213875</v>
      </c>
      <c r="G176" s="32">
        <f>IFERROR(__xludf.DUMMYFUNCTION("""COMPUTED_VALUE"""),4932.05)</f>
        <v>4932.05</v>
      </c>
      <c r="H176" s="33">
        <f>IFERROR(__xludf.DUMMYFUNCTION("""COMPUTED_VALUE"""),0.256069991180138)</f>
        <v>0.2560699912</v>
      </c>
      <c r="I176" s="32">
        <f>IFERROR(__xludf.DUMMYFUNCTION("""COMPUTED_VALUE"""),6169.85)</f>
        <v>6169.85</v>
      </c>
      <c r="J176" s="33">
        <f>IFERROR(__xludf.DUMMYFUNCTION("""COMPUTED_VALUE"""),0.004076274139565733)</f>
        <v>0.00407627414</v>
      </c>
      <c r="K176" s="34" t="str">
        <f t="array" ref="K176">if(VLOOKUP(A176,'NSEBSE Code'!$A$4:$C$219,2,0) &lt;&gt; "",VLOOKUP(A176,'NSEBSE Code'!$A$4:$C$219,2,0),"")</f>
        <v>Consumer Electrical</v>
      </c>
      <c r="L176" s="34" t="str">
        <f t="array" ref="L176">VLOOKUP(A176,'NSEBSE Code'!$A$4:$C$219,3,0)</f>
        <v>BOM:508486</v>
      </c>
      <c r="M176" s="35" t="str">
        <f t="array" ref="M176">if(F176 &gt; 30%, "Yes", "No")</f>
        <v>No</v>
      </c>
      <c r="N176" s="36" t="str">
        <f t="array" ref="N176">if(H176 &lt; 30%, "Yes", "No")</f>
        <v>Yes</v>
      </c>
      <c r="O176" s="37" t="str">
        <f t="array" ref="O176">if(AND(D176&lt;65,M176="No",N176="No"),"Good Stock","")</f>
        <v/>
      </c>
      <c r="P176" s="37" t="str">
        <f t="array" ref="P176">ifs(B176/$B$2 &gt; 0.6,"Large Cap", B176/$B$2 &gt; 0.4, "Mid Cap",B176/$B$2&gt;0,"Low Cap")</f>
        <v>Low Cap</v>
      </c>
    </row>
    <row r="177">
      <c r="A177" s="38" t="str">
        <f>IFERROR(__xludf.DUMMYFUNCTION("""COMPUTED_VALUE"""),"Neogen Chemcial")</f>
        <v>Neogen Chemcial</v>
      </c>
      <c r="B177" s="31">
        <f>IFERROR(__xludf.DUMMYFUNCTION("""COMPUTED_VALUE"""),3099.3320457)</f>
        <v>3099.332046</v>
      </c>
      <c r="C177" s="32">
        <f>IFERROR(__xludf.DUMMYFUNCTION("""COMPUTED_VALUE"""),1242.8)</f>
        <v>1242.8</v>
      </c>
      <c r="D177" s="32">
        <f>IFERROR(__xludf.DUMMYFUNCTION("""COMPUTED_VALUE"""),68.51)</f>
        <v>68.51</v>
      </c>
      <c r="E177" s="32">
        <f>IFERROR(__xludf.DUMMYFUNCTION("""COMPUTED_VALUE"""),1842.2)</f>
        <v>1842.2</v>
      </c>
      <c r="F177" s="33">
        <f>IFERROR(__xludf.DUMMYFUNCTION("""COMPUTED_VALUE"""),0.32537183801975905)</f>
        <v>0.325371838</v>
      </c>
      <c r="G177" s="32">
        <f>IFERROR(__xludf.DUMMYFUNCTION("""COMPUTED_VALUE"""),1201.25)</f>
        <v>1201.25</v>
      </c>
      <c r="H177" s="33">
        <f>IFERROR(__xludf.DUMMYFUNCTION("""COMPUTED_VALUE"""),0.0345889698231009)</f>
        <v>0.03458896982</v>
      </c>
      <c r="I177" s="32">
        <f>IFERROR(__xludf.DUMMYFUNCTION("""COMPUTED_VALUE"""),1229.5)</f>
        <v>1229.5</v>
      </c>
      <c r="J177" s="33">
        <f>IFERROR(__xludf.DUMMYFUNCTION("""COMPUTED_VALUE"""),0.010817405449369625)</f>
        <v>0.01081740545</v>
      </c>
      <c r="K177" s="34" t="str">
        <f t="array" ref="K177">if(VLOOKUP(A177,'NSEBSE Code'!$A$4:$C$219,2,0) &lt;&gt; "",VLOOKUP(A177,'NSEBSE Code'!$A$4:$C$219,2,0),"")</f>
        <v>Chemical</v>
      </c>
      <c r="L177" s="34" t="str">
        <f t="array" ref="L177">VLOOKUP(A177,'NSEBSE Code'!$A$4:$C$219,3,0)</f>
        <v>BOM:542665</v>
      </c>
      <c r="M177" s="35" t="str">
        <f t="array" ref="M177">if(F177 &gt; 30%, "Yes", "No")</f>
        <v>Yes</v>
      </c>
      <c r="N177" s="36" t="str">
        <f t="array" ref="N177">if(H177 &lt; 30%, "Yes", "No")</f>
        <v>Yes</v>
      </c>
      <c r="O177" s="37" t="str">
        <f t="array" ref="O177">if(AND(D177&lt;65,M177="No",N177="No"),"Good Stock","")</f>
        <v/>
      </c>
      <c r="P177" s="37" t="str">
        <f t="array" ref="P177">ifs(B177/$B$2 &gt; 0.6,"Large Cap", B177/$B$2 &gt; 0.4, "Mid Cap",B177/$B$2&gt;0,"Low Cap")</f>
        <v>Low Cap</v>
      </c>
    </row>
    <row r="178">
      <c r="A178" s="38" t="str">
        <f>IFERROR(__xludf.DUMMYFUNCTION("""COMPUTED_VALUE"""),"Advance Enzymes")</f>
        <v>Advance Enzymes</v>
      </c>
      <c r="B178" s="31">
        <f>IFERROR(__xludf.DUMMYFUNCTION("""COMPUTED_VALUE"""),3094.098595)</f>
        <v>3094.098595</v>
      </c>
      <c r="C178" s="32">
        <f>IFERROR(__xludf.DUMMYFUNCTION("""COMPUTED_VALUE"""),276.7)</f>
        <v>276.7</v>
      </c>
      <c r="D178" s="32">
        <f>IFERROR(__xludf.DUMMYFUNCTION("""COMPUTED_VALUE"""),32.26)</f>
        <v>32.26</v>
      </c>
      <c r="E178" s="32">
        <f>IFERROR(__xludf.DUMMYFUNCTION("""COMPUTED_VALUE"""),354.9)</f>
        <v>354.9</v>
      </c>
      <c r="F178" s="33">
        <f>IFERROR(__xludf.DUMMYFUNCTION("""COMPUTED_VALUE"""),0.22034375880529725)</f>
        <v>0.2203437588</v>
      </c>
      <c r="G178" s="32">
        <f>IFERROR(__xludf.DUMMYFUNCTION("""COMPUTED_VALUE"""),258.4)</f>
        <v>258.4</v>
      </c>
      <c r="H178" s="33">
        <f>IFERROR(__xludf.DUMMYFUNCTION("""COMPUTED_VALUE"""),0.07082043343653256)</f>
        <v>0.07082043344</v>
      </c>
      <c r="I178" s="32">
        <f>IFERROR(__xludf.DUMMYFUNCTION("""COMPUTED_VALUE"""),278.9)</f>
        <v>278.9</v>
      </c>
      <c r="J178" s="33">
        <f>IFERROR(__xludf.DUMMYFUNCTION("""COMPUTED_VALUE"""),-0.007888131946934345)</f>
        <v>-0.007888131947</v>
      </c>
      <c r="K178" s="34" t="str">
        <f t="array" ref="K178">if(VLOOKUP(A178,'NSEBSE Code'!$A$4:$C$219,2,0) &lt;&gt; "",VLOOKUP(A178,'NSEBSE Code'!$A$4:$C$219,2,0),"")</f>
        <v>Chemical</v>
      </c>
      <c r="L178" s="34" t="str">
        <f t="array" ref="L178">VLOOKUP(A178,'NSEBSE Code'!$A$4:$C$219,3,0)</f>
        <v>ADVENZYMES</v>
      </c>
      <c r="M178" s="35" t="str">
        <f t="array" ref="M178">if(F178 &gt; 30%, "Yes", "No")</f>
        <v>No</v>
      </c>
      <c r="N178" s="36" t="str">
        <f t="array" ref="N178">if(H178 &lt; 30%, "Yes", "No")</f>
        <v>Yes</v>
      </c>
      <c r="O178" s="37" t="str">
        <f t="array" ref="O178">if(AND(D178&lt;65,M178="No",N178="No"),"Good Stock","")</f>
        <v/>
      </c>
      <c r="P178" s="37" t="str">
        <f t="array" ref="P178">ifs(B178/$B$2 &gt; 0.6,"Large Cap", B178/$B$2 &gt; 0.4, "Mid Cap",B178/$B$2&gt;0,"Low Cap")</f>
        <v>Low Cap</v>
      </c>
    </row>
    <row r="179">
      <c r="A179" s="38" t="str">
        <f>IFERROR(__xludf.DUMMYFUNCTION("""COMPUTED_VALUE"""),"Thyrocare")</f>
        <v>Thyrocare</v>
      </c>
      <c r="B179" s="31">
        <f>IFERROR(__xludf.DUMMYFUNCTION("""COMPUTED_VALUE"""),3024.4291291)</f>
        <v>3024.429129</v>
      </c>
      <c r="C179" s="32">
        <f>IFERROR(__xludf.DUMMYFUNCTION("""COMPUTED_VALUE"""),571.8)</f>
        <v>571.8</v>
      </c>
      <c r="D179" s="32">
        <f>IFERROR(__xludf.DUMMYFUNCTION("""COMPUTED_VALUE"""),35.81)</f>
        <v>35.81</v>
      </c>
      <c r="E179" s="32">
        <f>IFERROR(__xludf.DUMMYFUNCTION("""COMPUTED_VALUE"""),1087.0)</f>
        <v>1087</v>
      </c>
      <c r="F179" s="33">
        <f>IFERROR(__xludf.DUMMYFUNCTION("""COMPUTED_VALUE"""),0.4739650413983441)</f>
        <v>0.4739650414</v>
      </c>
      <c r="G179" s="32">
        <f>IFERROR(__xludf.DUMMYFUNCTION("""COMPUTED_VALUE"""),562.1)</f>
        <v>562.1</v>
      </c>
      <c r="H179" s="33">
        <f>IFERROR(__xludf.DUMMYFUNCTION("""COMPUTED_VALUE"""),0.01725671588685275)</f>
        <v>0.01725671589</v>
      </c>
      <c r="I179" s="32">
        <f>IFERROR(__xludf.DUMMYFUNCTION("""COMPUTED_VALUE"""),574.7)</f>
        <v>574.7</v>
      </c>
      <c r="J179" s="33">
        <f>IFERROR(__xludf.DUMMYFUNCTION("""COMPUTED_VALUE"""),-0.005046111014442476)</f>
        <v>-0.005046111014</v>
      </c>
      <c r="K179" s="34" t="str">
        <f t="array" ref="K179">if(VLOOKUP(A179,'NSEBSE Code'!$A$4:$C$219,2,0) &lt;&gt; "",VLOOKUP(A179,'NSEBSE Code'!$A$4:$C$219,2,0),"")</f>
        <v>Healthcare</v>
      </c>
      <c r="L179" s="34" t="str">
        <f t="array" ref="L179">VLOOKUP(A179,'NSEBSE Code'!$A$4:$C$219,3,0)</f>
        <v>THYROCARE</v>
      </c>
      <c r="M179" s="35" t="str">
        <f t="array" ref="M179">if(F179 &gt; 30%, "Yes", "No")</f>
        <v>Yes</v>
      </c>
      <c r="N179" s="36" t="str">
        <f t="array" ref="N179">if(H179 &lt; 30%, "Yes", "No")</f>
        <v>Yes</v>
      </c>
      <c r="O179" s="37" t="str">
        <f t="array" ref="O179">if(AND(D179&lt;65,M179="No",N179="No"),"Good Stock","")</f>
        <v/>
      </c>
      <c r="P179" s="37" t="str">
        <f t="array" ref="P179">ifs(B179/$B$2 &gt; 0.6,"Large Cap", B179/$B$2 &gt; 0.4, "Mid Cap",B179/$B$2&gt;0,"Low Cap")</f>
        <v>Low Cap</v>
      </c>
    </row>
    <row r="180">
      <c r="A180" s="38" t="str">
        <f>IFERROR(__xludf.DUMMYFUNCTION("""COMPUTED_VALUE"""),"Newgen")</f>
        <v>Newgen</v>
      </c>
      <c r="B180" s="31">
        <f>IFERROR(__xludf.DUMMYFUNCTION("""COMPUTED_VALUE"""),2664.205)</f>
        <v>2664.205</v>
      </c>
      <c r="C180" s="32">
        <f>IFERROR(__xludf.DUMMYFUNCTION("""COMPUTED_VALUE"""),382.15)</f>
        <v>382.15</v>
      </c>
      <c r="D180" s="32">
        <f>IFERROR(__xludf.DUMMYFUNCTION("""COMPUTED_VALUE"""),17.49)</f>
        <v>17.49</v>
      </c>
      <c r="E180" s="32">
        <f>IFERROR(__xludf.DUMMYFUNCTION("""COMPUTED_VALUE"""),671.0)</f>
        <v>671</v>
      </c>
      <c r="F180" s="33">
        <f>IFERROR(__xludf.DUMMYFUNCTION("""COMPUTED_VALUE"""),0.43047690014903134)</f>
        <v>0.4304769001</v>
      </c>
      <c r="G180" s="32">
        <f>IFERROR(__xludf.DUMMYFUNCTION("""COMPUTED_VALUE"""),320.85)</f>
        <v>320.85</v>
      </c>
      <c r="H180" s="33">
        <f>IFERROR(__xludf.DUMMYFUNCTION("""COMPUTED_VALUE"""),0.19105501012934378)</f>
        <v>0.1910550101</v>
      </c>
      <c r="I180" s="32">
        <f>IFERROR(__xludf.DUMMYFUNCTION("""COMPUTED_VALUE"""),362.3)</f>
        <v>362.3</v>
      </c>
      <c r="J180" s="33">
        <f>IFERROR(__xludf.DUMMYFUNCTION("""COMPUTED_VALUE"""),0.05478884902014895)</f>
        <v>0.05478884902</v>
      </c>
      <c r="K180" s="34" t="str">
        <f t="array" ref="K180">if(VLOOKUP(A180,'NSEBSE Code'!$A$4:$C$219,2,0) &lt;&gt; "",VLOOKUP(A180,'NSEBSE Code'!$A$4:$C$219,2,0),"")</f>
        <v>IT</v>
      </c>
      <c r="L180" s="34" t="str">
        <f t="array" ref="L180">VLOOKUP(A180,'NSEBSE Code'!$A$4:$C$219,3,0)</f>
        <v>BOM:540900</v>
      </c>
      <c r="M180" s="35" t="str">
        <f t="array" ref="M180">if(F180 &gt; 30%, "Yes", "No")</f>
        <v>Yes</v>
      </c>
      <c r="N180" s="36" t="str">
        <f t="array" ref="N180">if(H180 &lt; 30%, "Yes", "No")</f>
        <v>Yes</v>
      </c>
      <c r="O180" s="37" t="str">
        <f t="array" ref="O180">if(AND(D180&lt;65,M180="No",N180="No"),"Good Stock","")</f>
        <v/>
      </c>
      <c r="P180" s="37" t="str">
        <f t="array" ref="P180">ifs(B180/$B$2 &gt; 0.6,"Large Cap", B180/$B$2 &gt; 0.4, "Mid Cap",B180/$B$2&gt;0,"Low Cap")</f>
        <v>Low Cap</v>
      </c>
    </row>
    <row r="181">
      <c r="A181" s="38" t="str">
        <f>IFERROR(__xludf.DUMMYFUNCTION("""COMPUTED_VALUE"""),"Wipro")</f>
        <v>Wipro</v>
      </c>
      <c r="B181" s="31">
        <f>IFERROR(__xludf.DUMMYFUNCTION("""COMPUTED_VALUE"""),2618.5195811)</f>
        <v>2618.519581</v>
      </c>
      <c r="C181" s="32">
        <f>IFERROR(__xludf.DUMMYFUNCTION("""COMPUTED_VALUE"""),393.65)</f>
        <v>393.65</v>
      </c>
      <c r="D181" s="32">
        <f>IFERROR(__xludf.DUMMYFUNCTION("""COMPUTED_VALUE"""),19.15)</f>
        <v>19.15</v>
      </c>
      <c r="E181" s="32">
        <f>IFERROR(__xludf.DUMMYFUNCTION("""COMPUTED_VALUE"""),666.0)</f>
        <v>666</v>
      </c>
      <c r="F181" s="33">
        <f>IFERROR(__xludf.DUMMYFUNCTION("""COMPUTED_VALUE"""),0.40893393393393396)</f>
        <v>0.4089339339</v>
      </c>
      <c r="G181" s="32">
        <f>IFERROR(__xludf.DUMMYFUNCTION("""COMPUTED_VALUE"""),372.4)</f>
        <v>372.4</v>
      </c>
      <c r="H181" s="33">
        <f>IFERROR(__xludf.DUMMYFUNCTION("""COMPUTED_VALUE"""),0.057062298603651994)</f>
        <v>0.0570622986</v>
      </c>
      <c r="I181" s="32">
        <f>IFERROR(__xludf.DUMMYFUNCTION("""COMPUTED_VALUE"""),394.45)</f>
        <v>394.45</v>
      </c>
      <c r="J181" s="33">
        <f>IFERROR(__xludf.DUMMYFUNCTION("""COMPUTED_VALUE"""),-0.002028140448726103)</f>
        <v>-0.002028140449</v>
      </c>
      <c r="K181" s="34" t="str">
        <f t="array" ref="K181">if(VLOOKUP(A181,'NSEBSE Code'!$A$4:$C$219,2,0) &lt;&gt; "",VLOOKUP(A181,'NSEBSE Code'!$A$4:$C$219,2,0),"")</f>
        <v>IT</v>
      </c>
      <c r="L181" s="34" t="str">
        <f t="array" ref="L181">VLOOKUP(A181,'NSEBSE Code'!$A$4:$C$219,3,0)</f>
        <v>BOM:507685</v>
      </c>
      <c r="M181" s="35" t="str">
        <f t="array" ref="M181">if(F181 &gt; 30%, "Yes", "No")</f>
        <v>Yes</v>
      </c>
      <c r="N181" s="36" t="str">
        <f t="array" ref="N181">if(H181 &lt; 30%, "Yes", "No")</f>
        <v>Yes</v>
      </c>
      <c r="O181" s="37" t="str">
        <f t="array" ref="O181">if(AND(D181&lt;65,M181="No",N181="No"),"Good Stock","")</f>
        <v/>
      </c>
      <c r="P181" s="37" t="str">
        <f t="array" ref="P181">ifs(B181/$B$2 &gt; 0.6,"Large Cap", B181/$B$2 &gt; 0.4, "Mid Cap",B181/$B$2&gt;0,"Low Cap")</f>
        <v>Low Cap</v>
      </c>
    </row>
    <row r="182">
      <c r="A182" s="38" t="str">
        <f>IFERROR(__xludf.DUMMYFUNCTION("""COMPUTED_VALUE"""),"Gokaldas Export")</f>
        <v>Gokaldas Export</v>
      </c>
      <c r="B182" s="31">
        <f>IFERROR(__xludf.DUMMYFUNCTION("""COMPUTED_VALUE"""),2340.128)</f>
        <v>2340.128</v>
      </c>
      <c r="C182" s="32">
        <f>IFERROR(__xludf.DUMMYFUNCTION("""COMPUTED_VALUE"""),386.0)</f>
        <v>386</v>
      </c>
      <c r="D182" s="32">
        <f>IFERROR(__xludf.DUMMYFUNCTION("""COMPUTED_VALUE"""),13.46)</f>
        <v>13.46</v>
      </c>
      <c r="E182" s="32">
        <f>IFERROR(__xludf.DUMMYFUNCTION("""COMPUTED_VALUE"""),519.55)</f>
        <v>519.55</v>
      </c>
      <c r="F182" s="33">
        <f>IFERROR(__xludf.DUMMYFUNCTION("""COMPUTED_VALUE"""),0.2570493696468097)</f>
        <v>0.2570493696</v>
      </c>
      <c r="G182" s="32">
        <f>IFERROR(__xludf.DUMMYFUNCTION("""COMPUTED_VALUE"""),301.1)</f>
        <v>301.1</v>
      </c>
      <c r="H182" s="33">
        <f>IFERROR(__xludf.DUMMYFUNCTION("""COMPUTED_VALUE"""),0.2819661242112254)</f>
        <v>0.2819661242</v>
      </c>
      <c r="I182" s="32">
        <f>IFERROR(__xludf.DUMMYFUNCTION("""COMPUTED_VALUE"""),381.5)</f>
        <v>381.5</v>
      </c>
      <c r="J182" s="33">
        <f>IFERROR(__xludf.DUMMYFUNCTION("""COMPUTED_VALUE"""),0.011795543905635648)</f>
        <v>0.01179554391</v>
      </c>
      <c r="K182" s="34" t="str">
        <f t="array" ref="K182">if(VLOOKUP(A182,'NSEBSE Code'!$A$4:$C$219,2,0) &lt;&gt; "",VLOOKUP(A182,'NSEBSE Code'!$A$4:$C$219,2,0),"")</f>
        <v/>
      </c>
      <c r="L182" s="34" t="str">
        <f t="array" ref="L182">VLOOKUP(A182,'NSEBSE Code'!$A$4:$C$219,3,0)</f>
        <v>BOM:532630</v>
      </c>
      <c r="M182" s="35" t="str">
        <f t="array" ref="M182">if(F182 &gt; 30%, "Yes", "No")</f>
        <v>No</v>
      </c>
      <c r="N182" s="36" t="str">
        <f t="array" ref="N182">if(H182 &lt; 30%, "Yes", "No")</f>
        <v>Yes</v>
      </c>
      <c r="O182" s="37" t="str">
        <f t="array" ref="O182">if(AND(D182&lt;65,M182="No",N182="No"),"Good Stock","")</f>
        <v/>
      </c>
      <c r="P182" s="37" t="str">
        <f t="array" ref="P182">ifs(B182/$B$2 &gt; 0.6,"Large Cap", B182/$B$2 &gt; 0.4, "Mid Cap",B182/$B$2&gt;0,"Low Cap")</f>
        <v>Low Cap</v>
      </c>
    </row>
    <row r="183">
      <c r="A183" s="38" t="str">
        <f>IFERROR(__xludf.DUMMYFUNCTION("""COMPUTED_VALUE"""),"Paras Defense")</f>
        <v>Paras Defense</v>
      </c>
      <c r="B183" s="31">
        <f>IFERROR(__xludf.DUMMYFUNCTION("""COMPUTED_VALUE"""),2250.9146116)</f>
        <v>2250.914612</v>
      </c>
      <c r="C183" s="32">
        <f>IFERROR(__xludf.DUMMYFUNCTION("""COMPUTED_VALUE"""),577.8)</f>
        <v>577.8</v>
      </c>
      <c r="D183" s="32">
        <f>IFERROR(__xludf.DUMMYFUNCTION("""COMPUTED_VALUE"""),67.14)</f>
        <v>67.14</v>
      </c>
      <c r="E183" s="32">
        <f>IFERROR(__xludf.DUMMYFUNCTION("""COMPUTED_VALUE"""),811.35)</f>
        <v>811.35</v>
      </c>
      <c r="F183" s="33">
        <f>IFERROR(__xludf.DUMMYFUNCTION("""COMPUTED_VALUE"""),0.28785357737104833)</f>
        <v>0.2878535774</v>
      </c>
      <c r="G183" s="32">
        <f>IFERROR(__xludf.DUMMYFUNCTION("""COMPUTED_VALUE"""),524.3)</f>
        <v>524.3</v>
      </c>
      <c r="H183" s="33">
        <f>IFERROR(__xludf.DUMMYFUNCTION("""COMPUTED_VALUE"""),0.10204081632653061)</f>
        <v>0.1020408163</v>
      </c>
      <c r="I183" s="32">
        <f>IFERROR(__xludf.DUMMYFUNCTION("""COMPUTED_VALUE"""),583.75)</f>
        <v>583.75</v>
      </c>
      <c r="J183" s="33">
        <f>IFERROR(__xludf.DUMMYFUNCTION("""COMPUTED_VALUE"""),-0.010192719486081449)</f>
        <v>-0.01019271949</v>
      </c>
      <c r="K183" s="34" t="str">
        <f t="array" ref="K183">if(VLOOKUP(A183,'NSEBSE Code'!$A$4:$C$219,2,0) &lt;&gt; "",VLOOKUP(A183,'NSEBSE Code'!$A$4:$C$219,2,0),"")</f>
        <v>Defence</v>
      </c>
      <c r="L183" s="34" t="str">
        <f t="array" ref="L183">VLOOKUP(A183,'NSEBSE Code'!$A$4:$C$219,3,0)</f>
        <v>BOM:543367</v>
      </c>
      <c r="M183" s="35" t="str">
        <f t="array" ref="M183">if(F183 &gt; 30%, "Yes", "No")</f>
        <v>No</v>
      </c>
      <c r="N183" s="36" t="str">
        <f t="array" ref="N183">if(H183 &lt; 30%, "Yes", "No")</f>
        <v>Yes</v>
      </c>
      <c r="O183" s="37" t="str">
        <f t="array" ref="O183">if(AND(D183&lt;65,M183="No",N183="No"),"Good Stock","")</f>
        <v/>
      </c>
      <c r="P183" s="37" t="str">
        <f t="array" ref="P183">ifs(B183/$B$2 &gt; 0.6,"Large Cap", B183/$B$2 &gt; 0.4, "Mid Cap",B183/$B$2&gt;0,"Low Cap")</f>
        <v>Low Cap</v>
      </c>
    </row>
    <row r="184">
      <c r="A184" s="38" t="str">
        <f>IFERROR(__xludf.DUMMYFUNCTION("""COMPUTED_VALUE"""),"Apollo pipes")</f>
        <v>Apollo pipes</v>
      </c>
      <c r="B184" s="31">
        <f>IFERROR(__xludf.DUMMYFUNCTION("""COMPUTED_VALUE"""),1991.1000155)</f>
        <v>1991.100016</v>
      </c>
      <c r="C184" s="32">
        <f>IFERROR(__xludf.DUMMYFUNCTION("""COMPUTED_VALUE"""),510.0)</f>
        <v>510</v>
      </c>
      <c r="D184" s="32">
        <f>IFERROR(__xludf.DUMMYFUNCTION("""COMPUTED_VALUE"""),64.75)</f>
        <v>64.75</v>
      </c>
      <c r="E184" s="32">
        <f>IFERROR(__xludf.DUMMYFUNCTION("""COMPUTED_VALUE"""),635.7)</f>
        <v>635.7</v>
      </c>
      <c r="F184" s="33">
        <f>IFERROR(__xludf.DUMMYFUNCTION("""COMPUTED_VALUE"""),0.1977347805568665)</f>
        <v>0.1977347806</v>
      </c>
      <c r="G184" s="32">
        <f>IFERROR(__xludf.DUMMYFUNCTION("""COMPUTED_VALUE"""),395.0)</f>
        <v>395</v>
      </c>
      <c r="H184" s="33">
        <f>IFERROR(__xludf.DUMMYFUNCTION("""COMPUTED_VALUE"""),0.2911392405063291)</f>
        <v>0.2911392405</v>
      </c>
      <c r="I184" s="32">
        <f>IFERROR(__xludf.DUMMYFUNCTION("""COMPUTED_VALUE"""),514.85)</f>
        <v>514.85</v>
      </c>
      <c r="J184" s="33">
        <f>IFERROR(__xludf.DUMMYFUNCTION("""COMPUTED_VALUE"""),-0.009420219481402394)</f>
        <v>-0.009420219481</v>
      </c>
      <c r="K184" s="34" t="str">
        <f t="array" ref="K184">if(VLOOKUP(A184,'NSEBSE Code'!$A$4:$C$219,2,0) &lt;&gt; "",VLOOKUP(A184,'NSEBSE Code'!$A$4:$C$219,2,0),"")</f>
        <v>Piping</v>
      </c>
      <c r="L184" s="34" t="str">
        <f t="array" ref="L184">VLOOKUP(A184,'NSEBSE Code'!$A$4:$C$219,3,0)</f>
        <v>BOM:531761</v>
      </c>
      <c r="M184" s="35" t="str">
        <f t="array" ref="M184">if(F184 &gt; 30%, "Yes", "No")</f>
        <v>No</v>
      </c>
      <c r="N184" s="36" t="str">
        <f t="array" ref="N184">if(H184 &lt; 30%, "Yes", "No")</f>
        <v>Yes</v>
      </c>
      <c r="O184" s="37" t="str">
        <f t="array" ref="O184">if(AND(D184&lt;65,M184="No",N184="No"),"Good Stock","")</f>
        <v/>
      </c>
      <c r="P184" s="37" t="str">
        <f t="array" ref="P184">ifs(B184/$B$2 &gt; 0.6,"Large Cap", B184/$B$2 &gt; 0.4, "Mid Cap",B184/$B$2&gt;0,"Low Cap")</f>
        <v>Low Cap</v>
      </c>
    </row>
    <row r="185">
      <c r="A185" s="38" t="str">
        <f>IFERROR(__xludf.DUMMYFUNCTION("""COMPUTED_VALUE"""),"Bhansali Engineering")</f>
        <v>Bhansali Engineering</v>
      </c>
      <c r="B185" s="31">
        <f>IFERROR(__xludf.DUMMYFUNCTION("""COMPUTED_VALUE"""),1954.368)</f>
        <v>1954.368</v>
      </c>
      <c r="C185" s="32">
        <f>IFERROR(__xludf.DUMMYFUNCTION("""COMPUTED_VALUE"""),118.6)</f>
        <v>118.6</v>
      </c>
      <c r="D185" s="32">
        <f>IFERROR(__xludf.DUMMYFUNCTION("""COMPUTED_VALUE"""),8.27)</f>
        <v>8.27</v>
      </c>
      <c r="E185" s="32">
        <f>IFERROR(__xludf.DUMMYFUNCTION("""COMPUTED_VALUE"""),182.4)</f>
        <v>182.4</v>
      </c>
      <c r="F185" s="33">
        <f>IFERROR(__xludf.DUMMYFUNCTION("""COMPUTED_VALUE"""),0.349780701754386)</f>
        <v>0.3497807018</v>
      </c>
      <c r="G185" s="32">
        <f>IFERROR(__xludf.DUMMYFUNCTION("""COMPUTED_VALUE"""),98.0)</f>
        <v>98</v>
      </c>
      <c r="H185" s="33">
        <f>IFERROR(__xludf.DUMMYFUNCTION("""COMPUTED_VALUE"""),0.210204081632653)</f>
        <v>0.2102040816</v>
      </c>
      <c r="I185" s="32">
        <f>IFERROR(__xludf.DUMMYFUNCTION("""COMPUTED_VALUE"""),120.25)</f>
        <v>120.25</v>
      </c>
      <c r="J185" s="33">
        <f>IFERROR(__xludf.DUMMYFUNCTION("""COMPUTED_VALUE"""),-0.013721413721413769)</f>
        <v>-0.01372141372</v>
      </c>
      <c r="K185" s="34" t="str">
        <f t="array" ref="K185">if(VLOOKUP(A185,'NSEBSE Code'!$A$4:$C$219,2,0) &lt;&gt; "",VLOOKUP(A185,'NSEBSE Code'!$A$4:$C$219,2,0),"")</f>
        <v/>
      </c>
      <c r="L185" s="34" t="str">
        <f t="array" ref="L185">VLOOKUP(A185,'NSEBSE Code'!$A$4:$C$219,3,0)</f>
        <v>BOM:500052</v>
      </c>
      <c r="M185" s="35" t="str">
        <f t="array" ref="M185">if(F185 &gt; 30%, "Yes", "No")</f>
        <v>Yes</v>
      </c>
      <c r="N185" s="36" t="str">
        <f t="array" ref="N185">if(H185 &lt; 30%, "Yes", "No")</f>
        <v>Yes</v>
      </c>
      <c r="O185" s="37" t="str">
        <f t="array" ref="O185">if(AND(D185&lt;65,M185="No",N185="No"),"Good Stock","")</f>
        <v/>
      </c>
      <c r="P185" s="37" t="str">
        <f t="array" ref="P185">ifs(B185/$B$2 &gt; 0.6,"Large Cap", B185/$B$2 &gt; 0.4, "Mid Cap",B185/$B$2&gt;0,"Low Cap")</f>
        <v>Low Cap</v>
      </c>
    </row>
    <row r="186">
      <c r="A186" s="38" t="str">
        <f>IFERROR(__xludf.DUMMYFUNCTION("""COMPUTED_VALUE"""),"Heranba")</f>
        <v>Heranba</v>
      </c>
      <c r="B186" s="31">
        <f>IFERROR(__xludf.DUMMYFUNCTION("""COMPUTED_VALUE"""),1923.4465903)</f>
        <v>1923.44659</v>
      </c>
      <c r="C186" s="32">
        <f>IFERROR(__xludf.DUMMYFUNCTION("""COMPUTED_VALUE"""),481.35)</f>
        <v>481.35</v>
      </c>
      <c r="D186" s="32">
        <f>IFERROR(__xludf.DUMMYFUNCTION("""COMPUTED_VALUE"""),10.9)</f>
        <v>10.9</v>
      </c>
      <c r="E186" s="32">
        <f>IFERROR(__xludf.DUMMYFUNCTION("""COMPUTED_VALUE"""),744.15)</f>
        <v>744.15</v>
      </c>
      <c r="F186" s="33">
        <f>IFERROR(__xludf.DUMMYFUNCTION("""COMPUTED_VALUE"""),0.3531546059262245)</f>
        <v>0.3531546059</v>
      </c>
      <c r="G186" s="32">
        <f>IFERROR(__xludf.DUMMYFUNCTION("""COMPUTED_VALUE"""),477.8)</f>
        <v>477.8</v>
      </c>
      <c r="H186" s="33">
        <f>IFERROR(__xludf.DUMMYFUNCTION("""COMPUTED_VALUE"""),0.007429886982000861)</f>
        <v>0.007429886982</v>
      </c>
      <c r="I186" s="32">
        <f>IFERROR(__xludf.DUMMYFUNCTION("""COMPUTED_VALUE"""),481.85)</f>
        <v>481.85</v>
      </c>
      <c r="J186" s="33">
        <f>IFERROR(__xludf.DUMMYFUNCTION("""COMPUTED_VALUE"""),-0.0010376673238559717)</f>
        <v>-0.001037667324</v>
      </c>
      <c r="K186" s="34" t="str">
        <f t="array" ref="K186">if(VLOOKUP(A186,'NSEBSE Code'!$A$4:$C$219,2,0) &lt;&gt; "",VLOOKUP(A186,'NSEBSE Code'!$A$4:$C$219,2,0),"")</f>
        <v>Agrochemical</v>
      </c>
      <c r="L186" s="34" t="str">
        <f t="array" ref="L186">VLOOKUP(A186,'NSEBSE Code'!$A$4:$C$219,3,0)</f>
        <v>BOM:543266</v>
      </c>
      <c r="M186" s="35" t="str">
        <f t="array" ref="M186">if(F186 &gt; 30%, "Yes", "No")</f>
        <v>Yes</v>
      </c>
      <c r="N186" s="36" t="str">
        <f t="array" ref="N186">if(H186 &lt; 30%, "Yes", "No")</f>
        <v>Yes</v>
      </c>
      <c r="O186" s="37" t="str">
        <f t="array" ref="O186">if(AND(D186&lt;65,M186="No",N186="No"),"Good Stock","")</f>
        <v/>
      </c>
      <c r="P186" s="37" t="str">
        <f t="array" ref="P186">ifs(B186/$B$2 &gt; 0.6,"Large Cap", B186/$B$2 &gt; 0.4, "Mid Cap",B186/$B$2&gt;0,"Low Cap")</f>
        <v>Low Cap</v>
      </c>
    </row>
    <row r="187">
      <c r="A187" s="38" t="str">
        <f>IFERROR(__xludf.DUMMYFUNCTION("""COMPUTED_VALUE"""),"Goldiam International")</f>
        <v>Goldiam International</v>
      </c>
      <c r="B187" s="31">
        <f>IFERROR(__xludf.DUMMYFUNCTION("""COMPUTED_VALUE"""),1794.8020805)</f>
        <v>1794.802081</v>
      </c>
      <c r="C187" s="32">
        <f>IFERROR(__xludf.DUMMYFUNCTION("""COMPUTED_VALUE"""),165.55)</f>
        <v>165.55</v>
      </c>
      <c r="D187" s="32">
        <f>IFERROR(__xludf.DUMMYFUNCTION("""COMPUTED_VALUE"""),17.83)</f>
        <v>17.83</v>
      </c>
      <c r="E187" s="32">
        <f>IFERROR(__xludf.DUMMYFUNCTION("""COMPUTED_VALUE"""),209.41)</f>
        <v>209.41</v>
      </c>
      <c r="F187" s="33">
        <f>IFERROR(__xludf.DUMMYFUNCTION("""COMPUTED_VALUE"""),0.2094455852156057)</f>
        <v>0.2094455852</v>
      </c>
      <c r="G187" s="32">
        <f>IFERROR(__xludf.DUMMYFUNCTION("""COMPUTED_VALUE"""),116.75)</f>
        <v>116.75</v>
      </c>
      <c r="H187" s="33">
        <f>IFERROR(__xludf.DUMMYFUNCTION("""COMPUTED_VALUE"""),0.41798715203426134)</f>
        <v>0.417987152</v>
      </c>
      <c r="I187" s="32">
        <f>IFERROR(__xludf.DUMMYFUNCTION("""COMPUTED_VALUE"""),165.4)</f>
        <v>165.4</v>
      </c>
      <c r="J187" s="33">
        <f>IFERROR(__xludf.DUMMYFUNCTION("""COMPUTED_VALUE"""),9.068923821040247E-4)</f>
        <v>0.0009068923821</v>
      </c>
      <c r="K187" s="34" t="str">
        <f t="array" ref="K187">if(VLOOKUP(A187,'NSEBSE Code'!$A$4:$C$219,2,0) &lt;&gt; "",VLOOKUP(A187,'NSEBSE Code'!$A$4:$C$219,2,0),"")</f>
        <v>Retail</v>
      </c>
      <c r="L187" s="34" t="str">
        <f t="array" ref="L187">VLOOKUP(A187,'NSEBSE Code'!$A$4:$C$219,3,0)</f>
        <v>BOM:526729</v>
      </c>
      <c r="M187" s="35" t="str">
        <f t="array" ref="M187">if(F187 &gt; 30%, "Yes", "No")</f>
        <v>No</v>
      </c>
      <c r="N187" s="36" t="str">
        <f t="array" ref="N187">if(H187 &lt; 30%, "Yes", "No")</f>
        <v>No</v>
      </c>
      <c r="O187" s="37" t="str">
        <f t="array" ref="O187">if(AND(D187&lt;65,M187="No",N187="No"),"Good Stock","")</f>
        <v>Good Stock</v>
      </c>
      <c r="P187" s="37" t="str">
        <f t="array" ref="P187">ifs(B187/$B$2 &gt; 0.6,"Large Cap", B187/$B$2 &gt; 0.4, "Mid Cap",B187/$B$2&gt;0,"Low Cap")</f>
        <v>Low Cap</v>
      </c>
    </row>
    <row r="188">
      <c r="A188" s="38" t="str">
        <f>IFERROR(__xludf.DUMMYFUNCTION("""COMPUTED_VALUE"""),"stove kraft")</f>
        <v>stove kraft</v>
      </c>
      <c r="B188" s="31">
        <f>IFERROR(__xludf.DUMMYFUNCTION("""COMPUTED_VALUE"""),1639.276373)</f>
        <v>1639.276373</v>
      </c>
      <c r="C188" s="32">
        <f>IFERROR(__xludf.DUMMYFUNCTION("""COMPUTED_VALUE"""),498.5)</f>
        <v>498.5</v>
      </c>
      <c r="D188" s="32">
        <f>IFERROR(__xludf.DUMMYFUNCTION("""COMPUTED_VALUE"""),30.76)</f>
        <v>30.76</v>
      </c>
      <c r="E188" s="32">
        <f>IFERROR(__xludf.DUMMYFUNCTION("""COMPUTED_VALUE"""),1000.0)</f>
        <v>1000</v>
      </c>
      <c r="F188" s="33">
        <f>IFERROR(__xludf.DUMMYFUNCTION("""COMPUTED_VALUE"""),0.5015)</f>
        <v>0.5015</v>
      </c>
      <c r="G188" s="32">
        <f>IFERROR(__xludf.DUMMYFUNCTION("""COMPUTED_VALUE"""),472.2)</f>
        <v>472.2</v>
      </c>
      <c r="H188" s="33">
        <f>IFERROR(__xludf.DUMMYFUNCTION("""COMPUTED_VALUE"""),0.05569673867005508)</f>
        <v>0.05569673867</v>
      </c>
      <c r="I188" s="32">
        <f>IFERROR(__xludf.DUMMYFUNCTION("""COMPUTED_VALUE"""),503.15)</f>
        <v>503.15</v>
      </c>
      <c r="J188" s="33">
        <f>IFERROR(__xludf.DUMMYFUNCTION("""COMPUTED_VALUE"""),-0.00924177680612139)</f>
        <v>-0.009241776806</v>
      </c>
      <c r="K188" s="34" t="str">
        <f t="array" ref="K188">if(VLOOKUP(A188,'NSEBSE Code'!$A$4:$C$219,2,0) &lt;&gt; "",VLOOKUP(A188,'NSEBSE Code'!$A$4:$C$219,2,0),"")</f>
        <v>kitchen</v>
      </c>
      <c r="L188" s="34" t="str">
        <f t="array" ref="L188">VLOOKUP(A188,'NSEBSE Code'!$A$4:$C$219,3,0)</f>
        <v>BOM:543260</v>
      </c>
      <c r="M188" s="35" t="str">
        <f t="array" ref="M188">if(F188 &gt; 30%, "Yes", "No")</f>
        <v>Yes</v>
      </c>
      <c r="N188" s="36" t="str">
        <f t="array" ref="N188">if(H188 &lt; 30%, "Yes", "No")</f>
        <v>Yes</v>
      </c>
      <c r="O188" s="37" t="str">
        <f t="array" ref="O188">if(AND(D188&lt;65,M188="No",N188="No"),"Good Stock","")</f>
        <v/>
      </c>
      <c r="P188" s="37" t="str">
        <f t="array" ref="P188">ifs(B188/$B$2 &gt; 0.6,"Large Cap", B188/$B$2 &gt; 0.4, "Mid Cap",B188/$B$2&gt;0,"Low Cap")</f>
        <v>Low Cap</v>
      </c>
    </row>
    <row r="189">
      <c r="A189" s="38" t="str">
        <f>IFERROR(__xludf.DUMMYFUNCTION("""COMPUTED_VALUE"""),"Krisna dignostic")</f>
        <v>Krisna dignostic</v>
      </c>
      <c r="B189" s="31">
        <f>IFERROR(__xludf.DUMMYFUNCTION("""COMPUTED_VALUE"""),1347.5935652)</f>
        <v>1347.593565</v>
      </c>
      <c r="C189" s="32">
        <f>IFERROR(__xludf.DUMMYFUNCTION("""COMPUTED_VALUE"""),429.35)</f>
        <v>429.35</v>
      </c>
      <c r="D189" s="32">
        <f>IFERROR(__xludf.DUMMYFUNCTION("""COMPUTED_VALUE"""),20.29)</f>
        <v>20.29</v>
      </c>
      <c r="E189" s="32">
        <f>IFERROR(__xludf.DUMMYFUNCTION("""COMPUTED_VALUE"""),778.0)</f>
        <v>778</v>
      </c>
      <c r="F189" s="33">
        <f>IFERROR(__xludf.DUMMYFUNCTION("""COMPUTED_VALUE"""),0.4481362467866324)</f>
        <v>0.4481362468</v>
      </c>
      <c r="G189" s="32">
        <f>IFERROR(__xludf.DUMMYFUNCTION("""COMPUTED_VALUE"""),428.9)</f>
        <v>428.9</v>
      </c>
      <c r="H189" s="33">
        <f>IFERROR(__xludf.DUMMYFUNCTION("""COMPUTED_VALUE"""),0.001049195616693974)</f>
        <v>0.001049195617</v>
      </c>
      <c r="I189" s="32">
        <f>IFERROR(__xludf.DUMMYFUNCTION("""COMPUTED_VALUE"""),436.85)</f>
        <v>436.85</v>
      </c>
      <c r="J189" s="33">
        <f>IFERROR(__xludf.DUMMYFUNCTION("""COMPUTED_VALUE"""),-0.017168364427148905)</f>
        <v>-0.01716836443</v>
      </c>
      <c r="K189" s="34" t="str">
        <f t="array" ref="K189">if(VLOOKUP(A189,'NSEBSE Code'!$A$4:$C$219,2,0) &lt;&gt; "",VLOOKUP(A189,'NSEBSE Code'!$A$4:$C$219,2,0),"")</f>
        <v/>
      </c>
      <c r="L189" s="34" t="str">
        <f t="array" ref="L189">VLOOKUP(A189,'NSEBSE Code'!$A$4:$C$219,3,0)</f>
        <v>BOM:543328</v>
      </c>
      <c r="M189" s="35" t="str">
        <f t="array" ref="M189">if(F189 &gt; 30%, "Yes", "No")</f>
        <v>Yes</v>
      </c>
      <c r="N189" s="36" t="str">
        <f t="array" ref="N189">if(H189 &lt; 30%, "Yes", "No")</f>
        <v>Yes</v>
      </c>
      <c r="O189" s="37" t="str">
        <f t="array" ref="O189">if(AND(D189&lt;65,M189="No",N189="No"),"Good Stock","")</f>
        <v/>
      </c>
      <c r="P189" s="37" t="str">
        <f t="array" ref="P189">ifs(B189/$B$2 &gt; 0.6,"Large Cap", B189/$B$2 &gt; 0.4, "Mid Cap",B189/$B$2&gt;0,"Low Cap")</f>
        <v>Low Cap</v>
      </c>
    </row>
    <row r="190">
      <c r="A190" s="38" t="str">
        <f>IFERROR(__xludf.DUMMYFUNCTION("""COMPUTED_VALUE"""),"Chemcom Speciality")</f>
        <v>Chemcom Speciality</v>
      </c>
      <c r="B190" s="31">
        <f>IFERROR(__xludf.DUMMYFUNCTION("""COMPUTED_VALUE"""),1059.9071153)</f>
        <v>1059.907115</v>
      </c>
      <c r="C190" s="32">
        <f>IFERROR(__xludf.DUMMYFUNCTION("""COMPUTED_VALUE"""),288.1)</f>
        <v>288.1</v>
      </c>
      <c r="D190" s="32">
        <f>IFERROR(__xludf.DUMMYFUNCTION("""COMPUTED_VALUE"""),15.51)</f>
        <v>15.51</v>
      </c>
      <c r="E190" s="32">
        <f>IFERROR(__xludf.DUMMYFUNCTION("""COMPUTED_VALUE"""),477.95)</f>
        <v>477.95</v>
      </c>
      <c r="F190" s="33">
        <f>IFERROR(__xludf.DUMMYFUNCTION("""COMPUTED_VALUE"""),0.3972172821424835)</f>
        <v>0.3972172821</v>
      </c>
      <c r="G190" s="32">
        <f>IFERROR(__xludf.DUMMYFUNCTION("""COMPUTED_VALUE"""),261.0)</f>
        <v>261</v>
      </c>
      <c r="H190" s="33">
        <f>IFERROR(__xludf.DUMMYFUNCTION("""COMPUTED_VALUE"""),0.10383141762452117)</f>
        <v>0.1038314176</v>
      </c>
      <c r="I190" s="32">
        <f>IFERROR(__xludf.DUMMYFUNCTION("""COMPUTED_VALUE"""),290.1)</f>
        <v>290.1</v>
      </c>
      <c r="J190" s="33">
        <f>IFERROR(__xludf.DUMMYFUNCTION("""COMPUTED_VALUE"""),-0.006894174422612891)</f>
        <v>-0.006894174423</v>
      </c>
      <c r="K190" s="34" t="str">
        <f t="array" ref="K190">if(VLOOKUP(A190,'NSEBSE Code'!$A$4:$C$219,2,0) &lt;&gt; "",VLOOKUP(A190,'NSEBSE Code'!$A$4:$C$219,2,0),"")</f>
        <v>Chemical</v>
      </c>
      <c r="L190" s="34" t="str">
        <f t="array" ref="L190">VLOOKUP(A190,'NSEBSE Code'!$A$4:$C$219,3,0)</f>
        <v>CHEMCON</v>
      </c>
      <c r="M190" s="35" t="str">
        <f t="array" ref="M190">if(F190 &gt; 30%, "Yes", "No")</f>
        <v>Yes</v>
      </c>
      <c r="N190" s="36" t="str">
        <f t="array" ref="N190">if(H190 &lt; 30%, "Yes", "No")</f>
        <v>Yes</v>
      </c>
      <c r="O190" s="37" t="str">
        <f t="array" ref="O190">if(AND(D190&lt;65,M190="No",N190="No"),"Good Stock","")</f>
        <v/>
      </c>
      <c r="P190" s="37" t="str">
        <f t="array" ref="P190">ifs(B190/$B$2 &gt; 0.6,"Large Cap", B190/$B$2 &gt; 0.4, "Mid Cap",B190/$B$2&gt;0,"Low Cap")</f>
        <v>Low Cap</v>
      </c>
    </row>
    <row r="191">
      <c r="A191" s="38" t="str">
        <f>IFERROR(__xludf.DUMMYFUNCTION("""COMPUTED_VALUE"""),"Dr Reddy")</f>
        <v>Dr Reddy</v>
      </c>
      <c r="B191" s="31">
        <f>IFERROR(__xludf.DUMMYFUNCTION("""COMPUTED_VALUE"""),880.6892469)</f>
        <v>880.6892469</v>
      </c>
      <c r="C191" s="32">
        <f>IFERROR(__xludf.DUMMYFUNCTION("""COMPUTED_VALUE"""),4323.5)</f>
        <v>4323.5</v>
      </c>
      <c r="D191" s="32">
        <f>IFERROR(__xludf.DUMMYFUNCTION("""COMPUTED_VALUE"""),23.13)</f>
        <v>23.13</v>
      </c>
      <c r="E191" s="32">
        <f>IFERROR(__xludf.DUMMYFUNCTION("""COMPUTED_VALUE"""),4759.6)</f>
        <v>4759.6</v>
      </c>
      <c r="F191" s="33">
        <f>IFERROR(__xludf.DUMMYFUNCTION("""COMPUTED_VALUE"""),0.09162534666778728)</f>
        <v>0.09162534667</v>
      </c>
      <c r="G191" s="32">
        <f>IFERROR(__xludf.DUMMYFUNCTION("""COMPUTED_VALUE"""),3654.0)</f>
        <v>3654</v>
      </c>
      <c r="H191" s="33">
        <f>IFERROR(__xludf.DUMMYFUNCTION("""COMPUTED_VALUE"""),0.18322386425834702)</f>
        <v>0.1832238643</v>
      </c>
      <c r="I191" s="32">
        <f>IFERROR(__xludf.DUMMYFUNCTION("""COMPUTED_VALUE"""),4310.6)</f>
        <v>4310.6</v>
      </c>
      <c r="J191" s="33">
        <f>IFERROR(__xludf.DUMMYFUNCTION("""COMPUTED_VALUE"""),0.002992622836727981)</f>
        <v>0.002992622837</v>
      </c>
      <c r="K191" s="34" t="str">
        <f t="array" ref="K191">if(VLOOKUP(A191,'NSEBSE Code'!$A$4:$C$219,2,0) &lt;&gt; "",VLOOKUP(A191,'NSEBSE Code'!$A$4:$C$219,2,0),"")</f>
        <v>Pharma</v>
      </c>
      <c r="L191" s="34" t="str">
        <f t="array" ref="L191">VLOOKUP(A191,'NSEBSE Code'!$A$4:$C$219,3,0)</f>
        <v>DRREDDY</v>
      </c>
      <c r="M191" s="35" t="str">
        <f t="array" ref="M191">if(F191 &gt; 30%, "Yes", "No")</f>
        <v>No</v>
      </c>
      <c r="N191" s="36" t="str">
        <f t="array" ref="N191">if(H191 &lt; 30%, "Yes", "No")</f>
        <v>Yes</v>
      </c>
      <c r="O191" s="37" t="str">
        <f t="array" ref="O191">if(AND(D191&lt;65,M191="No",N191="No"),"Good Stock","")</f>
        <v/>
      </c>
      <c r="P191" s="37" t="str">
        <f t="array" ref="P191">ifs(B191/$B$2 &gt; 0.6,"Large Cap", B191/$B$2 &gt; 0.4, "Mid Cap",B191/$B$2&gt;0,"Low Cap")</f>
        <v>Low Cap</v>
      </c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  <row r="983">
      <c r="A983" s="39"/>
    </row>
    <row r="984">
      <c r="A984" s="39"/>
    </row>
    <row r="985">
      <c r="A985" s="39"/>
    </row>
    <row r="986">
      <c r="A986" s="39"/>
    </row>
    <row r="987">
      <c r="A987" s="39"/>
    </row>
    <row r="988">
      <c r="A988" s="39"/>
    </row>
    <row r="989">
      <c r="A989" s="39"/>
    </row>
    <row r="990">
      <c r="A990" s="39"/>
    </row>
    <row r="991">
      <c r="A991" s="39"/>
    </row>
    <row r="992">
      <c r="A992" s="39"/>
    </row>
    <row r="993">
      <c r="A993" s="39"/>
    </row>
    <row r="994">
      <c r="A994" s="39"/>
    </row>
    <row r="995">
      <c r="A995" s="39"/>
    </row>
    <row r="996">
      <c r="A996" s="39"/>
    </row>
    <row r="997">
      <c r="A997" s="39"/>
    </row>
    <row r="998">
      <c r="A998" s="39"/>
    </row>
    <row r="999">
      <c r="A999" s="39"/>
    </row>
    <row r="1000">
      <c r="A1000" s="39"/>
    </row>
  </sheetData>
  <conditionalFormatting sqref="G2:G191">
    <cfRule type="notContainsBlanks" dxfId="4" priority="1">
      <formula>LEN(TRIM(G2))&gt;0</formula>
    </cfRule>
  </conditionalFormatting>
  <conditionalFormatting sqref="E2:E191">
    <cfRule type="notContainsBlanks" dxfId="3" priority="2">
      <formula>LEN(TRIM(E2))&gt;0</formula>
    </cfRule>
  </conditionalFormatting>
  <conditionalFormatting sqref="C2:C191">
    <cfRule type="notContainsBlanks" dxfId="2" priority="3">
      <formula>LEN(TRIM(C2))&gt;0</formula>
    </cfRule>
  </conditionalFormatting>
  <conditionalFormatting sqref="J2:J191">
    <cfRule type="cellIs" dxfId="1" priority="4" operator="greaterThan">
      <formula>0</formula>
    </cfRule>
  </conditionalFormatting>
  <conditionalFormatting sqref="J2:J191">
    <cfRule type="cellIs" dxfId="0" priority="5" operator="lessThan">
      <formula>0</formula>
    </cfRule>
  </conditionalFormatting>
  <conditionalFormatting sqref="B2:B191">
    <cfRule type="colorScale" priority="6">
      <colorScale>
        <cfvo type="min"/>
        <cfvo type="max"/>
        <color rgb="FFE0FFCC"/>
        <color rgb="FF57FF53"/>
      </colorScale>
    </cfRule>
  </conditionalFormatting>
  <conditionalFormatting sqref="J1:P1">
    <cfRule type="cellIs" dxfId="0" priority="7" operator="lessThan">
      <formula>0</formula>
    </cfRule>
  </conditionalFormatting>
  <conditionalFormatting sqref="J1:P1">
    <cfRule type="cellIs" dxfId="1" priority="8" operator="greaterThan">
      <formula>0</formula>
    </cfRule>
  </conditionalFormatting>
  <drawing r:id="rId1"/>
  <tableParts count="3"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6.75"/>
    <col customWidth="1" min="3" max="3" width="18.13"/>
    <col customWidth="1" min="5" max="5" width="15.13"/>
    <col customWidth="1" min="11" max="11" width="22.38"/>
    <col customWidth="1" min="12" max="12" width="16.5"/>
  </cols>
  <sheetData>
    <row r="1" ht="42.75" customHeight="1">
      <c r="A1" s="40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2" t="s">
        <v>9</v>
      </c>
      <c r="K1" s="27" t="s">
        <v>229</v>
      </c>
      <c r="L1" s="29" t="s">
        <v>489</v>
      </c>
      <c r="M1" s="29" t="s">
        <v>490</v>
      </c>
      <c r="N1" s="29" t="s">
        <v>491</v>
      </c>
      <c r="O1" s="27" t="s">
        <v>492</v>
      </c>
      <c r="P1" s="27" t="s">
        <v>493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43" t="str">
        <f>IFERROR(__xludf.DUMMYFUNCTION("QUERY(Tasks!A2:P191, ""Select * where O is not null"")"),"HUL")</f>
        <v>HUL</v>
      </c>
      <c r="B2" s="44">
        <f>IFERROR(__xludf.DUMMYFUNCTION("""COMPUTED_VALUE"""),616301.326875)</f>
        <v>616301.3269</v>
      </c>
      <c r="C2" s="45">
        <f>IFERROR(__xludf.DUMMYFUNCTION("""COMPUTED_VALUE"""),2620.6)</f>
        <v>2620.6</v>
      </c>
      <c r="D2" s="45">
        <f>IFERROR(__xludf.DUMMYFUNCTION("""COMPUTED_VALUE"""),63.81)</f>
        <v>63.81</v>
      </c>
      <c r="E2" s="45">
        <f>IFERROR(__xludf.DUMMYFUNCTION("""COMPUTED_VALUE"""),2741.6)</f>
        <v>2741.6</v>
      </c>
      <c r="F2" s="46">
        <f>IFERROR(__xludf.DUMMYFUNCTION("""COMPUTED_VALUE"""),0.0441348117887365)</f>
        <v>0.04413481179</v>
      </c>
      <c r="G2" s="45">
        <f>IFERROR(__xludf.DUMMYFUNCTION("""COMPUTED_VALUE"""),1901.55)</f>
        <v>1901.55</v>
      </c>
      <c r="H2" s="46">
        <f>IFERROR(__xludf.DUMMYFUNCTION("""COMPUTED_VALUE"""),0.37813888669769397)</f>
        <v>0.3781388867</v>
      </c>
      <c r="I2" s="45">
        <f>IFERROR(__xludf.DUMMYFUNCTION("""COMPUTED_VALUE"""),2590.05)</f>
        <v>2590.05</v>
      </c>
      <c r="J2" s="47">
        <f>IFERROR(__xludf.DUMMYFUNCTION("""COMPUTED_VALUE"""),0.011795139089978852)</f>
        <v>0.01179513909</v>
      </c>
      <c r="K2" s="48" t="str">
        <f>IFERROR(__xludf.DUMMYFUNCTION("""COMPUTED_VALUE"""),"FMCG")</f>
        <v>FMCG</v>
      </c>
      <c r="L2" s="48" t="str">
        <f>IFERROR(__xludf.DUMMYFUNCTION("""COMPUTED_VALUE"""),"HINDUNILVR")</f>
        <v>HINDUNILVR</v>
      </c>
      <c r="M2" s="49" t="str">
        <f>IFERROR(__xludf.DUMMYFUNCTION("""COMPUTED_VALUE"""),"No")</f>
        <v>No</v>
      </c>
      <c r="N2" s="49" t="str">
        <f>IFERROR(__xludf.DUMMYFUNCTION("""COMPUTED_VALUE"""),"No")</f>
        <v>No</v>
      </c>
      <c r="O2" s="36" t="str">
        <f>IFERROR(__xludf.DUMMYFUNCTION("""COMPUTED_VALUE"""),"Good Stock")</f>
        <v>Good Stock</v>
      </c>
      <c r="P2" s="36" t="str">
        <f>IFERROR(__xludf.DUMMYFUNCTION("""COMPUTED_VALUE"""),"Low Cap")</f>
        <v>Low Cap</v>
      </c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</row>
    <row r="3">
      <c r="A3" s="36" t="str">
        <f>IFERROR(__xludf.DUMMYFUNCTION("""COMPUTED_VALUE"""),"SBI Bank")</f>
        <v>SBI Bank</v>
      </c>
      <c r="B3" s="51">
        <f>IFERROR(__xludf.DUMMYFUNCTION("""COMPUTED_VALUE"""),535431.3246675)</f>
        <v>535431.3247</v>
      </c>
      <c r="C3" s="36">
        <f>IFERROR(__xludf.DUMMYFUNCTION("""COMPUTED_VALUE"""),600.05)</f>
        <v>600.05</v>
      </c>
      <c r="D3" s="36">
        <f>IFERROR(__xludf.DUMMYFUNCTION("""COMPUTED_VALUE"""),13.0)</f>
        <v>13</v>
      </c>
      <c r="E3" s="36">
        <f>IFERROR(__xludf.DUMMYFUNCTION("""COMPUTED_VALUE"""),629.65)</f>
        <v>629.65</v>
      </c>
      <c r="F3" s="35">
        <f>IFERROR(__xludf.DUMMYFUNCTION("""COMPUTED_VALUE"""),0.047010243786230484)</f>
        <v>0.04701024379</v>
      </c>
      <c r="G3" s="36">
        <f>IFERROR(__xludf.DUMMYFUNCTION("""COMPUTED_VALUE"""),425.0)</f>
        <v>425</v>
      </c>
      <c r="H3" s="35">
        <f>IFERROR(__xludf.DUMMYFUNCTION("""COMPUTED_VALUE"""),0.41188235294117637)</f>
        <v>0.4118823529</v>
      </c>
      <c r="I3" s="36">
        <f>IFERROR(__xludf.DUMMYFUNCTION("""COMPUTED_VALUE"""),595.0)</f>
        <v>595</v>
      </c>
      <c r="J3" s="35">
        <f>IFERROR(__xludf.DUMMYFUNCTION("""COMPUTED_VALUE"""),0.008487394957983117)</f>
        <v>0.008487394958</v>
      </c>
      <c r="K3" s="36" t="str">
        <f>IFERROR(__xludf.DUMMYFUNCTION("""COMPUTED_VALUE"""),"Bank")</f>
        <v>Bank</v>
      </c>
      <c r="L3" s="36" t="str">
        <f>IFERROR(__xludf.DUMMYFUNCTION("""COMPUTED_VALUE"""),"BOM:500112")</f>
        <v>BOM:500112</v>
      </c>
      <c r="M3" s="49" t="str">
        <f>IFERROR(__xludf.DUMMYFUNCTION("""COMPUTED_VALUE"""),"No")</f>
        <v>No</v>
      </c>
      <c r="N3" s="49" t="str">
        <f>IFERROR(__xludf.DUMMYFUNCTION("""COMPUTED_VALUE"""),"No")</f>
        <v>No</v>
      </c>
      <c r="O3" s="36" t="str">
        <f>IFERROR(__xludf.DUMMYFUNCTION("""COMPUTED_VALUE"""),"Good Stock")</f>
        <v>Good Stock</v>
      </c>
      <c r="P3" s="36" t="str">
        <f>IFERROR(__xludf.DUMMYFUNCTION("""COMPUTED_VALUE"""),"Low Cap")</f>
        <v>Low Cap</v>
      </c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</row>
    <row r="4">
      <c r="A4" s="36" t="str">
        <f>IFERROR(__xludf.DUMMYFUNCTION("""COMPUTED_VALUE"""),"L&amp;T")</f>
        <v>L&amp;T</v>
      </c>
      <c r="B4" s="51">
        <f>IFERROR(__xludf.DUMMYFUNCTION("""COMPUTED_VALUE"""),302617.166625)</f>
        <v>302617.1666</v>
      </c>
      <c r="C4" s="36">
        <f>IFERROR(__xludf.DUMMYFUNCTION("""COMPUTED_VALUE"""),2153.75)</f>
        <v>2153.75</v>
      </c>
      <c r="D4" s="36">
        <f>IFERROR(__xludf.DUMMYFUNCTION("""COMPUTED_VALUE"""),31.53)</f>
        <v>31.53</v>
      </c>
      <c r="E4" s="36">
        <f>IFERROR(__xludf.DUMMYFUNCTION("""COMPUTED_VALUE"""),2210.5)</f>
        <v>2210.5</v>
      </c>
      <c r="F4" s="35">
        <f>IFERROR(__xludf.DUMMYFUNCTION("""COMPUTED_VALUE"""),0.025672924677674736)</f>
        <v>0.02567292468</v>
      </c>
      <c r="G4" s="36">
        <f>IFERROR(__xludf.DUMMYFUNCTION("""COMPUTED_VALUE"""),1456.8)</f>
        <v>1456.8</v>
      </c>
      <c r="H4" s="35">
        <f>IFERROR(__xludf.DUMMYFUNCTION("""COMPUTED_VALUE"""),0.4784115870400879)</f>
        <v>0.478411587</v>
      </c>
      <c r="I4" s="36">
        <f>IFERROR(__xludf.DUMMYFUNCTION("""COMPUTED_VALUE"""),2160.2)</f>
        <v>2160.2</v>
      </c>
      <c r="J4" s="35">
        <f>IFERROR(__xludf.DUMMYFUNCTION("""COMPUTED_VALUE"""),-0.0029858346449401995)</f>
        <v>-0.002985834645</v>
      </c>
      <c r="K4" s="36" t="str">
        <f>IFERROR(__xludf.DUMMYFUNCTION("""COMPUTED_VALUE"""),"Infrastructure")</f>
        <v>Infrastructure</v>
      </c>
      <c r="L4" s="36" t="str">
        <f>IFERROR(__xludf.DUMMYFUNCTION("""COMPUTED_VALUE"""),"BOM:500510")</f>
        <v>BOM:500510</v>
      </c>
      <c r="M4" s="49" t="str">
        <f>IFERROR(__xludf.DUMMYFUNCTION("""COMPUTED_VALUE"""),"No")</f>
        <v>No</v>
      </c>
      <c r="N4" s="49" t="str">
        <f>IFERROR(__xludf.DUMMYFUNCTION("""COMPUTED_VALUE"""),"No")</f>
        <v>No</v>
      </c>
      <c r="O4" s="36" t="str">
        <f>IFERROR(__xludf.DUMMYFUNCTION("""COMPUTED_VALUE"""),"Good Stock")</f>
        <v>Good Stock</v>
      </c>
      <c r="P4" s="36" t="str">
        <f>IFERROR(__xludf.DUMMYFUNCTION("""COMPUTED_VALUE"""),"Low Cap")</f>
        <v>Low Cap</v>
      </c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</row>
    <row r="5">
      <c r="A5" s="36" t="str">
        <f>IFERROR(__xludf.DUMMYFUNCTION("""COMPUTED_VALUE"""),"Axis Bank")</f>
        <v>Axis Bank</v>
      </c>
      <c r="B5" s="51">
        <f>IFERROR(__xludf.DUMMYFUNCTION("""COMPUTED_VALUE"""),287213.2945283)</f>
        <v>287213.2945</v>
      </c>
      <c r="C5" s="36">
        <f>IFERROR(__xludf.DUMMYFUNCTION("""COMPUTED_VALUE"""),933.9)</f>
        <v>933.9</v>
      </c>
      <c r="D5" s="36">
        <f>IFERROR(__xludf.DUMMYFUNCTION("""COMPUTED_VALUE"""),15.67)</f>
        <v>15.67</v>
      </c>
      <c r="E5" s="36">
        <f>IFERROR(__xludf.DUMMYFUNCTION("""COMPUTED_VALUE"""),970.0)</f>
        <v>970</v>
      </c>
      <c r="F5" s="35">
        <f>IFERROR(__xludf.DUMMYFUNCTION("""COMPUTED_VALUE"""),0.03721649484536085)</f>
        <v>0.03721649485</v>
      </c>
      <c r="G5" s="36">
        <f>IFERROR(__xludf.DUMMYFUNCTION("""COMPUTED_VALUE"""),618.25)</f>
        <v>618.25</v>
      </c>
      <c r="H5" s="35">
        <f>IFERROR(__xludf.DUMMYFUNCTION("""COMPUTED_VALUE"""),0.5105539830165791)</f>
        <v>0.510553983</v>
      </c>
      <c r="I5" s="36">
        <f>IFERROR(__xludf.DUMMYFUNCTION("""COMPUTED_VALUE"""),935.55)</f>
        <v>935.55</v>
      </c>
      <c r="J5" s="35">
        <f>IFERROR(__xludf.DUMMYFUNCTION("""COMPUTED_VALUE"""),-0.0017636684303350728)</f>
        <v>-0.00176366843</v>
      </c>
      <c r="K5" s="36" t="str">
        <f>IFERROR(__xludf.DUMMYFUNCTION("""COMPUTED_VALUE"""),"Bank")</f>
        <v>Bank</v>
      </c>
      <c r="L5" s="36" t="str">
        <f>IFERROR(__xludf.DUMMYFUNCTION("""COMPUTED_VALUE"""),"AXISBANK")</f>
        <v>AXISBANK</v>
      </c>
      <c r="M5" s="49" t="str">
        <f>IFERROR(__xludf.DUMMYFUNCTION("""COMPUTED_VALUE"""),"No")</f>
        <v>No</v>
      </c>
      <c r="N5" s="49" t="str">
        <f>IFERROR(__xludf.DUMMYFUNCTION("""COMPUTED_VALUE"""),"No")</f>
        <v>No</v>
      </c>
      <c r="O5" s="36" t="str">
        <f>IFERROR(__xludf.DUMMYFUNCTION("""COMPUTED_VALUE"""),"Good Stock")</f>
        <v>Good Stock</v>
      </c>
      <c r="P5" s="36" t="str">
        <f>IFERROR(__xludf.DUMMYFUNCTION("""COMPUTED_VALUE"""),"Low Cap")</f>
        <v>Low Cap</v>
      </c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</row>
    <row r="6">
      <c r="A6" s="36" t="str">
        <f>IFERROR(__xludf.DUMMYFUNCTION("""COMPUTED_VALUE"""),"Sun pharma")</f>
        <v>Sun pharma</v>
      </c>
      <c r="B6" s="51">
        <f>IFERROR(__xludf.DUMMYFUNCTION("""COMPUTED_VALUE"""),247191.650802)</f>
        <v>247191.6508</v>
      </c>
      <c r="C6" s="36">
        <f>IFERROR(__xludf.DUMMYFUNCTION("""COMPUTED_VALUE"""),1031.05)</f>
        <v>1031.05</v>
      </c>
      <c r="D6" s="36">
        <f>IFERROR(__xludf.DUMMYFUNCTION("""COMPUTED_VALUE"""),60.4)</f>
        <v>60.4</v>
      </c>
      <c r="E6" s="36">
        <f>IFERROR(__xludf.DUMMYFUNCTION("""COMPUTED_VALUE"""),1070.95)</f>
        <v>1070.95</v>
      </c>
      <c r="F6" s="35">
        <f>IFERROR(__xludf.DUMMYFUNCTION("""COMPUTED_VALUE"""),0.03725664129978065)</f>
        <v>0.0372566413</v>
      </c>
      <c r="G6" s="36">
        <f>IFERROR(__xludf.DUMMYFUNCTION("""COMPUTED_VALUE"""),784.8)</f>
        <v>784.8</v>
      </c>
      <c r="H6" s="35">
        <f>IFERROR(__xludf.DUMMYFUNCTION("""COMPUTED_VALUE"""),0.3137742099898063)</f>
        <v>0.31377421</v>
      </c>
      <c r="I6" s="36">
        <f>IFERROR(__xludf.DUMMYFUNCTION("""COMPUTED_VALUE"""),1032.85)</f>
        <v>1032.85</v>
      </c>
      <c r="J6" s="35">
        <f>IFERROR(__xludf.DUMMYFUNCTION("""COMPUTED_VALUE"""),-0.0017427506414290116)</f>
        <v>-0.001742750641</v>
      </c>
      <c r="K6" s="36" t="str">
        <f>IFERROR(__xludf.DUMMYFUNCTION("""COMPUTED_VALUE"""),"Pharma")</f>
        <v>Pharma</v>
      </c>
      <c r="L6" s="36" t="str">
        <f>IFERROR(__xludf.DUMMYFUNCTION("""COMPUTED_VALUE"""),"SUNPHARMA")</f>
        <v>SUNPHARMA</v>
      </c>
      <c r="M6" s="49" t="str">
        <f>IFERROR(__xludf.DUMMYFUNCTION("""COMPUTED_VALUE"""),"No")</f>
        <v>No</v>
      </c>
      <c r="N6" s="49" t="str">
        <f>IFERROR(__xludf.DUMMYFUNCTION("""COMPUTED_VALUE"""),"No")</f>
        <v>No</v>
      </c>
      <c r="O6" s="36" t="str">
        <f>IFERROR(__xludf.DUMMYFUNCTION("""COMPUTED_VALUE"""),"Good Stock")</f>
        <v>Good Stock</v>
      </c>
      <c r="P6" s="36" t="str">
        <f>IFERROR(__xludf.DUMMYFUNCTION("""COMPUTED_VALUE"""),"Low Cap")</f>
        <v>Low Cap</v>
      </c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</row>
    <row r="7">
      <c r="A7" s="36" t="str">
        <f>IFERROR(__xludf.DUMMYFUNCTION("""COMPUTED_VALUE"""),"Ultratech Cement")</f>
        <v>Ultratech Cement</v>
      </c>
      <c r="B7" s="51">
        <f>IFERROR(__xludf.DUMMYFUNCTION("""COMPUTED_VALUE"""),208975.8)</f>
        <v>208975.8</v>
      </c>
      <c r="C7" s="36">
        <f>IFERROR(__xludf.DUMMYFUNCTION("""COMPUTED_VALUE"""),7244.95)</f>
        <v>7244.95</v>
      </c>
      <c r="D7" s="36">
        <f>IFERROR(__xludf.DUMMYFUNCTION("""COMPUTED_VALUE"""),31.35)</f>
        <v>31.35</v>
      </c>
      <c r="E7" s="36">
        <f>IFERROR(__xludf.DUMMYFUNCTION("""COMPUTED_VALUE"""),7946.0)</f>
        <v>7946</v>
      </c>
      <c r="F7" s="35">
        <f>IFERROR(__xludf.DUMMYFUNCTION("""COMPUTED_VALUE"""),0.08822678077019887)</f>
        <v>0.08822678077</v>
      </c>
      <c r="G7" s="36">
        <f>IFERROR(__xludf.DUMMYFUNCTION("""COMPUTED_VALUE"""),5157.05)</f>
        <v>5157.05</v>
      </c>
      <c r="H7" s="35">
        <f>IFERROR(__xludf.DUMMYFUNCTION("""COMPUTED_VALUE"""),0.4048632454600982)</f>
        <v>0.4048632455</v>
      </c>
      <c r="I7" s="36">
        <f>IFERROR(__xludf.DUMMYFUNCTION("""COMPUTED_VALUE"""),7153.35)</f>
        <v>7153.35</v>
      </c>
      <c r="J7" s="35">
        <f>IFERROR(__xludf.DUMMYFUNCTION("""COMPUTED_VALUE"""),0.012805189177098764)</f>
        <v>0.01280518918</v>
      </c>
      <c r="K7" s="36" t="str">
        <f>IFERROR(__xludf.DUMMYFUNCTION("""COMPUTED_VALUE"""),"Cement")</f>
        <v>Cement</v>
      </c>
      <c r="L7" s="36" t="str">
        <f>IFERROR(__xludf.DUMMYFUNCTION("""COMPUTED_VALUE"""),"ULTRACEMCO")</f>
        <v>ULTRACEMCO</v>
      </c>
      <c r="M7" s="49" t="str">
        <f>IFERROR(__xludf.DUMMYFUNCTION("""COMPUTED_VALUE"""),"No")</f>
        <v>No</v>
      </c>
      <c r="N7" s="49" t="str">
        <f>IFERROR(__xludf.DUMMYFUNCTION("""COMPUTED_VALUE"""),"No")</f>
        <v>No</v>
      </c>
      <c r="O7" s="36" t="str">
        <f>IFERROR(__xludf.DUMMYFUNCTION("""COMPUTED_VALUE"""),"Good Stock")</f>
        <v>Good Stock</v>
      </c>
      <c r="P7" s="36" t="str">
        <f>IFERROR(__xludf.DUMMYFUNCTION("""COMPUTED_VALUE"""),"Low Cap")</f>
        <v>Low Cap</v>
      </c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</row>
    <row r="8">
      <c r="A8" s="36" t="str">
        <f>IFERROR(__xludf.DUMMYFUNCTION("""COMPUTED_VALUE"""),"M&amp;M")</f>
        <v>M&amp;M</v>
      </c>
      <c r="B8" s="51">
        <f>IFERROR(__xludf.DUMMYFUNCTION("""COMPUTED_VALUE"""),158785.3716893)</f>
        <v>158785.3717</v>
      </c>
      <c r="C8" s="36">
        <f>IFERROR(__xludf.DUMMYFUNCTION("""COMPUTED_VALUE"""),1327.55)</f>
        <v>1327.55</v>
      </c>
      <c r="D8" s="36">
        <f>IFERROR(__xludf.DUMMYFUNCTION("""COMPUTED_VALUE"""),16.12)</f>
        <v>16.12</v>
      </c>
      <c r="E8" s="36">
        <f>IFERROR(__xludf.DUMMYFUNCTION("""COMPUTED_VALUE"""),1366.55)</f>
        <v>1366.55</v>
      </c>
      <c r="F8" s="35">
        <f>IFERROR(__xludf.DUMMYFUNCTION("""COMPUTED_VALUE"""),0.028539021623797154)</f>
        <v>0.02853902162</v>
      </c>
      <c r="G8" s="36">
        <f>IFERROR(__xludf.DUMMYFUNCTION("""COMPUTED_VALUE"""),671.15)</f>
        <v>671.15</v>
      </c>
      <c r="H8" s="35">
        <f>IFERROR(__xludf.DUMMYFUNCTION("""COMPUTED_VALUE"""),0.9780227966922447)</f>
        <v>0.9780227967</v>
      </c>
      <c r="I8" s="36">
        <f>IFERROR(__xludf.DUMMYFUNCTION("""COMPUTED_VALUE"""),1319.9)</f>
        <v>1319.9</v>
      </c>
      <c r="J8" s="35">
        <f>IFERROR(__xludf.DUMMYFUNCTION("""COMPUTED_VALUE"""),0.005795893628305071)</f>
        <v>0.005795893628</v>
      </c>
      <c r="K8" s="36" t="str">
        <f>IFERROR(__xludf.DUMMYFUNCTION("""COMPUTED_VALUE"""),"Automobile")</f>
        <v>Automobile</v>
      </c>
      <c r="L8" s="36" t="str">
        <f>IFERROR(__xludf.DUMMYFUNCTION("""COMPUTED_VALUE"""),"M&amp;M")</f>
        <v>M&amp;M</v>
      </c>
      <c r="M8" s="49" t="str">
        <f>IFERROR(__xludf.DUMMYFUNCTION("""COMPUTED_VALUE"""),"No")</f>
        <v>No</v>
      </c>
      <c r="N8" s="49" t="str">
        <f>IFERROR(__xludf.DUMMYFUNCTION("""COMPUTED_VALUE"""),"No")</f>
        <v>No</v>
      </c>
      <c r="O8" s="36" t="str">
        <f>IFERROR(__xludf.DUMMYFUNCTION("""COMPUTED_VALUE"""),"Good Stock")</f>
        <v>Good Stock</v>
      </c>
      <c r="P8" s="36" t="str">
        <f>IFERROR(__xludf.DUMMYFUNCTION("""COMPUTED_VALUE"""),"Low Cap")</f>
        <v>Low Cap</v>
      </c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</row>
    <row r="9">
      <c r="A9" s="36" t="str">
        <f>IFERROR(__xludf.DUMMYFUNCTION("""COMPUTED_VALUE"""),"Tata Steel")</f>
        <v>Tata Steel</v>
      </c>
      <c r="B9" s="51">
        <f>IFERROR(__xludf.DUMMYFUNCTION("""COMPUTED_VALUE"""),147293.6037181)</f>
        <v>147293.6037</v>
      </c>
      <c r="C9" s="36">
        <f>IFERROR(__xludf.DUMMYFUNCTION("""COMPUTED_VALUE"""),120.45)</f>
        <v>120.45</v>
      </c>
      <c r="D9" s="36">
        <f>IFERROR(__xludf.DUMMYFUNCTION("""COMPUTED_VALUE"""),5.13)</f>
        <v>5.13</v>
      </c>
      <c r="E9" s="36">
        <f>IFERROR(__xludf.DUMMYFUNCTION("""COMPUTED_VALUE"""),138.63)</f>
        <v>138.63</v>
      </c>
      <c r="F9" s="35">
        <f>IFERROR(__xludf.DUMMYFUNCTION("""COMPUTED_VALUE"""),0.1311404457909543)</f>
        <v>0.1311404458</v>
      </c>
      <c r="G9" s="36">
        <f>IFERROR(__xludf.DUMMYFUNCTION("""COMPUTED_VALUE"""),82.71)</f>
        <v>82.71</v>
      </c>
      <c r="H9" s="35">
        <f>IFERROR(__xludf.DUMMYFUNCTION("""COMPUTED_VALUE"""),0.45629307217990583)</f>
        <v>0.4562930722</v>
      </c>
      <c r="I9" s="36">
        <f>IFERROR(__xludf.DUMMYFUNCTION("""COMPUTED_VALUE"""),118.05)</f>
        <v>118.05</v>
      </c>
      <c r="J9" s="35">
        <f>IFERROR(__xludf.DUMMYFUNCTION("""COMPUTED_VALUE"""),0.020330368487928893)</f>
        <v>0.02033036849</v>
      </c>
      <c r="K9" s="36" t="str">
        <f>IFERROR(__xludf.DUMMYFUNCTION("""COMPUTED_VALUE"""),"Infrastructure")</f>
        <v>Infrastructure</v>
      </c>
      <c r="L9" s="36" t="str">
        <f>IFERROR(__xludf.DUMMYFUNCTION("""COMPUTED_VALUE"""),"BOM:500470")</f>
        <v>BOM:500470</v>
      </c>
      <c r="M9" s="49" t="str">
        <f>IFERROR(__xludf.DUMMYFUNCTION("""COMPUTED_VALUE"""),"No")</f>
        <v>No</v>
      </c>
      <c r="N9" s="49" t="str">
        <f>IFERROR(__xludf.DUMMYFUNCTION("""COMPUTED_VALUE"""),"No")</f>
        <v>No</v>
      </c>
      <c r="O9" s="36" t="str">
        <f>IFERROR(__xludf.DUMMYFUNCTION("""COMPUTED_VALUE"""),"Good Stock")</f>
        <v>Good Stock</v>
      </c>
      <c r="P9" s="36" t="str">
        <f>IFERROR(__xludf.DUMMYFUNCTION("""COMPUTED_VALUE"""),"Low Cap")</f>
        <v>Low Cap</v>
      </c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</row>
    <row r="10">
      <c r="A10" s="36" t="str">
        <f>IFERROR(__xludf.DUMMYFUNCTION("""COMPUTED_VALUE"""),"Ambuja Cement")</f>
        <v>Ambuja Cement</v>
      </c>
      <c r="B10" s="51">
        <f>IFERROR(__xludf.DUMMYFUNCTION("""COMPUTED_VALUE"""),102995.3567038)</f>
        <v>102995.3567</v>
      </c>
      <c r="C10" s="36">
        <f>IFERROR(__xludf.DUMMYFUNCTION("""COMPUTED_VALUE"""),518.7)</f>
        <v>518.7</v>
      </c>
      <c r="D10" s="36">
        <f>IFERROR(__xludf.DUMMYFUNCTION("""COMPUTED_VALUE"""),57.36)</f>
        <v>57.36</v>
      </c>
      <c r="E10" s="36">
        <f>IFERROR(__xludf.DUMMYFUNCTION("""COMPUTED_VALUE"""),598.15)</f>
        <v>598.15</v>
      </c>
      <c r="F10" s="35">
        <f>IFERROR(__xludf.DUMMYFUNCTION("""COMPUTED_VALUE"""),0.13282621416032755)</f>
        <v>0.1328262142</v>
      </c>
      <c r="G10" s="36">
        <f>IFERROR(__xludf.DUMMYFUNCTION("""COMPUTED_VALUE"""),274.0)</f>
        <v>274</v>
      </c>
      <c r="H10" s="35">
        <f>IFERROR(__xludf.DUMMYFUNCTION("""COMPUTED_VALUE"""),0.8930656934306571)</f>
        <v>0.8930656934</v>
      </c>
      <c r="I10" s="36">
        <f>IFERROR(__xludf.DUMMYFUNCTION("""COMPUTED_VALUE"""),510.4)</f>
        <v>510.4</v>
      </c>
      <c r="J10" s="35">
        <f>IFERROR(__xludf.DUMMYFUNCTION("""COMPUTED_VALUE"""),0.01626175548589355)</f>
        <v>0.01626175549</v>
      </c>
      <c r="K10" s="36" t="str">
        <f>IFERROR(__xludf.DUMMYFUNCTION("""COMPUTED_VALUE"""),"Cement")</f>
        <v>Cement</v>
      </c>
      <c r="L10" s="36" t="str">
        <f>IFERROR(__xludf.DUMMYFUNCTION("""COMPUTED_VALUE"""),"BOM:500425")</f>
        <v>BOM:500425</v>
      </c>
      <c r="M10" s="49" t="str">
        <f>IFERROR(__xludf.DUMMYFUNCTION("""COMPUTED_VALUE"""),"No")</f>
        <v>No</v>
      </c>
      <c r="N10" s="49" t="str">
        <f>IFERROR(__xludf.DUMMYFUNCTION("""COMPUTED_VALUE"""),"No")</f>
        <v>No</v>
      </c>
      <c r="O10" s="36" t="str">
        <f>IFERROR(__xludf.DUMMYFUNCTION("""COMPUTED_VALUE"""),"Good Stock")</f>
        <v>Good Stock</v>
      </c>
      <c r="P10" s="36" t="str">
        <f>IFERROR(__xludf.DUMMYFUNCTION("""COMPUTED_VALUE"""),"Low Cap")</f>
        <v>Low Cap</v>
      </c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</row>
    <row r="11">
      <c r="A11" s="36" t="str">
        <f>IFERROR(__xludf.DUMMYFUNCTION("""COMPUTED_VALUE"""),"Bank of Baroda")</f>
        <v>Bank of Baroda</v>
      </c>
      <c r="B11" s="51">
        <f>IFERROR(__xludf.DUMMYFUNCTION("""COMPUTED_VALUE"""),95565.8761753)</f>
        <v>95565.87618</v>
      </c>
      <c r="C11" s="36">
        <f>IFERROR(__xludf.DUMMYFUNCTION("""COMPUTED_VALUE"""),184.9)</f>
        <v>184.9</v>
      </c>
      <c r="D11" s="36">
        <f>IFERROR(__xludf.DUMMYFUNCTION("""COMPUTED_VALUE"""),9.72)</f>
        <v>9.72</v>
      </c>
      <c r="E11" s="36">
        <f>IFERROR(__xludf.DUMMYFUNCTION("""COMPUTED_VALUE"""),197.2)</f>
        <v>197.2</v>
      </c>
      <c r="F11" s="35">
        <f>IFERROR(__xludf.DUMMYFUNCTION("""COMPUTED_VALUE"""),0.06237322515212974)</f>
        <v>0.06237322515</v>
      </c>
      <c r="G11" s="36">
        <f>IFERROR(__xludf.DUMMYFUNCTION("""COMPUTED_VALUE"""),89.9)</f>
        <v>89.9</v>
      </c>
      <c r="H11" s="35">
        <f>IFERROR(__xludf.DUMMYFUNCTION("""COMPUTED_VALUE"""),1.0567296996662958)</f>
        <v>1.0567297</v>
      </c>
      <c r="I11" s="36">
        <f>IFERROR(__xludf.DUMMYFUNCTION("""COMPUTED_VALUE"""),181.8)</f>
        <v>181.8</v>
      </c>
      <c r="J11" s="35">
        <f>IFERROR(__xludf.DUMMYFUNCTION("""COMPUTED_VALUE"""),0.01705170517051702)</f>
        <v>0.01705170517</v>
      </c>
      <c r="K11" s="36" t="str">
        <f>IFERROR(__xludf.DUMMYFUNCTION("""COMPUTED_VALUE"""),"Bank")</f>
        <v>Bank</v>
      </c>
      <c r="L11" s="36" t="str">
        <f>IFERROR(__xludf.DUMMYFUNCTION("""COMPUTED_VALUE"""),"BOM:532134")</f>
        <v>BOM:532134</v>
      </c>
      <c r="M11" s="49" t="str">
        <f>IFERROR(__xludf.DUMMYFUNCTION("""COMPUTED_VALUE"""),"No")</f>
        <v>No</v>
      </c>
      <c r="N11" s="49" t="str">
        <f>IFERROR(__xludf.DUMMYFUNCTION("""COMPUTED_VALUE"""),"No")</f>
        <v>No</v>
      </c>
      <c r="O11" s="36" t="str">
        <f>IFERROR(__xludf.DUMMYFUNCTION("""COMPUTED_VALUE"""),"Good Stock")</f>
        <v>Good Stock</v>
      </c>
      <c r="P11" s="36" t="str">
        <f>IFERROR(__xludf.DUMMYFUNCTION("""COMPUTED_VALUE"""),"Low Cap")</f>
        <v>Low Cap</v>
      </c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>
      <c r="A12" s="36" t="str">
        <f>IFERROR(__xludf.DUMMYFUNCTION("""COMPUTED_VALUE"""),"Godrej Consumer")</f>
        <v>Godrej Consumer</v>
      </c>
      <c r="B12" s="51">
        <f>IFERROR(__xludf.DUMMYFUNCTION("""COMPUTED_VALUE"""),93678.862)</f>
        <v>93678.862</v>
      </c>
      <c r="C12" s="36">
        <f>IFERROR(__xludf.DUMMYFUNCTION("""COMPUTED_VALUE"""),916.75)</f>
        <v>916.75</v>
      </c>
      <c r="D12" s="36">
        <f>IFERROR(__xludf.DUMMYFUNCTION("""COMPUTED_VALUE"""),58.81)</f>
        <v>58.81</v>
      </c>
      <c r="E12" s="36">
        <f>IFERROR(__xludf.DUMMYFUNCTION("""COMPUTED_VALUE"""),955.65)</f>
        <v>955.65</v>
      </c>
      <c r="F12" s="35">
        <f>IFERROR(__xludf.DUMMYFUNCTION("""COMPUTED_VALUE"""),0.04070527912938835)</f>
        <v>0.04070527913</v>
      </c>
      <c r="G12" s="36">
        <f>IFERROR(__xludf.DUMMYFUNCTION("""COMPUTED_VALUE"""),660.2)</f>
        <v>660.2</v>
      </c>
      <c r="H12" s="35">
        <f>IFERROR(__xludf.DUMMYFUNCTION("""COMPUTED_VALUE"""),0.3885943653438351)</f>
        <v>0.3885943653</v>
      </c>
      <c r="I12" s="36">
        <f>IFERROR(__xludf.DUMMYFUNCTION("""COMPUTED_VALUE"""),914.9)</f>
        <v>914.9</v>
      </c>
      <c r="J12" s="35">
        <f>IFERROR(__xludf.DUMMYFUNCTION("""COMPUTED_VALUE"""),0.00202207891572852)</f>
        <v>0.002022078916</v>
      </c>
      <c r="K12" s="36" t="str">
        <f>IFERROR(__xludf.DUMMYFUNCTION("""COMPUTED_VALUE"""),"FMCG")</f>
        <v>FMCG</v>
      </c>
      <c r="L12" s="36" t="str">
        <f>IFERROR(__xludf.DUMMYFUNCTION("""COMPUTED_VALUE"""),"BOM:532424")</f>
        <v>BOM:532424</v>
      </c>
      <c r="M12" s="49" t="str">
        <f>IFERROR(__xludf.DUMMYFUNCTION("""COMPUTED_VALUE"""),"No")</f>
        <v>No</v>
      </c>
      <c r="N12" s="49" t="str">
        <f>IFERROR(__xludf.DUMMYFUNCTION("""COMPUTED_VALUE"""),"No")</f>
        <v>No</v>
      </c>
      <c r="O12" s="36" t="str">
        <f>IFERROR(__xludf.DUMMYFUNCTION("""COMPUTED_VALUE"""),"Good Stock")</f>
        <v>Good Stock</v>
      </c>
      <c r="P12" s="36" t="str">
        <f>IFERROR(__xludf.DUMMYFUNCTION("""COMPUTED_VALUE"""),"Low Cap")</f>
        <v>Low Cap</v>
      </c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</row>
    <row r="13">
      <c r="A13" s="36" t="str">
        <f>IFERROR(__xludf.DUMMYFUNCTION("""COMPUTED_VALUE"""),"Shree Cement")</f>
        <v>Shree Cement</v>
      </c>
      <c r="B13" s="51">
        <f>IFERROR(__xludf.DUMMYFUNCTION("""COMPUTED_VALUE"""),87098.03)</f>
        <v>87098.03</v>
      </c>
      <c r="C13" s="36">
        <f>IFERROR(__xludf.DUMMYFUNCTION("""COMPUTED_VALUE"""),24025.0)</f>
        <v>24025</v>
      </c>
      <c r="D13" s="36">
        <f>IFERROR(__xludf.DUMMYFUNCTION("""COMPUTED_VALUE"""),54.11)</f>
        <v>54.11</v>
      </c>
      <c r="E13" s="36">
        <f>IFERROR(__xludf.DUMMYFUNCTION("""COMPUTED_VALUE"""),27936.75)</f>
        <v>27936.75</v>
      </c>
      <c r="F13" s="35">
        <f>IFERROR(__xludf.DUMMYFUNCTION("""COMPUTED_VALUE"""),0.14002165606235514)</f>
        <v>0.1400216561</v>
      </c>
      <c r="G13" s="36">
        <f>IFERROR(__xludf.DUMMYFUNCTION("""COMPUTED_VALUE"""),17865.2)</f>
        <v>17865.2</v>
      </c>
      <c r="H13" s="35">
        <f>IFERROR(__xludf.DUMMYFUNCTION("""COMPUTED_VALUE"""),0.34479322929494205)</f>
        <v>0.3447932293</v>
      </c>
      <c r="I13" s="36">
        <f>IFERROR(__xludf.DUMMYFUNCTION("""COMPUTED_VALUE"""),23854.85)</f>
        <v>23854.85</v>
      </c>
      <c r="J13" s="35">
        <f>IFERROR(__xludf.DUMMYFUNCTION("""COMPUTED_VALUE"""),0.007132721438198163)</f>
        <v>0.007132721438</v>
      </c>
      <c r="K13" s="36" t="str">
        <f>IFERROR(__xludf.DUMMYFUNCTION("""COMPUTED_VALUE"""),"Cement")</f>
        <v>Cement</v>
      </c>
      <c r="L13" s="36" t="str">
        <f>IFERROR(__xludf.DUMMYFUNCTION("""COMPUTED_VALUE"""),"SHREECEM")</f>
        <v>SHREECEM</v>
      </c>
      <c r="M13" s="49" t="str">
        <f>IFERROR(__xludf.DUMMYFUNCTION("""COMPUTED_VALUE"""),"No")</f>
        <v>No</v>
      </c>
      <c r="N13" s="49" t="str">
        <f>IFERROR(__xludf.DUMMYFUNCTION("""COMPUTED_VALUE"""),"No")</f>
        <v>No</v>
      </c>
      <c r="O13" s="36" t="str">
        <f>IFERROR(__xludf.DUMMYFUNCTION("""COMPUTED_VALUE"""),"Good Stock")</f>
        <v>Good Stock</v>
      </c>
      <c r="P13" s="36" t="str">
        <f>IFERROR(__xludf.DUMMYFUNCTION("""COMPUTED_VALUE"""),"Low Cap")</f>
        <v>Low Cap</v>
      </c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</row>
    <row r="14">
      <c r="A14" s="36" t="str">
        <f>IFERROR(__xludf.DUMMYFUNCTION("""COMPUTED_VALUE"""),"Eicher Motor")</f>
        <v>Eicher Motor</v>
      </c>
      <c r="B14" s="51">
        <f>IFERROR(__xludf.DUMMYFUNCTION("""COMPUTED_VALUE"""),86543.2296232)</f>
        <v>86543.22962</v>
      </c>
      <c r="C14" s="36">
        <f>IFERROR(__xludf.DUMMYFUNCTION("""COMPUTED_VALUE"""),3164.9)</f>
        <v>3164.9</v>
      </c>
      <c r="D14" s="36">
        <f>IFERROR(__xludf.DUMMYFUNCTION("""COMPUTED_VALUE"""),37.12)</f>
        <v>37.12</v>
      </c>
      <c r="E14" s="36">
        <f>IFERROR(__xludf.DUMMYFUNCTION("""COMPUTED_VALUE"""),3889.65)</f>
        <v>3889.65</v>
      </c>
      <c r="F14" s="35">
        <f>IFERROR(__xludf.DUMMYFUNCTION("""COMPUTED_VALUE"""),0.18632781869834047)</f>
        <v>0.1863278187</v>
      </c>
      <c r="G14" s="36">
        <f>IFERROR(__xludf.DUMMYFUNCTION("""COMPUTED_VALUE"""),2159.55)</f>
        <v>2159.55</v>
      </c>
      <c r="H14" s="35">
        <f>IFERROR(__xludf.DUMMYFUNCTION("""COMPUTED_VALUE"""),0.4655368016484915)</f>
        <v>0.4655368016</v>
      </c>
      <c r="I14" s="36">
        <f>IFERROR(__xludf.DUMMYFUNCTION("""COMPUTED_VALUE"""),3103.25)</f>
        <v>3103.25</v>
      </c>
      <c r="J14" s="35">
        <f>IFERROR(__xludf.DUMMYFUNCTION("""COMPUTED_VALUE"""),0.019866269233867747)</f>
        <v>0.01986626923</v>
      </c>
      <c r="K14" s="36" t="str">
        <f>IFERROR(__xludf.DUMMYFUNCTION("""COMPUTED_VALUE"""),"Automobile")</f>
        <v>Automobile</v>
      </c>
      <c r="L14" s="36" t="str">
        <f>IFERROR(__xludf.DUMMYFUNCTION("""COMPUTED_VALUE"""),"EICHERMOT")</f>
        <v>EICHERMOT</v>
      </c>
      <c r="M14" s="49" t="str">
        <f>IFERROR(__xludf.DUMMYFUNCTION("""COMPUTED_VALUE"""),"No")</f>
        <v>No</v>
      </c>
      <c r="N14" s="49" t="str">
        <f>IFERROR(__xludf.DUMMYFUNCTION("""COMPUTED_VALUE"""),"No")</f>
        <v>No</v>
      </c>
      <c r="O14" s="36" t="str">
        <f>IFERROR(__xludf.DUMMYFUNCTION("""COMPUTED_VALUE"""),"Good Stock")</f>
        <v>Good Stock</v>
      </c>
      <c r="P14" s="36" t="str">
        <f>IFERROR(__xludf.DUMMYFUNCTION("""COMPUTED_VALUE"""),"Low Cap")</f>
        <v>Low Cap</v>
      </c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</row>
    <row r="15">
      <c r="A15" s="36" t="str">
        <f>IFERROR(__xludf.DUMMYFUNCTION("""COMPUTED_VALUE"""),"Varun Beverage")</f>
        <v>Varun Beverage</v>
      </c>
      <c r="B15" s="51">
        <f>IFERROR(__xludf.DUMMYFUNCTION("""COMPUTED_VALUE"""),73698.477067)</f>
        <v>73698.47707</v>
      </c>
      <c r="C15" s="36">
        <f>IFERROR(__xludf.DUMMYFUNCTION("""COMPUTED_VALUE"""),1134.8)</f>
        <v>1134.8</v>
      </c>
      <c r="D15" s="36">
        <f>IFERROR(__xludf.DUMMYFUNCTION("""COMPUTED_VALUE"""),51.22)</f>
        <v>51.22</v>
      </c>
      <c r="E15" s="36">
        <f>IFERROR(__xludf.DUMMYFUNCTION("""COMPUTED_VALUE"""),1432.05)</f>
        <v>1432.05</v>
      </c>
      <c r="F15" s="35">
        <f>IFERROR(__xludf.DUMMYFUNCTION("""COMPUTED_VALUE"""),0.20756956810167243)</f>
        <v>0.2075695681</v>
      </c>
      <c r="G15" s="36">
        <f>IFERROR(__xludf.DUMMYFUNCTION("""COMPUTED_VALUE"""),557.23)</f>
        <v>557.23</v>
      </c>
      <c r="H15" s="35">
        <f>IFERROR(__xludf.DUMMYFUNCTION("""COMPUTED_VALUE"""),1.036501983023168)</f>
        <v>1.036501983</v>
      </c>
      <c r="I15" s="36">
        <f>IFERROR(__xludf.DUMMYFUNCTION("""COMPUTED_VALUE"""),1187.3)</f>
        <v>1187.3</v>
      </c>
      <c r="J15" s="35">
        <f>IFERROR(__xludf.DUMMYFUNCTION("""COMPUTED_VALUE"""),-0.04421797355344058)</f>
        <v>-0.04421797355</v>
      </c>
      <c r="K15" s="36" t="str">
        <f>IFERROR(__xludf.DUMMYFUNCTION("""COMPUTED_VALUE"""),"Food")</f>
        <v>Food</v>
      </c>
      <c r="L15" s="36" t="str">
        <f>IFERROR(__xludf.DUMMYFUNCTION("""COMPUTED_VALUE"""),"BOM:540180")</f>
        <v>BOM:540180</v>
      </c>
      <c r="M15" s="49" t="str">
        <f>IFERROR(__xludf.DUMMYFUNCTION("""COMPUTED_VALUE"""),"No")</f>
        <v>No</v>
      </c>
      <c r="N15" s="49" t="str">
        <f>IFERROR(__xludf.DUMMYFUNCTION("""COMPUTED_VALUE"""),"No")</f>
        <v>No</v>
      </c>
      <c r="O15" s="36" t="str">
        <f>IFERROR(__xludf.DUMMYFUNCTION("""COMPUTED_VALUE"""),"Good Stock")</f>
        <v>Good Stock</v>
      </c>
      <c r="P15" s="36" t="str">
        <f>IFERROR(__xludf.DUMMYFUNCTION("""COMPUTED_VALUE"""),"Low Cap")</f>
        <v>Low Cap</v>
      </c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</row>
    <row r="16">
      <c r="A16" s="36" t="str">
        <f>IFERROR(__xludf.DUMMYFUNCTION("""COMPUTED_VALUE"""),"Yesbank")</f>
        <v>Yesbank</v>
      </c>
      <c r="B16" s="51">
        <f>IFERROR(__xludf.DUMMYFUNCTION("""COMPUTED_VALUE"""),57937.9387031)</f>
        <v>57937.9387</v>
      </c>
      <c r="C16" s="36">
        <f>IFERROR(__xludf.DUMMYFUNCTION("""COMPUTED_VALUE"""),20.15)</f>
        <v>20.15</v>
      </c>
      <c r="D16" s="36">
        <f>IFERROR(__xludf.DUMMYFUNCTION("""COMPUTED_VALUE"""),45.52)</f>
        <v>45.52</v>
      </c>
      <c r="E16" s="36">
        <f>IFERROR(__xludf.DUMMYFUNCTION("""COMPUTED_VALUE"""),24.75)</f>
        <v>24.75</v>
      </c>
      <c r="F16" s="35">
        <f>IFERROR(__xludf.DUMMYFUNCTION("""COMPUTED_VALUE"""),0.18585858585858592)</f>
        <v>0.1858585859</v>
      </c>
      <c r="G16" s="36">
        <f>IFERROR(__xludf.DUMMYFUNCTION("""COMPUTED_VALUE"""),12.11)</f>
        <v>12.11</v>
      </c>
      <c r="H16" s="35">
        <f>IFERROR(__xludf.DUMMYFUNCTION("""COMPUTED_VALUE"""),0.6639141205615193)</f>
        <v>0.6639141206</v>
      </c>
      <c r="I16" s="36">
        <f>IFERROR(__xludf.DUMMYFUNCTION("""COMPUTED_VALUE"""),19.9)</f>
        <v>19.9</v>
      </c>
      <c r="J16" s="35">
        <f>IFERROR(__xludf.DUMMYFUNCTION("""COMPUTED_VALUE"""),0.01256281407035176)</f>
        <v>0.01256281407</v>
      </c>
      <c r="K16" s="36" t="str">
        <f>IFERROR(__xludf.DUMMYFUNCTION("""COMPUTED_VALUE"""),"Bank")</f>
        <v>Bank</v>
      </c>
      <c r="L16" s="36" t="str">
        <f>IFERROR(__xludf.DUMMYFUNCTION("""COMPUTED_VALUE"""),"BOM:532648")</f>
        <v>BOM:532648</v>
      </c>
      <c r="M16" s="49" t="str">
        <f>IFERROR(__xludf.DUMMYFUNCTION("""COMPUTED_VALUE"""),"No")</f>
        <v>No</v>
      </c>
      <c r="N16" s="49" t="str">
        <f>IFERROR(__xludf.DUMMYFUNCTION("""COMPUTED_VALUE"""),"No")</f>
        <v>No</v>
      </c>
      <c r="O16" s="36" t="str">
        <f>IFERROR(__xludf.DUMMYFUNCTION("""COMPUTED_VALUE"""),"Good Stock")</f>
        <v>Good Stock</v>
      </c>
      <c r="P16" s="36" t="str">
        <f>IFERROR(__xludf.DUMMYFUNCTION("""COMPUTED_VALUE"""),"Low Cap")</f>
        <v>Low Cap</v>
      </c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</row>
    <row r="17">
      <c r="A17" s="36" t="str">
        <f>IFERROR(__xludf.DUMMYFUNCTION("""COMPUTED_VALUE"""),"PI industries")</f>
        <v>PI industries</v>
      </c>
      <c r="B17" s="51">
        <f>IFERROR(__xludf.DUMMYFUNCTION("""COMPUTED_VALUE"""),49475.63474)</f>
        <v>49475.63474</v>
      </c>
      <c r="C17" s="36">
        <f>IFERROR(__xludf.DUMMYFUNCTION("""COMPUTED_VALUE"""),3262.0)</f>
        <v>3262</v>
      </c>
      <c r="D17" s="36">
        <f>IFERROR(__xludf.DUMMYFUNCTION("""COMPUTED_VALUE"""),48.33)</f>
        <v>48.33</v>
      </c>
      <c r="E17" s="36">
        <f>IFERROR(__xludf.DUMMYFUNCTION("""COMPUTED_VALUE"""),3698.45)</f>
        <v>3698.45</v>
      </c>
      <c r="F17" s="35">
        <f>IFERROR(__xludf.DUMMYFUNCTION("""COMPUTED_VALUE"""),0.11800889561843471)</f>
        <v>0.1180088956</v>
      </c>
      <c r="G17" s="36">
        <f>IFERROR(__xludf.DUMMYFUNCTION("""COMPUTED_VALUE"""),2333.55)</f>
        <v>2333.55</v>
      </c>
      <c r="H17" s="35">
        <f>IFERROR(__xludf.DUMMYFUNCTION("""COMPUTED_VALUE"""),0.39787019776735005)</f>
        <v>0.3978701978</v>
      </c>
      <c r="I17" s="36">
        <f>IFERROR(__xludf.DUMMYFUNCTION("""COMPUTED_VALUE"""),3292.65)</f>
        <v>3292.65</v>
      </c>
      <c r="J17" s="35">
        <f>IFERROR(__xludf.DUMMYFUNCTION("""COMPUTED_VALUE"""),-0.009308611604634592)</f>
        <v>-0.009308611605</v>
      </c>
      <c r="K17" s="36" t="str">
        <f>IFERROR(__xludf.DUMMYFUNCTION("""COMPUTED_VALUE"""),"Agrochemical")</f>
        <v>Agrochemical</v>
      </c>
      <c r="L17" s="36" t="str">
        <f>IFERROR(__xludf.DUMMYFUNCTION("""COMPUTED_VALUE"""),"PIIND")</f>
        <v>PIIND</v>
      </c>
      <c r="M17" s="49" t="str">
        <f>IFERROR(__xludf.DUMMYFUNCTION("""COMPUTED_VALUE"""),"No")</f>
        <v>No</v>
      </c>
      <c r="N17" s="49" t="str">
        <f>IFERROR(__xludf.DUMMYFUNCTION("""COMPUTED_VALUE"""),"No")</f>
        <v>No</v>
      </c>
      <c r="O17" s="36" t="str">
        <f>IFERROR(__xludf.DUMMYFUNCTION("""COMPUTED_VALUE"""),"Good Stock")</f>
        <v>Good Stock</v>
      </c>
      <c r="P17" s="36" t="str">
        <f>IFERROR(__xludf.DUMMYFUNCTION("""COMPUTED_VALUE"""),"Low Cap")</f>
        <v>Low Cap</v>
      </c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</row>
    <row r="18">
      <c r="A18" s="36" t="str">
        <f>IFERROR(__xludf.DUMMYFUNCTION("""COMPUTED_VALUE"""),"TVS")</f>
        <v>TVS</v>
      </c>
      <c r="B18" s="51">
        <f>IFERROR(__xludf.DUMMYFUNCTION("""COMPUTED_VALUE"""),47610.86)</f>
        <v>47610.86</v>
      </c>
      <c r="C18" s="36">
        <f>IFERROR(__xludf.DUMMYFUNCTION("""COMPUTED_VALUE"""),999.5)</f>
        <v>999.5</v>
      </c>
      <c r="D18" s="36">
        <f>IFERROR(__xludf.DUMMYFUNCTION("""COMPUTED_VALUE"""),39.03)</f>
        <v>39.03</v>
      </c>
      <c r="E18" s="36">
        <f>IFERROR(__xludf.DUMMYFUNCTION("""COMPUTED_VALUE"""),1177.0)</f>
        <v>1177</v>
      </c>
      <c r="F18" s="35">
        <f>IFERROR(__xludf.DUMMYFUNCTION("""COMPUTED_VALUE"""),0.1508071367884452)</f>
        <v>0.1508071368</v>
      </c>
      <c r="G18" s="36">
        <f>IFERROR(__xludf.DUMMYFUNCTION("""COMPUTED_VALUE"""),513.0)</f>
        <v>513</v>
      </c>
      <c r="H18" s="35">
        <f>IFERROR(__xludf.DUMMYFUNCTION("""COMPUTED_VALUE"""),0.9483430799220273)</f>
        <v>0.9483430799</v>
      </c>
      <c r="I18" s="36">
        <f>IFERROR(__xludf.DUMMYFUNCTION("""COMPUTED_VALUE"""),1005.2)</f>
        <v>1005.2</v>
      </c>
      <c r="J18" s="35">
        <f>IFERROR(__xludf.DUMMYFUNCTION("""COMPUTED_VALUE"""),-0.005670513330680507)</f>
        <v>-0.005670513331</v>
      </c>
      <c r="K18" s="36" t="str">
        <f>IFERROR(__xludf.DUMMYFUNCTION("""COMPUTED_VALUE"""),"Automobile")</f>
        <v>Automobile</v>
      </c>
      <c r="L18" s="36" t="str">
        <f>IFERROR(__xludf.DUMMYFUNCTION("""COMPUTED_VALUE"""),"BOM:532343")</f>
        <v>BOM:532343</v>
      </c>
      <c r="M18" s="49" t="str">
        <f>IFERROR(__xludf.DUMMYFUNCTION("""COMPUTED_VALUE"""),"No")</f>
        <v>No</v>
      </c>
      <c r="N18" s="49" t="str">
        <f>IFERROR(__xludf.DUMMYFUNCTION("""COMPUTED_VALUE"""),"No")</f>
        <v>No</v>
      </c>
      <c r="O18" s="36" t="str">
        <f>IFERROR(__xludf.DUMMYFUNCTION("""COMPUTED_VALUE"""),"Good Stock")</f>
        <v>Good Stock</v>
      </c>
      <c r="P18" s="36" t="str">
        <f>IFERROR(__xludf.DUMMYFUNCTION("""COMPUTED_VALUE"""),"Low Cap")</f>
        <v>Low Cap</v>
      </c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</row>
    <row r="19">
      <c r="A19" s="36" t="str">
        <f>IFERROR(__xludf.DUMMYFUNCTION("""COMPUTED_VALUE"""),"Abbott India")</f>
        <v>Abbott India</v>
      </c>
      <c r="B19" s="51">
        <f>IFERROR(__xludf.DUMMYFUNCTION("""COMPUTED_VALUE"""),47348.12)</f>
        <v>47348.12</v>
      </c>
      <c r="C19" s="36">
        <f>IFERROR(__xludf.DUMMYFUNCTION("""COMPUTED_VALUE"""),22241.0)</f>
        <v>22241</v>
      </c>
      <c r="D19" s="36">
        <f>IFERROR(__xludf.DUMMYFUNCTION("""COMPUTED_VALUE"""),53.6)</f>
        <v>53.6</v>
      </c>
      <c r="E19" s="36">
        <f>IFERROR(__xludf.DUMMYFUNCTION("""COMPUTED_VALUE"""),22499.0)</f>
        <v>22499</v>
      </c>
      <c r="F19" s="35">
        <f>IFERROR(__xludf.DUMMYFUNCTION("""COMPUTED_VALUE"""),0.011467176318947508)</f>
        <v>0.01146717632</v>
      </c>
      <c r="G19" s="36">
        <f>IFERROR(__xludf.DUMMYFUNCTION("""COMPUTED_VALUE"""),15514.0)</f>
        <v>15514</v>
      </c>
      <c r="H19" s="35">
        <f>IFERROR(__xludf.DUMMYFUNCTION("""COMPUTED_VALUE"""),0.4336083537450045)</f>
        <v>0.4336083537</v>
      </c>
      <c r="I19" s="36">
        <f>IFERROR(__xludf.DUMMYFUNCTION("""COMPUTED_VALUE"""),22162.55)</f>
        <v>22162.55</v>
      </c>
      <c r="J19" s="35">
        <f>IFERROR(__xludf.DUMMYFUNCTION("""COMPUTED_VALUE"""),0.0035397551274560343)</f>
        <v>0.003539755127</v>
      </c>
      <c r="K19" s="36" t="str">
        <f>IFERROR(__xludf.DUMMYFUNCTION("""COMPUTED_VALUE"""),"Pharma")</f>
        <v>Pharma</v>
      </c>
      <c r="L19" s="36" t="str">
        <f>IFERROR(__xludf.DUMMYFUNCTION("""COMPUTED_VALUE"""),"ABBOTINDIA")</f>
        <v>ABBOTINDIA</v>
      </c>
      <c r="M19" s="49" t="str">
        <f>IFERROR(__xludf.DUMMYFUNCTION("""COMPUTED_VALUE"""),"No")</f>
        <v>No</v>
      </c>
      <c r="N19" s="49" t="str">
        <f>IFERROR(__xludf.DUMMYFUNCTION("""COMPUTED_VALUE"""),"No")</f>
        <v>No</v>
      </c>
      <c r="O19" s="36" t="str">
        <f>IFERROR(__xludf.DUMMYFUNCTION("""COMPUTED_VALUE"""),"Good Stock")</f>
        <v>Good Stock</v>
      </c>
      <c r="P19" s="36" t="str">
        <f>IFERROR(__xludf.DUMMYFUNCTION("""COMPUTED_VALUE"""),"Low Cap")</f>
        <v>Low Cap</v>
      </c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</row>
    <row r="20">
      <c r="A20" s="36" t="str">
        <f>IFERROR(__xludf.DUMMYFUNCTION("""COMPUTED_VALUE"""),"Balkrishna Industries")</f>
        <v>Balkrishna Industries</v>
      </c>
      <c r="B20" s="51">
        <f>IFERROR(__xludf.DUMMYFUNCTION("""COMPUTED_VALUE"""),43195.8704177)</f>
        <v>43195.87042</v>
      </c>
      <c r="C20" s="36">
        <f>IFERROR(__xludf.DUMMYFUNCTION("""COMPUTED_VALUE"""),2229.0)</f>
        <v>2229</v>
      </c>
      <c r="D20" s="36">
        <f>IFERROR(__xludf.DUMMYFUNCTION("""COMPUTED_VALUE"""),30.72)</f>
        <v>30.72</v>
      </c>
      <c r="E20" s="36">
        <f>IFERROR(__xludf.DUMMYFUNCTION("""COMPUTED_VALUE"""),2537.45)</f>
        <v>2537.45</v>
      </c>
      <c r="F20" s="35">
        <f>IFERROR(__xludf.DUMMYFUNCTION("""COMPUTED_VALUE"""),0.12155904549843341)</f>
        <v>0.1215590455</v>
      </c>
      <c r="G20" s="36">
        <f>IFERROR(__xludf.DUMMYFUNCTION("""COMPUTED_VALUE"""),1690.55)</f>
        <v>1690.55</v>
      </c>
      <c r="H20" s="35">
        <f>IFERROR(__xludf.DUMMYFUNCTION("""COMPUTED_VALUE"""),0.31850581171807996)</f>
        <v>0.3185058117</v>
      </c>
      <c r="I20" s="36">
        <f>IFERROR(__xludf.DUMMYFUNCTION("""COMPUTED_VALUE"""),2214.25)</f>
        <v>2214.25</v>
      </c>
      <c r="J20" s="35">
        <f>IFERROR(__xludf.DUMMYFUNCTION("""COMPUTED_VALUE"""),0.0066613977644800725)</f>
        <v>0.006661397764</v>
      </c>
      <c r="K20" s="36" t="str">
        <f>IFERROR(__xludf.DUMMYFUNCTION("""COMPUTED_VALUE"""),"Tyre")</f>
        <v>Tyre</v>
      </c>
      <c r="L20" s="36" t="str">
        <f>IFERROR(__xludf.DUMMYFUNCTION("""COMPUTED_VALUE"""),"BALKRISIND")</f>
        <v>BALKRISIND</v>
      </c>
      <c r="M20" s="49" t="str">
        <f>IFERROR(__xludf.DUMMYFUNCTION("""COMPUTED_VALUE"""),"No")</f>
        <v>No</v>
      </c>
      <c r="N20" s="49" t="str">
        <f>IFERROR(__xludf.DUMMYFUNCTION("""COMPUTED_VALUE"""),"No")</f>
        <v>No</v>
      </c>
      <c r="O20" s="36" t="str">
        <f>IFERROR(__xludf.DUMMYFUNCTION("""COMPUTED_VALUE"""),"Good Stock")</f>
        <v>Good Stock</v>
      </c>
      <c r="P20" s="36" t="str">
        <f>IFERROR(__xludf.DUMMYFUNCTION("""COMPUTED_VALUE"""),"Low Cap")</f>
        <v>Low Cap</v>
      </c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</row>
    <row r="21">
      <c r="A21" s="36" t="str">
        <f>IFERROR(__xludf.DUMMYFUNCTION("""COMPUTED_VALUE"""),"Polycab")</f>
        <v>Polycab</v>
      </c>
      <c r="B21" s="51">
        <f>IFERROR(__xludf.DUMMYFUNCTION("""COMPUTED_VALUE"""),39945.4022299)</f>
        <v>39945.40223</v>
      </c>
      <c r="C21" s="36">
        <f>IFERROR(__xludf.DUMMYFUNCTION("""COMPUTED_VALUE"""),2662.0)</f>
        <v>2662</v>
      </c>
      <c r="D21" s="36">
        <f>IFERROR(__xludf.DUMMYFUNCTION("""COMPUTED_VALUE"""),35.5)</f>
        <v>35.5</v>
      </c>
      <c r="E21" s="36">
        <f>IFERROR(__xludf.DUMMYFUNCTION("""COMPUTED_VALUE"""),3025.0)</f>
        <v>3025</v>
      </c>
      <c r="F21" s="35">
        <f>IFERROR(__xludf.DUMMYFUNCTION("""COMPUTED_VALUE"""),0.12)</f>
        <v>0.12</v>
      </c>
      <c r="G21" s="36">
        <f>IFERROR(__xludf.DUMMYFUNCTION("""COMPUTED_VALUE"""),2043.85)</f>
        <v>2043.85</v>
      </c>
      <c r="H21" s="35">
        <f>IFERROR(__xludf.DUMMYFUNCTION("""COMPUTED_VALUE"""),0.3024439171172053)</f>
        <v>0.3024439171</v>
      </c>
      <c r="I21" s="36">
        <f>IFERROR(__xludf.DUMMYFUNCTION("""COMPUTED_VALUE"""),2677.05)</f>
        <v>2677.05</v>
      </c>
      <c r="J21" s="35">
        <f>IFERROR(__xludf.DUMMYFUNCTION("""COMPUTED_VALUE"""),-0.005621859883080324)</f>
        <v>-0.005621859883</v>
      </c>
      <c r="K21" s="36" t="str">
        <f>IFERROR(__xludf.DUMMYFUNCTION("""COMPUTED_VALUE"""),"Consumer Electrical")</f>
        <v>Consumer Electrical</v>
      </c>
      <c r="L21" s="36" t="str">
        <f>IFERROR(__xludf.DUMMYFUNCTION("""COMPUTED_VALUE"""),"POLYCAB")</f>
        <v>POLYCAB</v>
      </c>
      <c r="M21" s="49" t="str">
        <f>IFERROR(__xludf.DUMMYFUNCTION("""COMPUTED_VALUE"""),"No")</f>
        <v>No</v>
      </c>
      <c r="N21" s="49" t="str">
        <f>IFERROR(__xludf.DUMMYFUNCTION("""COMPUTED_VALUE"""),"No")</f>
        <v>No</v>
      </c>
      <c r="O21" s="36" t="str">
        <f>IFERROR(__xludf.DUMMYFUNCTION("""COMPUTED_VALUE"""),"Good Stock")</f>
        <v>Good Stock</v>
      </c>
      <c r="P21" s="36" t="str">
        <f>IFERROR(__xludf.DUMMYFUNCTION("""COMPUTED_VALUE"""),"Low Cap")</f>
        <v>Low Cap</v>
      </c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</row>
    <row r="22">
      <c r="A22" s="36" t="str">
        <f>IFERROR(__xludf.DUMMYFUNCTION("""COMPUTED_VALUE"""),"Solar Industries")</f>
        <v>Solar Industries</v>
      </c>
      <c r="B22" s="51">
        <f>IFERROR(__xludf.DUMMYFUNCTION("""COMPUTED_VALUE"""),38859.14)</f>
        <v>38859.14</v>
      </c>
      <c r="C22" s="36">
        <f>IFERROR(__xludf.DUMMYFUNCTION("""COMPUTED_VALUE"""),4338.0)</f>
        <v>4338</v>
      </c>
      <c r="D22" s="36">
        <f>IFERROR(__xludf.DUMMYFUNCTION("""COMPUTED_VALUE"""),63.66)</f>
        <v>63.66</v>
      </c>
      <c r="E22" s="36">
        <f>IFERROR(__xludf.DUMMYFUNCTION("""COMPUTED_VALUE"""),4535.95)</f>
        <v>4535.95</v>
      </c>
      <c r="F22" s="35">
        <f>IFERROR(__xludf.DUMMYFUNCTION("""COMPUTED_VALUE"""),0.043640251766443594)</f>
        <v>0.04364025177</v>
      </c>
      <c r="G22" s="36">
        <f>IFERROR(__xludf.DUMMYFUNCTION("""COMPUTED_VALUE"""),2160.05)</f>
        <v>2160.05</v>
      </c>
      <c r="H22" s="35">
        <f>IFERROR(__xludf.DUMMYFUNCTION("""COMPUTED_VALUE"""),1.0082868452119162)</f>
        <v>1.008286845</v>
      </c>
      <c r="I22" s="36">
        <f>IFERROR(__xludf.DUMMYFUNCTION("""COMPUTED_VALUE"""),4340.15)</f>
        <v>4340.15</v>
      </c>
      <c r="J22" s="35">
        <f>IFERROR(__xludf.DUMMYFUNCTION("""COMPUTED_VALUE"""),-4.953745838276641E-4)</f>
        <v>-0.0004953745838</v>
      </c>
      <c r="K22" s="36" t="str">
        <f>IFERROR(__xludf.DUMMYFUNCTION("""COMPUTED_VALUE"""),"Defence")</f>
        <v>Defence</v>
      </c>
      <c r="L22" s="36" t="str">
        <f>IFERROR(__xludf.DUMMYFUNCTION("""COMPUTED_VALUE"""),"BOM:532725")</f>
        <v>BOM:532725</v>
      </c>
      <c r="M22" s="49" t="str">
        <f>IFERROR(__xludf.DUMMYFUNCTION("""COMPUTED_VALUE"""),"No")</f>
        <v>No</v>
      </c>
      <c r="N22" s="49" t="str">
        <f>IFERROR(__xludf.DUMMYFUNCTION("""COMPUTED_VALUE"""),"No")</f>
        <v>No</v>
      </c>
      <c r="O22" s="36" t="str">
        <f>IFERROR(__xludf.DUMMYFUNCTION("""COMPUTED_VALUE"""),"Good Stock")</f>
        <v>Good Stock</v>
      </c>
      <c r="P22" s="36" t="str">
        <f>IFERROR(__xludf.DUMMYFUNCTION("""COMPUTED_VALUE"""),"Low Cap")</f>
        <v>Low Cap</v>
      </c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</row>
    <row r="23">
      <c r="A23" s="36" t="str">
        <f>IFERROR(__xludf.DUMMYFUNCTION("""COMPUTED_VALUE"""),"APL Apollo")</f>
        <v>APL Apollo</v>
      </c>
      <c r="B23" s="51">
        <f>IFERROR(__xludf.DUMMYFUNCTION("""COMPUTED_VALUE"""),31477.05)</f>
        <v>31477.05</v>
      </c>
      <c r="C23" s="36">
        <f>IFERROR(__xludf.DUMMYFUNCTION("""COMPUTED_VALUE"""),1136.0)</f>
        <v>1136</v>
      </c>
      <c r="D23" s="36">
        <f>IFERROR(__xludf.DUMMYFUNCTION("""COMPUTED_VALUE"""),54.9)</f>
        <v>54.9</v>
      </c>
      <c r="E23" s="36">
        <f>IFERROR(__xludf.DUMMYFUNCTION("""COMPUTED_VALUE"""),1193.85)</f>
        <v>1193.85</v>
      </c>
      <c r="F23" s="35">
        <f>IFERROR(__xludf.DUMMYFUNCTION("""COMPUTED_VALUE"""),0.04845667378648902)</f>
        <v>0.04845667379</v>
      </c>
      <c r="G23" s="36">
        <f>IFERROR(__xludf.DUMMYFUNCTION("""COMPUTED_VALUE"""),771.0)</f>
        <v>771</v>
      </c>
      <c r="H23" s="35">
        <f>IFERROR(__xludf.DUMMYFUNCTION("""COMPUTED_VALUE"""),0.47341115434500647)</f>
        <v>0.4734111543</v>
      </c>
      <c r="I23" s="36">
        <f>IFERROR(__xludf.DUMMYFUNCTION("""COMPUTED_VALUE"""),1127.95)</f>
        <v>1127.95</v>
      </c>
      <c r="J23" s="35">
        <f>IFERROR(__xludf.DUMMYFUNCTION("""COMPUTED_VALUE"""),0.007136841172037727)</f>
        <v>0.007136841172</v>
      </c>
      <c r="K23" s="36" t="str">
        <f>IFERROR(__xludf.DUMMYFUNCTION("""COMPUTED_VALUE"""),"Steel")</f>
        <v>Steel</v>
      </c>
      <c r="L23" s="36" t="str">
        <f>IFERROR(__xludf.DUMMYFUNCTION("""COMPUTED_VALUE"""),"BOM:533758")</f>
        <v>BOM:533758</v>
      </c>
      <c r="M23" s="49" t="str">
        <f>IFERROR(__xludf.DUMMYFUNCTION("""COMPUTED_VALUE"""),"No")</f>
        <v>No</v>
      </c>
      <c r="N23" s="49" t="str">
        <f>IFERROR(__xludf.DUMMYFUNCTION("""COMPUTED_VALUE"""),"No")</f>
        <v>No</v>
      </c>
      <c r="O23" s="36" t="str">
        <f>IFERROR(__xludf.DUMMYFUNCTION("""COMPUTED_VALUE"""),"Good Stock")</f>
        <v>Good Stock</v>
      </c>
      <c r="P23" s="36" t="str">
        <f>IFERROR(__xludf.DUMMYFUNCTION("""COMPUTED_VALUE"""),"Low Cap")</f>
        <v>Low Cap</v>
      </c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</row>
    <row r="24">
      <c r="A24" s="36" t="str">
        <f>IFERROR(__xludf.DUMMYFUNCTION("""COMPUTED_VALUE"""),"Supreme Industries")</f>
        <v>Supreme Industries</v>
      </c>
      <c r="B24" s="51">
        <f>IFERROR(__xludf.DUMMYFUNCTION("""COMPUTED_VALUE"""),31369.92)</f>
        <v>31369.92</v>
      </c>
      <c r="C24" s="36">
        <f>IFERROR(__xludf.DUMMYFUNCTION("""COMPUTED_VALUE"""),2461.0)</f>
        <v>2461</v>
      </c>
      <c r="D24" s="36">
        <f>IFERROR(__xludf.DUMMYFUNCTION("""COMPUTED_VALUE"""),36.12)</f>
        <v>36.12</v>
      </c>
      <c r="E24" s="36">
        <f>IFERROR(__xludf.DUMMYFUNCTION("""COMPUTED_VALUE"""),2607.65)</f>
        <v>2607.65</v>
      </c>
      <c r="F24" s="35">
        <f>IFERROR(__xludf.DUMMYFUNCTION("""COMPUTED_VALUE"""),0.05623837554886587)</f>
        <v>0.05623837555</v>
      </c>
      <c r="G24" s="36">
        <f>IFERROR(__xludf.DUMMYFUNCTION("""COMPUTED_VALUE"""),1666.25)</f>
        <v>1666.25</v>
      </c>
      <c r="H24" s="35">
        <f>IFERROR(__xludf.DUMMYFUNCTION("""COMPUTED_VALUE"""),0.47696924231057763)</f>
        <v>0.4769692423</v>
      </c>
      <c r="I24" s="36">
        <f>IFERROR(__xludf.DUMMYFUNCTION("""COMPUTED_VALUE"""),2452.7)</f>
        <v>2452.7</v>
      </c>
      <c r="J24" s="35">
        <f>IFERROR(__xludf.DUMMYFUNCTION("""COMPUTED_VALUE"""),0.003384025767521581)</f>
        <v>0.003384025768</v>
      </c>
      <c r="K24" s="36" t="str">
        <f>IFERROR(__xludf.DUMMYFUNCTION("""COMPUTED_VALUE"""),"Plastic")</f>
        <v>Plastic</v>
      </c>
      <c r="L24" s="36" t="str">
        <f>IFERROR(__xludf.DUMMYFUNCTION("""COMPUTED_VALUE"""),"SUPREMEIND")</f>
        <v>SUPREMEIND</v>
      </c>
      <c r="M24" s="49" t="str">
        <f>IFERROR(__xludf.DUMMYFUNCTION("""COMPUTED_VALUE"""),"No")</f>
        <v>No</v>
      </c>
      <c r="N24" s="49" t="str">
        <f>IFERROR(__xludf.DUMMYFUNCTION("""COMPUTED_VALUE"""),"No")</f>
        <v>No</v>
      </c>
      <c r="O24" s="36" t="str">
        <f>IFERROR(__xludf.DUMMYFUNCTION("""COMPUTED_VALUE"""),"Good Stock")</f>
        <v>Good Stock</v>
      </c>
      <c r="P24" s="36" t="str">
        <f>IFERROR(__xludf.DUMMYFUNCTION("""COMPUTED_VALUE"""),"Low Cap")</f>
        <v>Low Cap</v>
      </c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</row>
    <row r="25">
      <c r="A25" s="36" t="str">
        <f>IFERROR(__xludf.DUMMYFUNCTION("""COMPUTED_VALUE"""),"Federal Bank")</f>
        <v>Federal Bank</v>
      </c>
      <c r="B25" s="51">
        <f>IFERROR(__xludf.DUMMYFUNCTION("""COMPUTED_VALUE"""),29278.4915846)</f>
        <v>29278.49158</v>
      </c>
      <c r="C25" s="36">
        <f>IFERROR(__xludf.DUMMYFUNCTION("""COMPUTED_VALUE"""),138.45)</f>
        <v>138.45</v>
      </c>
      <c r="D25" s="36">
        <f>IFERROR(__xludf.DUMMYFUNCTION("""COMPUTED_VALUE"""),11.78)</f>
        <v>11.78</v>
      </c>
      <c r="E25" s="36">
        <f>IFERROR(__xludf.DUMMYFUNCTION("""COMPUTED_VALUE"""),142.25)</f>
        <v>142.25</v>
      </c>
      <c r="F25" s="35">
        <f>IFERROR(__xludf.DUMMYFUNCTION("""COMPUTED_VALUE"""),0.0267135325131811)</f>
        <v>0.02671353251</v>
      </c>
      <c r="G25" s="36">
        <f>IFERROR(__xludf.DUMMYFUNCTION("""COMPUTED_VALUE"""),82.5)</f>
        <v>82.5</v>
      </c>
      <c r="H25" s="35">
        <f>IFERROR(__xludf.DUMMYFUNCTION("""COMPUTED_VALUE"""),0.678181818181818)</f>
        <v>0.6781818182</v>
      </c>
      <c r="I25" s="36">
        <f>IFERROR(__xludf.DUMMYFUNCTION("""COMPUTED_VALUE"""),135.05)</f>
        <v>135.05</v>
      </c>
      <c r="J25" s="35">
        <f>IFERROR(__xludf.DUMMYFUNCTION("""COMPUTED_VALUE"""),0.025175860792298978)</f>
        <v>0.02517586079</v>
      </c>
      <c r="K25" s="36" t="str">
        <f>IFERROR(__xludf.DUMMYFUNCTION("""COMPUTED_VALUE"""),"Bank")</f>
        <v>Bank</v>
      </c>
      <c r="L25" s="36" t="str">
        <f>IFERROR(__xludf.DUMMYFUNCTION("""COMPUTED_VALUE"""),"BOM:500469")</f>
        <v>BOM:500469</v>
      </c>
      <c r="M25" s="49" t="str">
        <f>IFERROR(__xludf.DUMMYFUNCTION("""COMPUTED_VALUE"""),"No")</f>
        <v>No</v>
      </c>
      <c r="N25" s="49" t="str">
        <f>IFERROR(__xludf.DUMMYFUNCTION("""COMPUTED_VALUE"""),"No")</f>
        <v>No</v>
      </c>
      <c r="O25" s="36" t="str">
        <f>IFERROR(__xludf.DUMMYFUNCTION("""COMPUTED_VALUE"""),"Good Stock")</f>
        <v>Good Stock</v>
      </c>
      <c r="P25" s="36" t="str">
        <f>IFERROR(__xludf.DUMMYFUNCTION("""COMPUTED_VALUE"""),"Low Cap")</f>
        <v>Low Cap</v>
      </c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</row>
    <row r="26">
      <c r="A26" s="36" t="str">
        <f>IFERROR(__xludf.DUMMYFUNCTION("""COMPUTED_VALUE"""),"Sumitomo Chemicals")</f>
        <v>Sumitomo Chemicals</v>
      </c>
      <c r="B26" s="51">
        <f>IFERROR(__xludf.DUMMYFUNCTION("""COMPUTED_VALUE"""),24637.83)</f>
        <v>24637.83</v>
      </c>
      <c r="C26" s="36">
        <f>IFERROR(__xludf.DUMMYFUNCTION("""COMPUTED_VALUE"""),493.2)</f>
        <v>493.2</v>
      </c>
      <c r="D26" s="36">
        <f>IFERROR(__xludf.DUMMYFUNCTION("""COMPUTED_VALUE"""),48.9)</f>
        <v>48.9</v>
      </c>
      <c r="E26" s="36">
        <f>IFERROR(__xludf.DUMMYFUNCTION("""COMPUTED_VALUE"""),540.8)</f>
        <v>540.8</v>
      </c>
      <c r="F26" s="35">
        <f>IFERROR(__xludf.DUMMYFUNCTION("""COMPUTED_VALUE"""),0.08801775147928989)</f>
        <v>0.08801775148</v>
      </c>
      <c r="G26" s="36">
        <f>IFERROR(__xludf.DUMMYFUNCTION("""COMPUTED_VALUE"""),351.5)</f>
        <v>351.5</v>
      </c>
      <c r="H26" s="35">
        <f>IFERROR(__xludf.DUMMYFUNCTION("""COMPUTED_VALUE"""),0.40312944523470834)</f>
        <v>0.4031294452</v>
      </c>
      <c r="I26" s="36">
        <f>IFERROR(__xludf.DUMMYFUNCTION("""COMPUTED_VALUE"""),487.95)</f>
        <v>487.95</v>
      </c>
      <c r="J26" s="35">
        <f>IFERROR(__xludf.DUMMYFUNCTION("""COMPUTED_VALUE"""),0.010759299108515218)</f>
        <v>0.01075929911</v>
      </c>
      <c r="K26" s="36" t="str">
        <f>IFERROR(__xludf.DUMMYFUNCTION("""COMPUTED_VALUE"""),"Agrochemical")</f>
        <v>Agrochemical</v>
      </c>
      <c r="L26" s="36" t="str">
        <f>IFERROR(__xludf.DUMMYFUNCTION("""COMPUTED_VALUE"""),"SUMICHEM")</f>
        <v>SUMICHEM</v>
      </c>
      <c r="M26" s="49" t="str">
        <f>IFERROR(__xludf.DUMMYFUNCTION("""COMPUTED_VALUE"""),"No")</f>
        <v>No</v>
      </c>
      <c r="N26" s="49" t="str">
        <f>IFERROR(__xludf.DUMMYFUNCTION("""COMPUTED_VALUE"""),"No")</f>
        <v>No</v>
      </c>
      <c r="O26" s="36" t="str">
        <f>IFERROR(__xludf.DUMMYFUNCTION("""COMPUTED_VALUE"""),"Good Stock")</f>
        <v>Good Stock</v>
      </c>
      <c r="P26" s="36" t="str">
        <f>IFERROR(__xludf.DUMMYFUNCTION("""COMPUTED_VALUE"""),"Low Cap")</f>
        <v>Low Cap</v>
      </c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</row>
    <row r="27">
      <c r="A27" s="36" t="str">
        <f>IFERROR(__xludf.DUMMYFUNCTION("""COMPUTED_VALUE"""),"J K Cement")</f>
        <v>J K Cement</v>
      </c>
      <c r="B27" s="51">
        <f>IFERROR(__xludf.DUMMYFUNCTION("""COMPUTED_VALUE"""),22430.59)</f>
        <v>22430.59</v>
      </c>
      <c r="C27" s="36">
        <f>IFERROR(__xludf.DUMMYFUNCTION("""COMPUTED_VALUE"""),2900.45)</f>
        <v>2900.45</v>
      </c>
      <c r="D27" s="36">
        <f>IFERROR(__xludf.DUMMYFUNCTION("""COMPUTED_VALUE"""),36.07)</f>
        <v>36.07</v>
      </c>
      <c r="E27" s="36">
        <f>IFERROR(__xludf.DUMMYFUNCTION("""COMPUTED_VALUE"""),3646.25)</f>
        <v>3646.25</v>
      </c>
      <c r="F27" s="35">
        <f>IFERROR(__xludf.DUMMYFUNCTION("""COMPUTED_VALUE"""),0.2045389098388756)</f>
        <v>0.2045389098</v>
      </c>
      <c r="G27" s="36">
        <f>IFERROR(__xludf.DUMMYFUNCTION("""COMPUTED_VALUE"""),2005.0)</f>
        <v>2005</v>
      </c>
      <c r="H27" s="35">
        <f>IFERROR(__xludf.DUMMYFUNCTION("""COMPUTED_VALUE"""),0.4466084788029924)</f>
        <v>0.4466084788</v>
      </c>
      <c r="I27" s="36">
        <f>IFERROR(__xludf.DUMMYFUNCTION("""COMPUTED_VALUE"""),2905.9)</f>
        <v>2905.9</v>
      </c>
      <c r="J27" s="35">
        <f>IFERROR(__xludf.DUMMYFUNCTION("""COMPUTED_VALUE"""),-0.0018754946832307625)</f>
        <v>-0.001875494683</v>
      </c>
      <c r="K27" s="36" t="str">
        <f>IFERROR(__xludf.DUMMYFUNCTION("""COMPUTED_VALUE"""),"Cement")</f>
        <v>Cement</v>
      </c>
      <c r="L27" s="36" t="str">
        <f>IFERROR(__xludf.DUMMYFUNCTION("""COMPUTED_VALUE"""),"BOM:532644")</f>
        <v>BOM:532644</v>
      </c>
      <c r="M27" s="49" t="str">
        <f>IFERROR(__xludf.DUMMYFUNCTION("""COMPUTED_VALUE"""),"No")</f>
        <v>No</v>
      </c>
      <c r="N27" s="49" t="str">
        <f>IFERROR(__xludf.DUMMYFUNCTION("""COMPUTED_VALUE"""),"No")</f>
        <v>No</v>
      </c>
      <c r="O27" s="36" t="str">
        <f>IFERROR(__xludf.DUMMYFUNCTION("""COMPUTED_VALUE"""),"Good Stock")</f>
        <v>Good Stock</v>
      </c>
      <c r="P27" s="36" t="str">
        <f>IFERROR(__xludf.DUMMYFUNCTION("""COMPUTED_VALUE"""),"Low Cap")</f>
        <v>Low Cap</v>
      </c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>
      <c r="A28" s="36" t="str">
        <f>IFERROR(__xludf.DUMMYFUNCTION("""COMPUTED_VALUE"""),"LIC Housing Finance")</f>
        <v>LIC Housing Finance</v>
      </c>
      <c r="B28" s="51">
        <f>IFERROR(__xludf.DUMMYFUNCTION("""COMPUTED_VALUE"""),22159.2659823)</f>
        <v>22159.26598</v>
      </c>
      <c r="C28" s="36">
        <f>IFERROR(__xludf.DUMMYFUNCTION("""COMPUTED_VALUE"""),402.9)</f>
        <v>402.9</v>
      </c>
      <c r="D28" s="36">
        <f>IFERROR(__xludf.DUMMYFUNCTION("""COMPUTED_VALUE"""),6.85)</f>
        <v>6.85</v>
      </c>
      <c r="E28" s="36">
        <f>IFERROR(__xludf.DUMMYFUNCTION("""COMPUTED_VALUE"""),443.5)</f>
        <v>443.5</v>
      </c>
      <c r="F28" s="35">
        <f>IFERROR(__xludf.DUMMYFUNCTION("""COMPUTED_VALUE"""),0.09154453213077796)</f>
        <v>0.09154453213</v>
      </c>
      <c r="G28" s="36">
        <f>IFERROR(__xludf.DUMMYFUNCTION("""COMPUTED_VALUE"""),291.75)</f>
        <v>291.75</v>
      </c>
      <c r="H28" s="35">
        <f>IFERROR(__xludf.DUMMYFUNCTION("""COMPUTED_VALUE"""),0.38097686375321327)</f>
        <v>0.3809768638</v>
      </c>
      <c r="I28" s="36">
        <f>IFERROR(__xludf.DUMMYFUNCTION("""COMPUTED_VALUE"""),400.2)</f>
        <v>400.2</v>
      </c>
      <c r="J28" s="35">
        <f>IFERROR(__xludf.DUMMYFUNCTION("""COMPUTED_VALUE"""),0.006746626686656643)</f>
        <v>0.006746626687</v>
      </c>
      <c r="K28" s="36" t="str">
        <f>IFERROR(__xludf.DUMMYFUNCTION("""COMPUTED_VALUE"""),"NBFC")</f>
        <v>NBFC</v>
      </c>
      <c r="L28" s="36" t="str">
        <f>IFERROR(__xludf.DUMMYFUNCTION("""COMPUTED_VALUE"""),"BOM:500253")</f>
        <v>BOM:500253</v>
      </c>
      <c r="M28" s="49" t="str">
        <f>IFERROR(__xludf.DUMMYFUNCTION("""COMPUTED_VALUE"""),"No")</f>
        <v>No</v>
      </c>
      <c r="N28" s="49" t="str">
        <f>IFERROR(__xludf.DUMMYFUNCTION("""COMPUTED_VALUE"""),"No")</f>
        <v>No</v>
      </c>
      <c r="O28" s="36" t="str">
        <f>IFERROR(__xludf.DUMMYFUNCTION("""COMPUTED_VALUE"""),"Good Stock")</f>
        <v>Good Stock</v>
      </c>
      <c r="P28" s="36" t="str">
        <f>IFERROR(__xludf.DUMMYFUNCTION("""COMPUTED_VALUE"""),"Low Cap")</f>
        <v>Low Cap</v>
      </c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</row>
    <row r="29">
      <c r="A29" s="36" t="str">
        <f>IFERROR(__xludf.DUMMYFUNCTION("""COMPUTED_VALUE"""),"Endurance Technology")</f>
        <v>Endurance Technology</v>
      </c>
      <c r="B29" s="51">
        <f>IFERROR(__xludf.DUMMYFUNCTION("""COMPUTED_VALUE"""),19679.44)</f>
        <v>19679.44</v>
      </c>
      <c r="C29" s="36">
        <f>IFERROR(__xludf.DUMMYFUNCTION("""COMPUTED_VALUE"""),1398.5)</f>
        <v>1398.5</v>
      </c>
      <c r="D29" s="36">
        <f>IFERROR(__xludf.DUMMYFUNCTION("""COMPUTED_VALUE"""),42.23)</f>
        <v>42.23</v>
      </c>
      <c r="E29" s="36">
        <f>IFERROR(__xludf.DUMMYFUNCTION("""COMPUTED_VALUE"""),1736.15)</f>
        <v>1736.15</v>
      </c>
      <c r="F29" s="35">
        <f>IFERROR(__xludf.DUMMYFUNCTION("""COMPUTED_VALUE"""),0.19448204360222335)</f>
        <v>0.1944820436</v>
      </c>
      <c r="G29" s="36">
        <f>IFERROR(__xludf.DUMMYFUNCTION("""COMPUTED_VALUE"""),1047.2)</f>
        <v>1047.2</v>
      </c>
      <c r="H29" s="35">
        <f>IFERROR(__xludf.DUMMYFUNCTION("""COMPUTED_VALUE"""),0.3354660045836516)</f>
        <v>0.3354660046</v>
      </c>
      <c r="I29" s="36">
        <f>IFERROR(__xludf.DUMMYFUNCTION("""COMPUTED_VALUE"""),1401.15)</f>
        <v>1401.15</v>
      </c>
      <c r="J29" s="35">
        <f>IFERROR(__xludf.DUMMYFUNCTION("""COMPUTED_VALUE"""),-0.001891303572065868)</f>
        <v>-0.001891303572</v>
      </c>
      <c r="K29" s="36" t="str">
        <f>IFERROR(__xludf.DUMMYFUNCTION("""COMPUTED_VALUE"""),"Automobile Ancilliary")</f>
        <v>Automobile Ancilliary</v>
      </c>
      <c r="L29" s="36" t="str">
        <f>IFERROR(__xludf.DUMMYFUNCTION("""COMPUTED_VALUE"""),"ENDURANCE")</f>
        <v>ENDURANCE</v>
      </c>
      <c r="M29" s="49" t="str">
        <f>IFERROR(__xludf.DUMMYFUNCTION("""COMPUTED_VALUE"""),"No")</f>
        <v>No</v>
      </c>
      <c r="N29" s="49" t="str">
        <f>IFERROR(__xludf.DUMMYFUNCTION("""COMPUTED_VALUE"""),"No")</f>
        <v>No</v>
      </c>
      <c r="O29" s="36" t="str">
        <f>IFERROR(__xludf.DUMMYFUNCTION("""COMPUTED_VALUE"""),"Good Stock")</f>
        <v>Good Stock</v>
      </c>
      <c r="P29" s="36" t="str">
        <f>IFERROR(__xludf.DUMMYFUNCTION("""COMPUTED_VALUE"""),"Low Cap")</f>
        <v>Low Cap</v>
      </c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</row>
    <row r="30">
      <c r="A30" s="36" t="str">
        <f>IFERROR(__xludf.DUMMYFUNCTION("""COMPUTED_VALUE"""),"KPIT")</f>
        <v>KPIT</v>
      </c>
      <c r="B30" s="51">
        <f>IFERROR(__xludf.DUMMYFUNCTION("""COMPUTED_VALUE"""),18827.9516699)</f>
        <v>18827.95167</v>
      </c>
      <c r="C30" s="36">
        <f>IFERROR(__xludf.DUMMYFUNCTION("""COMPUTED_VALUE"""),696.3)</f>
        <v>696.3</v>
      </c>
      <c r="D30" s="36">
        <f>IFERROR(__xludf.DUMMYFUNCTION("""COMPUTED_VALUE"""),59.82)</f>
        <v>59.82</v>
      </c>
      <c r="E30" s="36">
        <f>IFERROR(__xludf.DUMMYFUNCTION("""COMPUTED_VALUE"""),764.25)</f>
        <v>764.25</v>
      </c>
      <c r="F30" s="35">
        <f>IFERROR(__xludf.DUMMYFUNCTION("""COMPUTED_VALUE"""),0.08891069676153097)</f>
        <v>0.08891069676</v>
      </c>
      <c r="G30" s="36">
        <f>IFERROR(__xludf.DUMMYFUNCTION("""COMPUTED_VALUE"""),440.0)</f>
        <v>440</v>
      </c>
      <c r="H30" s="35">
        <f>IFERROR(__xludf.DUMMYFUNCTION("""COMPUTED_VALUE"""),0.5824999999999999)</f>
        <v>0.5825</v>
      </c>
      <c r="I30" s="36">
        <f>IFERROR(__xludf.DUMMYFUNCTION("""COMPUTED_VALUE"""),692.45)</f>
        <v>692.45</v>
      </c>
      <c r="J30" s="35">
        <f>IFERROR(__xludf.DUMMYFUNCTION("""COMPUTED_VALUE"""),0.005559968228752847)</f>
        <v>0.005559968229</v>
      </c>
      <c r="K30" s="36" t="str">
        <f>IFERROR(__xludf.DUMMYFUNCTION("""COMPUTED_VALUE"""),"IT")</f>
        <v>IT</v>
      </c>
      <c r="L30" s="36" t="str">
        <f>IFERROR(__xludf.DUMMYFUNCTION("""COMPUTED_VALUE"""),"BOM:542651")</f>
        <v>BOM:542651</v>
      </c>
      <c r="M30" s="49" t="str">
        <f>IFERROR(__xludf.DUMMYFUNCTION("""COMPUTED_VALUE"""),"No")</f>
        <v>No</v>
      </c>
      <c r="N30" s="49" t="str">
        <f>IFERROR(__xludf.DUMMYFUNCTION("""COMPUTED_VALUE"""),"No")</f>
        <v>No</v>
      </c>
      <c r="O30" s="36" t="str">
        <f>IFERROR(__xludf.DUMMYFUNCTION("""COMPUTED_VALUE"""),"Good Stock")</f>
        <v>Good Stock</v>
      </c>
      <c r="P30" s="36" t="str">
        <f>IFERROR(__xludf.DUMMYFUNCTION("""COMPUTED_VALUE"""),"Low Cap")</f>
        <v>Low Cap</v>
      </c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</row>
    <row r="31">
      <c r="A31" s="36" t="str">
        <f>IFERROR(__xludf.DUMMYFUNCTION("""COMPUTED_VALUE"""),"Fine Organics")</f>
        <v>Fine Organics</v>
      </c>
      <c r="B31" s="51">
        <f>IFERROR(__xludf.DUMMYFUNCTION("""COMPUTED_VALUE"""),17277.2)</f>
        <v>17277.2</v>
      </c>
      <c r="C31" s="36">
        <f>IFERROR(__xludf.DUMMYFUNCTION("""COMPUTED_VALUE"""),5630.0)</f>
        <v>5630</v>
      </c>
      <c r="D31" s="36">
        <f>IFERROR(__xludf.DUMMYFUNCTION("""COMPUTED_VALUE"""),32.19)</f>
        <v>32.19</v>
      </c>
      <c r="E31" s="36">
        <f>IFERROR(__xludf.DUMMYFUNCTION("""COMPUTED_VALUE"""),7328.75)</f>
        <v>7328.75</v>
      </c>
      <c r="F31" s="35">
        <f>IFERROR(__xludf.DUMMYFUNCTION("""COMPUTED_VALUE"""),0.23179259764625618)</f>
        <v>0.2317925976</v>
      </c>
      <c r="G31" s="36">
        <f>IFERROR(__xludf.DUMMYFUNCTION("""COMPUTED_VALUE"""),3457.1)</f>
        <v>3457.1</v>
      </c>
      <c r="H31" s="35">
        <f>IFERROR(__xludf.DUMMYFUNCTION("""COMPUTED_VALUE"""),0.6285325851146916)</f>
        <v>0.6285325851</v>
      </c>
      <c r="I31" s="36">
        <f>IFERROR(__xludf.DUMMYFUNCTION("""COMPUTED_VALUE"""),5672.25)</f>
        <v>5672.25</v>
      </c>
      <c r="J31" s="35">
        <f>IFERROR(__xludf.DUMMYFUNCTION("""COMPUTED_VALUE"""),-0.0074485433469963416)</f>
        <v>-0.007448543347</v>
      </c>
      <c r="K31" s="36" t="str">
        <f>IFERROR(__xludf.DUMMYFUNCTION("""COMPUTED_VALUE"""),"Chemical")</f>
        <v>Chemical</v>
      </c>
      <c r="L31" s="36" t="str">
        <f>IFERROR(__xludf.DUMMYFUNCTION("""COMPUTED_VALUE"""),"FINEORG")</f>
        <v>FINEORG</v>
      </c>
      <c r="M31" s="49" t="str">
        <f>IFERROR(__xludf.DUMMYFUNCTION("""COMPUTED_VALUE"""),"No")</f>
        <v>No</v>
      </c>
      <c r="N31" s="49" t="str">
        <f>IFERROR(__xludf.DUMMYFUNCTION("""COMPUTED_VALUE"""),"No")</f>
        <v>No</v>
      </c>
      <c r="O31" s="36" t="str">
        <f>IFERROR(__xludf.DUMMYFUNCTION("""COMPUTED_VALUE"""),"Good Stock")</f>
        <v>Good Stock</v>
      </c>
      <c r="P31" s="36" t="str">
        <f>IFERROR(__xludf.DUMMYFUNCTION("""COMPUTED_VALUE"""),"Low Cap")</f>
        <v>Low Cap</v>
      </c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>
      <c r="A32" s="36" t="str">
        <f>IFERROR(__xludf.DUMMYFUNCTION("""COMPUTED_VALUE"""),"Exide Battery")</f>
        <v>Exide Battery</v>
      </c>
      <c r="B32" s="51">
        <f>IFERROR(__xludf.DUMMYFUNCTION("""COMPUTED_VALUE"""),15554.9906858)</f>
        <v>15554.99069</v>
      </c>
      <c r="C32" s="36">
        <f>IFERROR(__xludf.DUMMYFUNCTION("""COMPUTED_VALUE"""),182.85)</f>
        <v>182.85</v>
      </c>
      <c r="D32" s="36">
        <f>IFERROR(__xludf.DUMMYFUNCTION("""COMPUTED_VALUE"""),3.39)</f>
        <v>3.39</v>
      </c>
      <c r="E32" s="36">
        <f>IFERROR(__xludf.DUMMYFUNCTION("""COMPUTED_VALUE"""),194.2)</f>
        <v>194.2</v>
      </c>
      <c r="F32" s="35">
        <f>IFERROR(__xludf.DUMMYFUNCTION("""COMPUTED_VALUE"""),0.05844490216271882)</f>
        <v>0.05844490216</v>
      </c>
      <c r="G32" s="36">
        <f>IFERROR(__xludf.DUMMYFUNCTION("""COMPUTED_VALUE"""),130.25)</f>
        <v>130.25</v>
      </c>
      <c r="H32" s="35">
        <f>IFERROR(__xludf.DUMMYFUNCTION("""COMPUTED_VALUE"""),0.4038387715930902)</f>
        <v>0.4038387716</v>
      </c>
      <c r="I32" s="36">
        <f>IFERROR(__xludf.DUMMYFUNCTION("""COMPUTED_VALUE"""),182.65)</f>
        <v>182.65</v>
      </c>
      <c r="J32" s="35">
        <f>IFERROR(__xludf.DUMMYFUNCTION("""COMPUTED_VALUE"""),0.001094990418833773)</f>
        <v>0.001094990419</v>
      </c>
      <c r="K32" s="36" t="str">
        <f>IFERROR(__xludf.DUMMYFUNCTION("""COMPUTED_VALUE"""),"Automobile Ancilliary")</f>
        <v>Automobile Ancilliary</v>
      </c>
      <c r="L32" s="36" t="str">
        <f>IFERROR(__xludf.DUMMYFUNCTION("""COMPUTED_VALUE"""),"EXIDEIND")</f>
        <v>EXIDEIND</v>
      </c>
      <c r="M32" s="49" t="str">
        <f>IFERROR(__xludf.DUMMYFUNCTION("""COMPUTED_VALUE"""),"No")</f>
        <v>No</v>
      </c>
      <c r="N32" s="49" t="str">
        <f>IFERROR(__xludf.DUMMYFUNCTION("""COMPUTED_VALUE"""),"No")</f>
        <v>No</v>
      </c>
      <c r="O32" s="36" t="str">
        <f>IFERROR(__xludf.DUMMYFUNCTION("""COMPUTED_VALUE"""),"Good Stock")</f>
        <v>Good Stock</v>
      </c>
      <c r="P32" s="36" t="str">
        <f>IFERROR(__xludf.DUMMYFUNCTION("""COMPUTED_VALUE"""),"Low Cap")</f>
        <v>Low Cap</v>
      </c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</row>
    <row r="33">
      <c r="A33" s="36" t="str">
        <f>IFERROR(__xludf.DUMMYFUNCTION("""COMPUTED_VALUE"""),"KEI Industries")</f>
        <v>KEI Industries</v>
      </c>
      <c r="B33" s="51">
        <f>IFERROR(__xludf.DUMMYFUNCTION("""COMPUTED_VALUE"""),12966.0743501)</f>
        <v>12966.07435</v>
      </c>
      <c r="C33" s="36">
        <f>IFERROR(__xludf.DUMMYFUNCTION("""COMPUTED_VALUE"""),1436.05)</f>
        <v>1436.05</v>
      </c>
      <c r="D33" s="36">
        <f>IFERROR(__xludf.DUMMYFUNCTION("""COMPUTED_VALUE"""),30.59)</f>
        <v>30.59</v>
      </c>
      <c r="E33" s="36">
        <f>IFERROR(__xludf.DUMMYFUNCTION("""COMPUTED_VALUE"""),1662.45)</f>
        <v>1662.45</v>
      </c>
      <c r="F33" s="35">
        <f>IFERROR(__xludf.DUMMYFUNCTION("""COMPUTED_VALUE"""),0.13618454690366633)</f>
        <v>0.1361845469</v>
      </c>
      <c r="G33" s="36">
        <f>IFERROR(__xludf.DUMMYFUNCTION("""COMPUTED_VALUE"""),905.2)</f>
        <v>905.2</v>
      </c>
      <c r="H33" s="35">
        <f>IFERROR(__xludf.DUMMYFUNCTION("""COMPUTED_VALUE"""),0.5864449845338046)</f>
        <v>0.5864449845</v>
      </c>
      <c r="I33" s="36">
        <f>IFERROR(__xludf.DUMMYFUNCTION("""COMPUTED_VALUE"""),1435.2)</f>
        <v>1435.2</v>
      </c>
      <c r="J33" s="35">
        <f>IFERROR(__xludf.DUMMYFUNCTION("""COMPUTED_VALUE"""),5.922519509475397E-4)</f>
        <v>0.0005922519509</v>
      </c>
      <c r="K33" s="36" t="str">
        <f>IFERROR(__xludf.DUMMYFUNCTION("""COMPUTED_VALUE"""),"Consumer Electrical")</f>
        <v>Consumer Electrical</v>
      </c>
      <c r="L33" s="36" t="str">
        <f>IFERROR(__xludf.DUMMYFUNCTION("""COMPUTED_VALUE"""),"BOM:517569")</f>
        <v>BOM:517569</v>
      </c>
      <c r="M33" s="49" t="str">
        <f>IFERROR(__xludf.DUMMYFUNCTION("""COMPUTED_VALUE"""),"No")</f>
        <v>No</v>
      </c>
      <c r="N33" s="49" t="str">
        <f>IFERROR(__xludf.DUMMYFUNCTION("""COMPUTED_VALUE"""),"No")</f>
        <v>No</v>
      </c>
      <c r="O33" s="36" t="str">
        <f>IFERROR(__xludf.DUMMYFUNCTION("""COMPUTED_VALUE"""),"Good Stock")</f>
        <v>Good Stock</v>
      </c>
      <c r="P33" s="36" t="str">
        <f>IFERROR(__xludf.DUMMYFUNCTION("""COMPUTED_VALUE"""),"Low Cap")</f>
        <v>Low Cap</v>
      </c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</row>
    <row r="34">
      <c r="A34" s="36" t="str">
        <f>IFERROR(__xludf.DUMMYFUNCTION("""COMPUTED_VALUE"""),"Finolex Industries")</f>
        <v>Finolex Industries</v>
      </c>
      <c r="B34" s="51">
        <f>IFERROR(__xludf.DUMMYFUNCTION("""COMPUTED_VALUE"""),10644.74)</f>
        <v>10644.74</v>
      </c>
      <c r="C34" s="36">
        <f>IFERROR(__xludf.DUMMYFUNCTION("""COMPUTED_VALUE"""),173.0)</f>
        <v>173</v>
      </c>
      <c r="D34" s="36">
        <f>IFERROR(__xludf.DUMMYFUNCTION("""COMPUTED_VALUE"""),15.85)</f>
        <v>15.85</v>
      </c>
      <c r="E34" s="36">
        <f>IFERROR(__xludf.DUMMYFUNCTION("""COMPUTED_VALUE"""),204.5)</f>
        <v>204.5</v>
      </c>
      <c r="F34" s="35">
        <f>IFERROR(__xludf.DUMMYFUNCTION("""COMPUTED_VALUE"""),0.15403422982885084)</f>
        <v>0.1540342298</v>
      </c>
      <c r="G34" s="36">
        <f>IFERROR(__xludf.DUMMYFUNCTION("""COMPUTED_VALUE"""),128.0)</f>
        <v>128</v>
      </c>
      <c r="H34" s="35">
        <f>IFERROR(__xludf.DUMMYFUNCTION("""COMPUTED_VALUE"""),0.3515625)</f>
        <v>0.3515625</v>
      </c>
      <c r="I34" s="36">
        <f>IFERROR(__xludf.DUMMYFUNCTION("""COMPUTED_VALUE"""),170.9)</f>
        <v>170.9</v>
      </c>
      <c r="J34" s="35">
        <f>IFERROR(__xludf.DUMMYFUNCTION("""COMPUTED_VALUE"""),0.012287887653598561)</f>
        <v>0.01228788765</v>
      </c>
      <c r="K34" s="36" t="str">
        <f>IFERROR(__xludf.DUMMYFUNCTION("""COMPUTED_VALUE"""),"Piping")</f>
        <v>Piping</v>
      </c>
      <c r="L34" s="36" t="str">
        <f>IFERROR(__xludf.DUMMYFUNCTION("""COMPUTED_VALUE"""),"BOM:500940")</f>
        <v>BOM:500940</v>
      </c>
      <c r="M34" s="49" t="str">
        <f>IFERROR(__xludf.DUMMYFUNCTION("""COMPUTED_VALUE"""),"No")</f>
        <v>No</v>
      </c>
      <c r="N34" s="49" t="str">
        <f>IFERROR(__xludf.DUMMYFUNCTION("""COMPUTED_VALUE"""),"No")</f>
        <v>No</v>
      </c>
      <c r="O34" s="36" t="str">
        <f>IFERROR(__xludf.DUMMYFUNCTION("""COMPUTED_VALUE"""),"Good Stock")</f>
        <v>Good Stock</v>
      </c>
      <c r="P34" s="36" t="str">
        <f>IFERROR(__xludf.DUMMYFUNCTION("""COMPUTED_VALUE"""),"Low Cap")</f>
        <v>Low Cap</v>
      </c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</row>
    <row r="35">
      <c r="A35" s="36" t="str">
        <f>IFERROR(__xludf.DUMMYFUNCTION("""COMPUTED_VALUE"""),"UTI AMC")</f>
        <v>UTI AMC</v>
      </c>
      <c r="B35" s="51">
        <f>IFERROR(__xludf.DUMMYFUNCTION("""COMPUTED_VALUE"""),10284.2865)</f>
        <v>10284.2865</v>
      </c>
      <c r="C35" s="36">
        <f>IFERROR(__xludf.DUMMYFUNCTION("""COMPUTED_VALUE"""),807.2)</f>
        <v>807.2</v>
      </c>
      <c r="D35" s="36">
        <f>IFERROR(__xludf.DUMMYFUNCTION("""COMPUTED_VALUE"""),21.59)</f>
        <v>21.59</v>
      </c>
      <c r="E35" s="36">
        <f>IFERROR(__xludf.DUMMYFUNCTION("""COMPUTED_VALUE"""),1096.05)</f>
        <v>1096.05</v>
      </c>
      <c r="F35" s="35">
        <f>IFERROR(__xludf.DUMMYFUNCTION("""COMPUTED_VALUE"""),0.263537247388349)</f>
        <v>0.2635372474</v>
      </c>
      <c r="G35" s="36">
        <f>IFERROR(__xludf.DUMMYFUNCTION("""COMPUTED_VALUE"""),595.0)</f>
        <v>595</v>
      </c>
      <c r="H35" s="35">
        <f>IFERROR(__xludf.DUMMYFUNCTION("""COMPUTED_VALUE"""),0.35663865546218493)</f>
        <v>0.3566386555</v>
      </c>
      <c r="I35" s="36">
        <f>IFERROR(__xludf.DUMMYFUNCTION("""COMPUTED_VALUE"""),812.9)</f>
        <v>812.9</v>
      </c>
      <c r="J35" s="35">
        <f>IFERROR(__xludf.DUMMYFUNCTION("""COMPUTED_VALUE"""),-0.007011932587033992)</f>
        <v>-0.007011932587</v>
      </c>
      <c r="K35" s="36" t="str">
        <f>IFERROR(__xludf.DUMMYFUNCTION("""COMPUTED_VALUE"""),"AMC")</f>
        <v>AMC</v>
      </c>
      <c r="L35" s="36" t="str">
        <f>IFERROR(__xludf.DUMMYFUNCTION("""COMPUTED_VALUE"""),"BOM:543238")</f>
        <v>BOM:543238</v>
      </c>
      <c r="M35" s="49" t="str">
        <f>IFERROR(__xludf.DUMMYFUNCTION("""COMPUTED_VALUE"""),"No")</f>
        <v>No</v>
      </c>
      <c r="N35" s="49" t="str">
        <f>IFERROR(__xludf.DUMMYFUNCTION("""COMPUTED_VALUE"""),"No")</f>
        <v>No</v>
      </c>
      <c r="O35" s="36" t="str">
        <f>IFERROR(__xludf.DUMMYFUNCTION("""COMPUTED_VALUE"""),"Good Stock")</f>
        <v>Good Stock</v>
      </c>
      <c r="P35" s="36" t="str">
        <f>IFERROR(__xludf.DUMMYFUNCTION("""COMPUTED_VALUE"""),"Low Cap")</f>
        <v>Low Cap</v>
      </c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</row>
    <row r="36">
      <c r="A36" s="36" t="str">
        <f>IFERROR(__xludf.DUMMYFUNCTION("""COMPUTED_VALUE"""),"HFCL")</f>
        <v>HFCL</v>
      </c>
      <c r="B36" s="51">
        <f>IFERROR(__xludf.DUMMYFUNCTION("""COMPUTED_VALUE"""),10126.79307)</f>
        <v>10126.79307</v>
      </c>
      <c r="C36" s="36">
        <f>IFERROR(__xludf.DUMMYFUNCTION("""COMPUTED_VALUE"""),73.6)</f>
        <v>73.6</v>
      </c>
      <c r="D36" s="36">
        <f>IFERROR(__xludf.DUMMYFUNCTION("""COMPUTED_VALUE"""),36.15)</f>
        <v>36.15</v>
      </c>
      <c r="E36" s="36">
        <f>IFERROR(__xludf.DUMMYFUNCTION("""COMPUTED_VALUE"""),101.35)</f>
        <v>101.35</v>
      </c>
      <c r="F36" s="35">
        <f>IFERROR(__xludf.DUMMYFUNCTION("""COMPUTED_VALUE"""),0.2738036507153429)</f>
        <v>0.2738036507</v>
      </c>
      <c r="G36" s="36">
        <f>IFERROR(__xludf.DUMMYFUNCTION("""COMPUTED_VALUE"""),51.55)</f>
        <v>51.55</v>
      </c>
      <c r="H36" s="35">
        <f>IFERROR(__xludf.DUMMYFUNCTION("""COMPUTED_VALUE"""),0.42774005819592625)</f>
        <v>0.4277400582</v>
      </c>
      <c r="I36" s="36">
        <f>IFERROR(__xludf.DUMMYFUNCTION("""COMPUTED_VALUE"""),72.4)</f>
        <v>72.4</v>
      </c>
      <c r="J36" s="35">
        <f>IFERROR(__xludf.DUMMYFUNCTION("""COMPUTED_VALUE"""),0.01657458563535896)</f>
        <v>0.01657458564</v>
      </c>
      <c r="K36" s="36" t="str">
        <f>IFERROR(__xludf.DUMMYFUNCTION("""COMPUTED_VALUE"""),"Telecom")</f>
        <v>Telecom</v>
      </c>
      <c r="L36" s="36" t="str">
        <f>IFERROR(__xludf.DUMMYFUNCTION("""COMPUTED_VALUE"""),"BOM:500183")</f>
        <v>BOM:500183</v>
      </c>
      <c r="M36" s="49" t="str">
        <f>IFERROR(__xludf.DUMMYFUNCTION("""COMPUTED_VALUE"""),"No")</f>
        <v>No</v>
      </c>
      <c r="N36" s="49" t="str">
        <f>IFERROR(__xludf.DUMMYFUNCTION("""COMPUTED_VALUE"""),"No")</f>
        <v>No</v>
      </c>
      <c r="O36" s="36" t="str">
        <f>IFERROR(__xludf.DUMMYFUNCTION("""COMPUTED_VALUE"""),"Good Stock")</f>
        <v>Good Stock</v>
      </c>
      <c r="P36" s="36" t="str">
        <f>IFERROR(__xludf.DUMMYFUNCTION("""COMPUTED_VALUE"""),"Low Cap")</f>
        <v>Low Cap</v>
      </c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>
      <c r="A37" s="36" t="str">
        <f>IFERROR(__xludf.DUMMYFUNCTION("""COMPUTED_VALUE"""),"Amara Raja Batter")</f>
        <v>Amara Raja Batter</v>
      </c>
      <c r="B37" s="51">
        <f>IFERROR(__xludf.DUMMYFUNCTION("""COMPUTED_VALUE"""),9847.33486)</f>
        <v>9847.33486</v>
      </c>
      <c r="C37" s="36">
        <f>IFERROR(__xludf.DUMMYFUNCTION("""COMPUTED_VALUE"""),576.5)</f>
        <v>576.5</v>
      </c>
      <c r="D37" s="36">
        <f>IFERROR(__xludf.DUMMYFUNCTION("""COMPUTED_VALUE"""),17.05)</f>
        <v>17.05</v>
      </c>
      <c r="E37" s="36">
        <f>IFERROR(__xludf.DUMMYFUNCTION("""COMPUTED_VALUE"""),668.15)</f>
        <v>668.15</v>
      </c>
      <c r="F37" s="35">
        <f>IFERROR(__xludf.DUMMYFUNCTION("""COMPUTED_VALUE"""),0.13716979720122724)</f>
        <v>0.1371697972</v>
      </c>
      <c r="G37" s="36">
        <f>IFERROR(__xludf.DUMMYFUNCTION("""COMPUTED_VALUE"""),438.05)</f>
        <v>438.05</v>
      </c>
      <c r="H37" s="35">
        <f>IFERROR(__xludf.DUMMYFUNCTION("""COMPUTED_VALUE"""),0.31605981052391274)</f>
        <v>0.3160598105</v>
      </c>
      <c r="I37" s="36">
        <f>IFERROR(__xludf.DUMMYFUNCTION("""COMPUTED_VALUE"""),590.95)</f>
        <v>590.95</v>
      </c>
      <c r="J37" s="35">
        <f>IFERROR(__xludf.DUMMYFUNCTION("""COMPUTED_VALUE"""),-0.02445215331246306)</f>
        <v>-0.02445215331</v>
      </c>
      <c r="K37" s="36" t="str">
        <f>IFERROR(__xludf.DUMMYFUNCTION("""COMPUTED_VALUE"""),"Automobile Ancilliary")</f>
        <v>Automobile Ancilliary</v>
      </c>
      <c r="L37" s="36" t="str">
        <f>IFERROR(__xludf.DUMMYFUNCTION("""COMPUTED_VALUE"""),"AMARAJABAT")</f>
        <v>AMARAJABAT</v>
      </c>
      <c r="M37" s="49" t="str">
        <f>IFERROR(__xludf.DUMMYFUNCTION("""COMPUTED_VALUE"""),"No")</f>
        <v>No</v>
      </c>
      <c r="N37" s="49" t="str">
        <f>IFERROR(__xludf.DUMMYFUNCTION("""COMPUTED_VALUE"""),"No")</f>
        <v>No</v>
      </c>
      <c r="O37" s="36" t="str">
        <f>IFERROR(__xludf.DUMMYFUNCTION("""COMPUTED_VALUE"""),"Good Stock")</f>
        <v>Good Stock</v>
      </c>
      <c r="P37" s="36" t="str">
        <f>IFERROR(__xludf.DUMMYFUNCTION("""COMPUTED_VALUE"""),"Low Cap")</f>
        <v>Low Cap</v>
      </c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</row>
    <row r="38">
      <c r="A38" s="36" t="str">
        <f>IFERROR(__xludf.DUMMYFUNCTION("""COMPUTED_VALUE"""),"Poly Medicure Ltd")</f>
        <v>Poly Medicure Ltd</v>
      </c>
      <c r="B38" s="51">
        <f>IFERROR(__xludf.DUMMYFUNCTION("""COMPUTED_VALUE"""),8584.669055)</f>
        <v>8584.669055</v>
      </c>
      <c r="C38" s="36">
        <f>IFERROR(__xludf.DUMMYFUNCTION("""COMPUTED_VALUE"""),891.5)</f>
        <v>891.5</v>
      </c>
      <c r="D38" s="36">
        <f>IFERROR(__xludf.DUMMYFUNCTION("""COMPUTED_VALUE"""),61.12)</f>
        <v>61.12</v>
      </c>
      <c r="E38" s="36">
        <f>IFERROR(__xludf.DUMMYFUNCTION("""COMPUTED_VALUE"""),1044.4)</f>
        <v>1044.4</v>
      </c>
      <c r="F38" s="35">
        <f>IFERROR(__xludf.DUMMYFUNCTION("""COMPUTED_VALUE"""),0.14639984680199164)</f>
        <v>0.1463998468</v>
      </c>
      <c r="G38" s="36">
        <f>IFERROR(__xludf.DUMMYFUNCTION("""COMPUTED_VALUE"""),652.3)</f>
        <v>652.3</v>
      </c>
      <c r="H38" s="35">
        <f>IFERROR(__xludf.DUMMYFUNCTION("""COMPUTED_VALUE"""),0.36670243752874454)</f>
        <v>0.3667024375</v>
      </c>
      <c r="I38" s="36">
        <f>IFERROR(__xludf.DUMMYFUNCTION("""COMPUTED_VALUE"""),897.9)</f>
        <v>897.9</v>
      </c>
      <c r="J38" s="35">
        <f>IFERROR(__xludf.DUMMYFUNCTION("""COMPUTED_VALUE"""),-0.00712774251030179)</f>
        <v>-0.00712774251</v>
      </c>
      <c r="K38" s="36" t="str">
        <f>IFERROR(__xludf.DUMMYFUNCTION("""COMPUTED_VALUE"""),"Healthcare")</f>
        <v>Healthcare</v>
      </c>
      <c r="L38" s="36" t="str">
        <f>IFERROR(__xludf.DUMMYFUNCTION("""COMPUTED_VALUE"""),"BOM:531768")</f>
        <v>BOM:531768</v>
      </c>
      <c r="M38" s="49" t="str">
        <f>IFERROR(__xludf.DUMMYFUNCTION("""COMPUTED_VALUE"""),"No")</f>
        <v>No</v>
      </c>
      <c r="N38" s="49" t="str">
        <f>IFERROR(__xludf.DUMMYFUNCTION("""COMPUTED_VALUE"""),"No")</f>
        <v>No</v>
      </c>
      <c r="O38" s="36" t="str">
        <f>IFERROR(__xludf.DUMMYFUNCTION("""COMPUTED_VALUE"""),"Good Stock")</f>
        <v>Good Stock</v>
      </c>
      <c r="P38" s="36" t="str">
        <f>IFERROR(__xludf.DUMMYFUNCTION("""COMPUTED_VALUE"""),"Low Cap")</f>
        <v>Low Cap</v>
      </c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</row>
    <row r="39">
      <c r="A39" s="36" t="str">
        <f>IFERROR(__xludf.DUMMYFUNCTION("""COMPUTED_VALUE"""),"Finolex Cable")</f>
        <v>Finolex Cable</v>
      </c>
      <c r="B39" s="51">
        <f>IFERROR(__xludf.DUMMYFUNCTION("""COMPUTED_VALUE"""),8463.6612353)</f>
        <v>8463.661235</v>
      </c>
      <c r="C39" s="36">
        <f>IFERROR(__xludf.DUMMYFUNCTION("""COMPUTED_VALUE"""),553.4)</f>
        <v>553.4</v>
      </c>
      <c r="D39" s="36">
        <f>IFERROR(__xludf.DUMMYFUNCTION("""COMPUTED_VALUE"""),15.6)</f>
        <v>15.6</v>
      </c>
      <c r="E39" s="36">
        <f>IFERROR(__xludf.DUMMYFUNCTION("""COMPUTED_VALUE"""),593.9)</f>
        <v>593.9</v>
      </c>
      <c r="F39" s="35">
        <f>IFERROR(__xludf.DUMMYFUNCTION("""COMPUTED_VALUE"""),0.06819329853510692)</f>
        <v>0.06819329854</v>
      </c>
      <c r="G39" s="36">
        <f>IFERROR(__xludf.DUMMYFUNCTION("""COMPUTED_VALUE"""),343.5)</f>
        <v>343.5</v>
      </c>
      <c r="H39" s="35">
        <f>IFERROR(__xludf.DUMMYFUNCTION("""COMPUTED_VALUE"""),0.6110625909752546)</f>
        <v>0.611062591</v>
      </c>
      <c r="I39" s="36">
        <f>IFERROR(__xludf.DUMMYFUNCTION("""COMPUTED_VALUE"""),539.85)</f>
        <v>539.85</v>
      </c>
      <c r="J39" s="35">
        <f>IFERROR(__xludf.DUMMYFUNCTION("""COMPUTED_VALUE"""),0.02509956469389637)</f>
        <v>0.02509956469</v>
      </c>
      <c r="K39" s="36" t="str">
        <f>IFERROR(__xludf.DUMMYFUNCTION("""COMPUTED_VALUE"""),"Consumer Electrical")</f>
        <v>Consumer Electrical</v>
      </c>
      <c r="L39" s="36" t="str">
        <f>IFERROR(__xludf.DUMMYFUNCTION("""COMPUTED_VALUE"""),"FINCABLES")</f>
        <v>FINCABLES</v>
      </c>
      <c r="M39" s="49" t="str">
        <f>IFERROR(__xludf.DUMMYFUNCTION("""COMPUTED_VALUE"""),"No")</f>
        <v>No</v>
      </c>
      <c r="N39" s="49" t="str">
        <f>IFERROR(__xludf.DUMMYFUNCTION("""COMPUTED_VALUE"""),"No")</f>
        <v>No</v>
      </c>
      <c r="O39" s="36" t="str">
        <f>IFERROR(__xludf.DUMMYFUNCTION("""COMPUTED_VALUE"""),"Good Stock")</f>
        <v>Good Stock</v>
      </c>
      <c r="P39" s="36" t="str">
        <f>IFERROR(__xludf.DUMMYFUNCTION("""COMPUTED_VALUE"""),"Low Cap")</f>
        <v>Low Cap</v>
      </c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>
      <c r="A40" s="36" t="str">
        <f>IFERROR(__xludf.DUMMYFUNCTION("""COMPUTED_VALUE"""),"Granules India")</f>
        <v>Granules India</v>
      </c>
      <c r="B40" s="51">
        <f>IFERROR(__xludf.DUMMYFUNCTION("""COMPUTED_VALUE"""),7705.431)</f>
        <v>7705.431</v>
      </c>
      <c r="C40" s="36">
        <f>IFERROR(__xludf.DUMMYFUNCTION("""COMPUTED_VALUE"""),318.6)</f>
        <v>318.6</v>
      </c>
      <c r="D40" s="36">
        <f>IFERROR(__xludf.DUMMYFUNCTION("""COMPUTED_VALUE"""),16.36)</f>
        <v>16.36</v>
      </c>
      <c r="E40" s="36">
        <f>IFERROR(__xludf.DUMMYFUNCTION("""COMPUTED_VALUE"""),381.25)</f>
        <v>381.25</v>
      </c>
      <c r="F40" s="35">
        <f>IFERROR(__xludf.DUMMYFUNCTION("""COMPUTED_VALUE"""),0.16432786885245895)</f>
        <v>0.1643278689</v>
      </c>
      <c r="G40" s="36">
        <f>IFERROR(__xludf.DUMMYFUNCTION("""COMPUTED_VALUE"""),227.0)</f>
        <v>227</v>
      </c>
      <c r="H40" s="35">
        <f>IFERROR(__xludf.DUMMYFUNCTION("""COMPUTED_VALUE"""),0.40352422907489)</f>
        <v>0.4035242291</v>
      </c>
      <c r="I40" s="36">
        <f>IFERROR(__xludf.DUMMYFUNCTION("""COMPUTED_VALUE"""),318.15)</f>
        <v>318.15</v>
      </c>
      <c r="J40" s="35">
        <f>IFERROR(__xludf.DUMMYFUNCTION("""COMPUTED_VALUE"""),0.0014144271570015574)</f>
        <v>0.001414427157</v>
      </c>
      <c r="K40" s="36" t="str">
        <f>IFERROR(__xludf.DUMMYFUNCTION("""COMPUTED_VALUE"""),"Pharma")</f>
        <v>Pharma</v>
      </c>
      <c r="L40" s="36" t="str">
        <f>IFERROR(__xludf.DUMMYFUNCTION("""COMPUTED_VALUE"""),"BOM:532482")</f>
        <v>BOM:532482</v>
      </c>
      <c r="M40" s="49" t="str">
        <f>IFERROR(__xludf.DUMMYFUNCTION("""COMPUTED_VALUE"""),"No")</f>
        <v>No</v>
      </c>
      <c r="N40" s="49" t="str">
        <f>IFERROR(__xludf.DUMMYFUNCTION("""COMPUTED_VALUE"""),"No")</f>
        <v>No</v>
      </c>
      <c r="O40" s="36" t="str">
        <f>IFERROR(__xludf.DUMMYFUNCTION("""COMPUTED_VALUE"""),"Good Stock")</f>
        <v>Good Stock</v>
      </c>
      <c r="P40" s="36" t="str">
        <f>IFERROR(__xludf.DUMMYFUNCTION("""COMPUTED_VALUE"""),"Low Cap")</f>
        <v>Low Cap</v>
      </c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</row>
    <row r="41">
      <c r="A41" s="36" t="str">
        <f>IFERROR(__xludf.DUMMYFUNCTION("""COMPUTED_VALUE"""),"ICICI Bank")</f>
        <v>ICICI Bank</v>
      </c>
      <c r="B41" s="51">
        <f>IFERROR(__xludf.DUMMYFUNCTION("""COMPUTED_VALUE"""),7451.4657292)</f>
        <v>7451.465729</v>
      </c>
      <c r="C41" s="36">
        <f>IFERROR(__xludf.DUMMYFUNCTION("""COMPUTED_VALUE"""),873.25)</f>
        <v>873.25</v>
      </c>
      <c r="D41" s="36">
        <f>IFERROR(__xludf.DUMMYFUNCTION("""COMPUTED_VALUE"""),20.88)</f>
        <v>20.88</v>
      </c>
      <c r="E41" s="36">
        <f>IFERROR(__xludf.DUMMYFUNCTION("""COMPUTED_VALUE"""),958.0)</f>
        <v>958</v>
      </c>
      <c r="F41" s="35">
        <f>IFERROR(__xludf.DUMMYFUNCTION("""COMPUTED_VALUE"""),0.08846555323590814)</f>
        <v>0.08846555324</v>
      </c>
      <c r="G41" s="36">
        <f>IFERROR(__xludf.DUMMYFUNCTION("""COMPUTED_VALUE"""),642.0)</f>
        <v>642</v>
      </c>
      <c r="H41" s="35">
        <f>IFERROR(__xludf.DUMMYFUNCTION("""COMPUTED_VALUE"""),0.36020249221183803)</f>
        <v>0.3602024922</v>
      </c>
      <c r="I41" s="36">
        <f>IFERROR(__xludf.DUMMYFUNCTION("""COMPUTED_VALUE"""),861.2)</f>
        <v>861.2</v>
      </c>
      <c r="J41" s="35">
        <f>IFERROR(__xludf.DUMMYFUNCTION("""COMPUTED_VALUE"""),0.013992104040873147)</f>
        <v>0.01399210404</v>
      </c>
      <c r="K41" s="36" t="str">
        <f>IFERROR(__xludf.DUMMYFUNCTION("""COMPUTED_VALUE"""),"Bank")</f>
        <v>Bank</v>
      </c>
      <c r="L41" s="36" t="str">
        <f>IFERROR(__xludf.DUMMYFUNCTION("""COMPUTED_VALUE"""),"BOM:532174")</f>
        <v>BOM:532174</v>
      </c>
      <c r="M41" s="49" t="str">
        <f>IFERROR(__xludf.DUMMYFUNCTION("""COMPUTED_VALUE"""),"No")</f>
        <v>No</v>
      </c>
      <c r="N41" s="49" t="str">
        <f>IFERROR(__xludf.DUMMYFUNCTION("""COMPUTED_VALUE"""),"No")</f>
        <v>No</v>
      </c>
      <c r="O41" s="36" t="str">
        <f>IFERROR(__xludf.DUMMYFUNCTION("""COMPUTED_VALUE"""),"Good Stock")</f>
        <v>Good Stock</v>
      </c>
      <c r="P41" s="36" t="str">
        <f>IFERROR(__xludf.DUMMYFUNCTION("""COMPUTED_VALUE"""),"Low Cap")</f>
        <v>Low Cap</v>
      </c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</row>
    <row r="42">
      <c r="A42" s="36" t="str">
        <f>IFERROR(__xludf.DUMMYFUNCTION("""COMPUTED_VALUE"""),"craftsman automation")</f>
        <v>craftsman automation</v>
      </c>
      <c r="B42" s="51">
        <f>IFERROR(__xludf.DUMMYFUNCTION("""COMPUTED_VALUE"""),7324.341471)</f>
        <v>7324.341471</v>
      </c>
      <c r="C42" s="36">
        <f>IFERROR(__xludf.DUMMYFUNCTION("""COMPUTED_VALUE"""),3465.1)</f>
        <v>3465.1</v>
      </c>
      <c r="D42" s="36">
        <f>IFERROR(__xludf.DUMMYFUNCTION("""COMPUTED_VALUE"""),35.75)</f>
        <v>35.75</v>
      </c>
      <c r="E42" s="36">
        <f>IFERROR(__xludf.DUMMYFUNCTION("""COMPUTED_VALUE"""),3709.95)</f>
        <v>3709.95</v>
      </c>
      <c r="F42" s="35">
        <f>IFERROR(__xludf.DUMMYFUNCTION("""COMPUTED_VALUE"""),0.06599819404574184)</f>
        <v>0.06599819405</v>
      </c>
      <c r="G42" s="36">
        <f>IFERROR(__xludf.DUMMYFUNCTION("""COMPUTED_VALUE"""),1845.0)</f>
        <v>1845</v>
      </c>
      <c r="H42" s="35">
        <f>IFERROR(__xludf.DUMMYFUNCTION("""COMPUTED_VALUE"""),0.8781029810298102)</f>
        <v>0.878102981</v>
      </c>
      <c r="I42" s="36">
        <f>IFERROR(__xludf.DUMMYFUNCTION("""COMPUTED_VALUE"""),3461.8)</f>
        <v>3461.8</v>
      </c>
      <c r="J42" s="35">
        <f>IFERROR(__xludf.DUMMYFUNCTION("""COMPUTED_VALUE"""),9.532613091454524E-4)</f>
        <v>0.0009532613091</v>
      </c>
      <c r="K42" s="36" t="str">
        <f>IFERROR(__xludf.DUMMYFUNCTION("""COMPUTED_VALUE"""),"automobile")</f>
        <v>automobile</v>
      </c>
      <c r="L42" s="36" t="str">
        <f>IFERROR(__xludf.DUMMYFUNCTION("""COMPUTED_VALUE"""),"BOM:543276")</f>
        <v>BOM:543276</v>
      </c>
      <c r="M42" s="49" t="str">
        <f>IFERROR(__xludf.DUMMYFUNCTION("""COMPUTED_VALUE"""),"No")</f>
        <v>No</v>
      </c>
      <c r="N42" s="49" t="str">
        <f>IFERROR(__xludf.DUMMYFUNCTION("""COMPUTED_VALUE"""),"No")</f>
        <v>No</v>
      </c>
      <c r="O42" s="36" t="str">
        <f>IFERROR(__xludf.DUMMYFUNCTION("""COMPUTED_VALUE"""),"Good Stock")</f>
        <v>Good Stock</v>
      </c>
      <c r="P42" s="36" t="str">
        <f>IFERROR(__xludf.DUMMYFUNCTION("""COMPUTED_VALUE"""),"Low Cap")</f>
        <v>Low Cap</v>
      </c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</row>
    <row r="43">
      <c r="A43" s="36" t="str">
        <f>IFERROR(__xludf.DUMMYFUNCTION("""COMPUTED_VALUE"""),"Cera Sanitaryware")</f>
        <v>Cera Sanitaryware</v>
      </c>
      <c r="B43" s="51">
        <f>IFERROR(__xludf.DUMMYFUNCTION("""COMPUTED_VALUE"""),6919.97)</f>
        <v>6919.97</v>
      </c>
      <c r="C43" s="36">
        <f>IFERROR(__xludf.DUMMYFUNCTION("""COMPUTED_VALUE"""),5294.0)</f>
        <v>5294</v>
      </c>
      <c r="D43" s="36">
        <f>IFERROR(__xludf.DUMMYFUNCTION("""COMPUTED_VALUE"""),37.0)</f>
        <v>37</v>
      </c>
      <c r="E43" s="36">
        <f>IFERROR(__xludf.DUMMYFUNCTION("""COMPUTED_VALUE"""),6067.95)</f>
        <v>6067.95</v>
      </c>
      <c r="F43" s="35">
        <f>IFERROR(__xludf.DUMMYFUNCTION("""COMPUTED_VALUE"""),0.1275471946868382)</f>
        <v>0.1275471947</v>
      </c>
      <c r="G43" s="36">
        <f>IFERROR(__xludf.DUMMYFUNCTION("""COMPUTED_VALUE"""),3518.6)</f>
        <v>3518.6</v>
      </c>
      <c r="H43" s="35">
        <f>IFERROR(__xludf.DUMMYFUNCTION("""COMPUTED_VALUE"""),0.5045756835104872)</f>
        <v>0.5045756835</v>
      </c>
      <c r="I43" s="36">
        <f>IFERROR(__xludf.DUMMYFUNCTION("""COMPUTED_VALUE"""),5320.0)</f>
        <v>5320</v>
      </c>
      <c r="J43" s="35">
        <f>IFERROR(__xludf.DUMMYFUNCTION("""COMPUTED_VALUE"""),-0.004887218045112782)</f>
        <v>-0.004887218045</v>
      </c>
      <c r="K43" s="36" t="str">
        <f>IFERROR(__xludf.DUMMYFUNCTION("""COMPUTED_VALUE"""),"Ceramics")</f>
        <v>Ceramics</v>
      </c>
      <c r="L43" s="36" t="str">
        <f>IFERROR(__xludf.DUMMYFUNCTION("""COMPUTED_VALUE"""),"BOM:532443")</f>
        <v>BOM:532443</v>
      </c>
      <c r="M43" s="49" t="str">
        <f>IFERROR(__xludf.DUMMYFUNCTION("""COMPUTED_VALUE"""),"No")</f>
        <v>No</v>
      </c>
      <c r="N43" s="49" t="str">
        <f>IFERROR(__xludf.DUMMYFUNCTION("""COMPUTED_VALUE"""),"No")</f>
        <v>No</v>
      </c>
      <c r="O43" s="36" t="str">
        <f>IFERROR(__xludf.DUMMYFUNCTION("""COMPUTED_VALUE"""),"Good Stock")</f>
        <v>Good Stock</v>
      </c>
      <c r="P43" s="36" t="str">
        <f>IFERROR(__xludf.DUMMYFUNCTION("""COMPUTED_VALUE"""),"Low Cap")</f>
        <v>Low Cap</v>
      </c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</row>
    <row r="44">
      <c r="A44" s="36" t="str">
        <f>IFERROR(__xludf.DUMMYFUNCTION("""COMPUTED_VALUE"""),"Data Pattern")</f>
        <v>Data Pattern</v>
      </c>
      <c r="B44" s="51">
        <f>IFERROR(__xludf.DUMMYFUNCTION("""COMPUTED_VALUE"""),6367.8328518)</f>
        <v>6367.832852</v>
      </c>
      <c r="C44" s="36">
        <f>IFERROR(__xludf.DUMMYFUNCTION("""COMPUTED_VALUE"""),1227.1)</f>
        <v>1227.1</v>
      </c>
      <c r="D44" s="36">
        <f>IFERROR(__xludf.DUMMYFUNCTION("""COMPUTED_VALUE"""),59.65)</f>
        <v>59.65</v>
      </c>
      <c r="E44" s="36">
        <f>IFERROR(__xludf.DUMMYFUNCTION("""COMPUTED_VALUE"""),1480.0)</f>
        <v>1480</v>
      </c>
      <c r="F44" s="35">
        <f>IFERROR(__xludf.DUMMYFUNCTION("""COMPUTED_VALUE"""),0.17087837837837844)</f>
        <v>0.1708783784</v>
      </c>
      <c r="G44" s="36">
        <f>IFERROR(__xludf.DUMMYFUNCTION("""COMPUTED_VALUE"""),575.0)</f>
        <v>575</v>
      </c>
      <c r="H44" s="35">
        <f>IFERROR(__xludf.DUMMYFUNCTION("""COMPUTED_VALUE"""),1.134086956521739)</f>
        <v>1.134086957</v>
      </c>
      <c r="I44" s="36">
        <f>IFERROR(__xludf.DUMMYFUNCTION("""COMPUTED_VALUE"""),1161.25)</f>
        <v>1161.25</v>
      </c>
      <c r="J44" s="35">
        <f>IFERROR(__xludf.DUMMYFUNCTION("""COMPUTED_VALUE"""),0.05670613562970929)</f>
        <v>0.05670613563</v>
      </c>
      <c r="K44" s="36" t="str">
        <f>IFERROR(__xludf.DUMMYFUNCTION("""COMPUTED_VALUE"""),"Technology")</f>
        <v>Technology</v>
      </c>
      <c r="L44" s="36" t="str">
        <f>IFERROR(__xludf.DUMMYFUNCTION("""COMPUTED_VALUE"""),"BOM:543428")</f>
        <v>BOM:543428</v>
      </c>
      <c r="M44" s="49" t="str">
        <f>IFERROR(__xludf.DUMMYFUNCTION("""COMPUTED_VALUE"""),"No")</f>
        <v>No</v>
      </c>
      <c r="N44" s="49" t="str">
        <f>IFERROR(__xludf.DUMMYFUNCTION("""COMPUTED_VALUE"""),"No")</f>
        <v>No</v>
      </c>
      <c r="O44" s="36" t="str">
        <f>IFERROR(__xludf.DUMMYFUNCTION("""COMPUTED_VALUE"""),"Good Stock")</f>
        <v>Good Stock</v>
      </c>
      <c r="P44" s="36" t="str">
        <f>IFERROR(__xludf.DUMMYFUNCTION("""COMPUTED_VALUE"""),"Low Cap")</f>
        <v>Low Cap</v>
      </c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</row>
    <row r="45">
      <c r="A45" s="36" t="str">
        <f>IFERROR(__xludf.DUMMYFUNCTION("""COMPUTED_VALUE"""),"Somany home innovation ltd")</f>
        <v>Somany home innovation ltd</v>
      </c>
      <c r="B45" s="51">
        <f>IFERROR(__xludf.DUMMYFUNCTION("""COMPUTED_VALUE"""),3335.191069)</f>
        <v>3335.191069</v>
      </c>
      <c r="C45" s="36">
        <f>IFERROR(__xludf.DUMMYFUNCTION("""COMPUTED_VALUE"""),462.25)</f>
        <v>462.25</v>
      </c>
      <c r="D45" s="36">
        <f>IFERROR(__xludf.DUMMYFUNCTION("""COMPUTED_VALUE"""),33.36)</f>
        <v>33.36</v>
      </c>
      <c r="E45" s="36">
        <f>IFERROR(__xludf.DUMMYFUNCTION("""COMPUTED_VALUE"""),480.4)</f>
        <v>480.4</v>
      </c>
      <c r="F45" s="35">
        <f>IFERROR(__xludf.DUMMYFUNCTION("""COMPUTED_VALUE"""),0.03778101582014983)</f>
        <v>0.03778101582</v>
      </c>
      <c r="G45" s="36">
        <f>IFERROR(__xludf.DUMMYFUNCTION("""COMPUTED_VALUE"""),258.95)</f>
        <v>258.95</v>
      </c>
      <c r="H45" s="35">
        <f>IFERROR(__xludf.DUMMYFUNCTION("""COMPUTED_VALUE"""),0.7850936474222824)</f>
        <v>0.7850936474</v>
      </c>
      <c r="I45" s="36">
        <f>IFERROR(__xludf.DUMMYFUNCTION("""COMPUTED_VALUE"""),473.2)</f>
        <v>473.2</v>
      </c>
      <c r="J45" s="35">
        <f>IFERROR(__xludf.DUMMYFUNCTION("""COMPUTED_VALUE"""),-0.02314032121724427)</f>
        <v>-0.02314032122</v>
      </c>
      <c r="K45" s="36" t="str">
        <f>IFERROR(__xludf.DUMMYFUNCTION("""COMPUTED_VALUE"""),"Kitchen Appliances")</f>
        <v>Kitchen Appliances</v>
      </c>
      <c r="L45" s="36" t="str">
        <f>IFERROR(__xludf.DUMMYFUNCTION("""COMPUTED_VALUE"""),"BOM:542905")</f>
        <v>BOM:542905</v>
      </c>
      <c r="M45" s="49" t="str">
        <f>IFERROR(__xludf.DUMMYFUNCTION("""COMPUTED_VALUE"""),"No")</f>
        <v>No</v>
      </c>
      <c r="N45" s="49" t="str">
        <f>IFERROR(__xludf.DUMMYFUNCTION("""COMPUTED_VALUE"""),"No")</f>
        <v>No</v>
      </c>
      <c r="O45" s="36" t="str">
        <f>IFERROR(__xludf.DUMMYFUNCTION("""COMPUTED_VALUE"""),"Good Stock")</f>
        <v>Good Stock</v>
      </c>
      <c r="P45" s="36" t="str">
        <f>IFERROR(__xludf.DUMMYFUNCTION("""COMPUTED_VALUE"""),"Low Cap")</f>
        <v>Low Cap</v>
      </c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</row>
    <row r="46">
      <c r="A46" s="36" t="str">
        <f>IFERROR(__xludf.DUMMYFUNCTION("""COMPUTED_VALUE"""),"Astec Lifesciences")</f>
        <v>Astec Lifesciences</v>
      </c>
      <c r="B46" s="51">
        <f>IFERROR(__xludf.DUMMYFUNCTION("""COMPUTED_VALUE"""),3279.733)</f>
        <v>3279.733</v>
      </c>
      <c r="C46" s="36">
        <f>IFERROR(__xludf.DUMMYFUNCTION("""COMPUTED_VALUE"""),1669.3)</f>
        <v>1669.3</v>
      </c>
      <c r="D46" s="36">
        <f>IFERROR(__xludf.DUMMYFUNCTION("""COMPUTED_VALUE"""),33.56)</f>
        <v>33.56</v>
      </c>
      <c r="E46" s="36">
        <f>IFERROR(__xludf.DUMMYFUNCTION("""COMPUTED_VALUE"""),2285.65)</f>
        <v>2285.65</v>
      </c>
      <c r="F46" s="35">
        <f>IFERROR(__xludf.DUMMYFUNCTION("""COMPUTED_VALUE"""),0.2696607092074465)</f>
        <v>0.2696607092</v>
      </c>
      <c r="G46" s="36">
        <f>IFERROR(__xludf.DUMMYFUNCTION("""COMPUTED_VALUE"""),1276.15)</f>
        <v>1276.15</v>
      </c>
      <c r="H46" s="35">
        <f>IFERROR(__xludf.DUMMYFUNCTION("""COMPUTED_VALUE"""),0.30807506954511604)</f>
        <v>0.3080750695</v>
      </c>
      <c r="I46" s="36">
        <f>IFERROR(__xludf.DUMMYFUNCTION("""COMPUTED_VALUE"""),1635.25)</f>
        <v>1635.25</v>
      </c>
      <c r="J46" s="35">
        <f>IFERROR(__xludf.DUMMYFUNCTION("""COMPUTED_VALUE"""),0.020822504204250088)</f>
        <v>0.0208225042</v>
      </c>
      <c r="K46" s="36" t="str">
        <f>IFERROR(__xludf.DUMMYFUNCTION("""COMPUTED_VALUE"""),"Pharma")</f>
        <v>Pharma</v>
      </c>
      <c r="L46" s="36" t="str">
        <f>IFERROR(__xludf.DUMMYFUNCTION("""COMPUTED_VALUE"""),"BOM:533138")</f>
        <v>BOM:533138</v>
      </c>
      <c r="M46" s="49" t="str">
        <f>IFERROR(__xludf.DUMMYFUNCTION("""COMPUTED_VALUE"""),"No")</f>
        <v>No</v>
      </c>
      <c r="N46" s="49" t="str">
        <f>IFERROR(__xludf.DUMMYFUNCTION("""COMPUTED_VALUE"""),"No")</f>
        <v>No</v>
      </c>
      <c r="O46" s="36" t="str">
        <f>IFERROR(__xludf.DUMMYFUNCTION("""COMPUTED_VALUE"""),"Good Stock")</f>
        <v>Good Stock</v>
      </c>
      <c r="P46" s="36" t="str">
        <f>IFERROR(__xludf.DUMMYFUNCTION("""COMPUTED_VALUE"""),"Low Cap")</f>
        <v>Low Cap</v>
      </c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</row>
    <row r="47">
      <c r="A47" s="36" t="str">
        <f>IFERROR(__xludf.DUMMYFUNCTION("""COMPUTED_VALUE"""),"Mold tech")</f>
        <v>Mold tech</v>
      </c>
      <c r="B47" s="51">
        <f>IFERROR(__xludf.DUMMYFUNCTION("""COMPUTED_VALUE"""),3279.606)</f>
        <v>3279.606</v>
      </c>
      <c r="C47" s="36">
        <f>IFERROR(__xludf.DUMMYFUNCTION("""COMPUTED_VALUE"""),988.1)</f>
        <v>988.1</v>
      </c>
      <c r="D47" s="36">
        <f>IFERROR(__xludf.DUMMYFUNCTION("""COMPUTED_VALUE"""),41.73)</f>
        <v>41.73</v>
      </c>
      <c r="E47" s="36">
        <f>IFERROR(__xludf.DUMMYFUNCTION("""COMPUTED_VALUE"""),1057.85)</f>
        <v>1057.85</v>
      </c>
      <c r="F47" s="35">
        <f>IFERROR(__xludf.DUMMYFUNCTION("""COMPUTED_VALUE"""),0.06593562414330945)</f>
        <v>0.06593562414</v>
      </c>
      <c r="G47" s="36">
        <f>IFERROR(__xludf.DUMMYFUNCTION("""COMPUTED_VALUE"""),648.05)</f>
        <v>648.05</v>
      </c>
      <c r="H47" s="35">
        <f>IFERROR(__xludf.DUMMYFUNCTION("""COMPUTED_VALUE"""),0.52472803024458)</f>
        <v>0.5247280302</v>
      </c>
      <c r="I47" s="36">
        <f>IFERROR(__xludf.DUMMYFUNCTION("""COMPUTED_VALUE"""),991.35)</f>
        <v>991.35</v>
      </c>
      <c r="J47" s="35">
        <f>IFERROR(__xludf.DUMMYFUNCTION("""COMPUTED_VALUE"""),-0.0032783577949261106)</f>
        <v>-0.003278357795</v>
      </c>
      <c r="K47" s="36"/>
      <c r="L47" s="36" t="str">
        <f>IFERROR(__xludf.DUMMYFUNCTION("""COMPUTED_VALUE"""),"BOM:533080")</f>
        <v>BOM:533080</v>
      </c>
      <c r="M47" s="49" t="str">
        <f>IFERROR(__xludf.DUMMYFUNCTION("""COMPUTED_VALUE"""),"No")</f>
        <v>No</v>
      </c>
      <c r="N47" s="49" t="str">
        <f>IFERROR(__xludf.DUMMYFUNCTION("""COMPUTED_VALUE"""),"No")</f>
        <v>No</v>
      </c>
      <c r="O47" s="36" t="str">
        <f>IFERROR(__xludf.DUMMYFUNCTION("""COMPUTED_VALUE"""),"Good Stock")</f>
        <v>Good Stock</v>
      </c>
      <c r="P47" s="36" t="str">
        <f>IFERROR(__xludf.DUMMYFUNCTION("""COMPUTED_VALUE"""),"Low Cap")</f>
        <v>Low Cap</v>
      </c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>
      <c r="A48" s="36" t="str">
        <f>IFERROR(__xludf.DUMMYFUNCTION("""COMPUTED_VALUE"""),"Goldiam International")</f>
        <v>Goldiam International</v>
      </c>
      <c r="B48" s="51">
        <f>IFERROR(__xludf.DUMMYFUNCTION("""COMPUTED_VALUE"""),1794.8020805)</f>
        <v>1794.802081</v>
      </c>
      <c r="C48" s="36">
        <f>IFERROR(__xludf.DUMMYFUNCTION("""COMPUTED_VALUE"""),165.55)</f>
        <v>165.55</v>
      </c>
      <c r="D48" s="36">
        <f>IFERROR(__xludf.DUMMYFUNCTION("""COMPUTED_VALUE"""),17.83)</f>
        <v>17.83</v>
      </c>
      <c r="E48" s="36">
        <f>IFERROR(__xludf.DUMMYFUNCTION("""COMPUTED_VALUE"""),209.41)</f>
        <v>209.41</v>
      </c>
      <c r="F48" s="35">
        <f>IFERROR(__xludf.DUMMYFUNCTION("""COMPUTED_VALUE"""),0.2094455852156057)</f>
        <v>0.2094455852</v>
      </c>
      <c r="G48" s="36">
        <f>IFERROR(__xludf.DUMMYFUNCTION("""COMPUTED_VALUE"""),116.75)</f>
        <v>116.75</v>
      </c>
      <c r="H48" s="35">
        <f>IFERROR(__xludf.DUMMYFUNCTION("""COMPUTED_VALUE"""),0.41798715203426134)</f>
        <v>0.417987152</v>
      </c>
      <c r="I48" s="36">
        <f>IFERROR(__xludf.DUMMYFUNCTION("""COMPUTED_VALUE"""),165.4)</f>
        <v>165.4</v>
      </c>
      <c r="J48" s="35">
        <f>IFERROR(__xludf.DUMMYFUNCTION("""COMPUTED_VALUE"""),9.068923821040247E-4)</f>
        <v>0.0009068923821</v>
      </c>
      <c r="K48" s="36" t="str">
        <f>IFERROR(__xludf.DUMMYFUNCTION("""COMPUTED_VALUE"""),"Retail")</f>
        <v>Retail</v>
      </c>
      <c r="L48" s="36" t="str">
        <f>IFERROR(__xludf.DUMMYFUNCTION("""COMPUTED_VALUE"""),"BOM:526729")</f>
        <v>BOM:526729</v>
      </c>
      <c r="M48" s="49" t="str">
        <f>IFERROR(__xludf.DUMMYFUNCTION("""COMPUTED_VALUE"""),"No")</f>
        <v>No</v>
      </c>
      <c r="N48" s="49" t="str">
        <f>IFERROR(__xludf.DUMMYFUNCTION("""COMPUTED_VALUE"""),"No")</f>
        <v>No</v>
      </c>
      <c r="O48" s="36" t="str">
        <f>IFERROR(__xludf.DUMMYFUNCTION("""COMPUTED_VALUE"""),"Good Stock")</f>
        <v>Good Stock</v>
      </c>
      <c r="P48" s="36" t="str">
        <f>IFERROR(__xludf.DUMMYFUNCTION("""COMPUTED_VALUE"""),"Low Cap")</f>
        <v>Low Cap</v>
      </c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</row>
  </sheetData>
  <conditionalFormatting sqref="J1:P1">
    <cfRule type="cellIs" dxfId="0" priority="1" operator="lessThan">
      <formula>0</formula>
    </cfRule>
  </conditionalFormatting>
  <conditionalFormatting sqref="J1:P1">
    <cfRule type="cellIs" dxfId="1" priority="2" operator="greaterThan">
      <formula>0</formula>
    </cfRule>
  </conditionalFormatting>
  <conditionalFormatting sqref="B2:B48">
    <cfRule type="colorScale" priority="3">
      <colorScale>
        <cfvo type="min"/>
        <cfvo type="max"/>
        <color rgb="FFFFFFFF"/>
        <color rgb="FFC27BA0"/>
      </colorScale>
    </cfRule>
  </conditionalFormatting>
  <conditionalFormatting sqref="C2:C48">
    <cfRule type="notContainsBlanks" dxfId="13" priority="4">
      <formula>LEN(TRIM(C2))&gt;0</formula>
    </cfRule>
  </conditionalFormatting>
  <conditionalFormatting sqref="A2:A48">
    <cfRule type="notContainsBlanks" dxfId="14" priority="5">
      <formula>LEN(TRIM(A2))&gt;0</formula>
    </cfRule>
  </conditionalFormatting>
  <conditionalFormatting sqref="F2:F48">
    <cfRule type="colorScale" priority="6">
      <colorScale>
        <cfvo type="min"/>
        <cfvo type="max"/>
        <color rgb="FFFFFFFF"/>
        <color rgb="FFE06666"/>
      </colorScale>
    </cfRule>
  </conditionalFormatting>
  <conditionalFormatting sqref="H2:H48">
    <cfRule type="colorScale" priority="7">
      <colorScale>
        <cfvo type="min"/>
        <cfvo type="max"/>
        <color rgb="FFFFFFFF"/>
        <color rgb="FF8E7CC3"/>
      </colorScale>
    </cfRule>
  </conditionalFormatting>
  <conditionalFormatting sqref="E2:E48">
    <cfRule type="notContainsBlanks" dxfId="15" priority="8">
      <formula>LEN(TRIM(E2))&gt;0</formula>
    </cfRule>
  </conditionalFormatting>
  <conditionalFormatting sqref="J2:J48">
    <cfRule type="colorScale" priority="9">
      <colorScale>
        <cfvo type="formula" val="0"/>
        <cfvo type="formula" val="0"/>
        <cfvo type="max"/>
        <color rgb="FFFF0000"/>
        <color rgb="FF57FF53"/>
        <color rgb="FF57FF53"/>
      </colorScale>
    </cfRule>
  </conditionalFormatting>
  <drawing r:id="rId1"/>
  <tableParts count="3">
    <tablePart r:id="rId5"/>
    <tablePart r:id="rId6"/>
    <tablePart r:id="rId7"/>
  </tableParts>
</worksheet>
</file>