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pgl-my.sharepoint.com/personal/deepender_singh_spglobal_com/Documents/Documents/fintech_course/profesor_rintu/"/>
    </mc:Choice>
  </mc:AlternateContent>
  <xr:revisionPtr revIDLastSave="3516" documentId="8_{9DF75C32-40F5-4012-895A-FC10491AB55C}" xr6:coauthVersionLast="47" xr6:coauthVersionMax="47" xr10:uidLastSave="{7FB69C4F-E3F7-4ADA-942D-7BF815A09C9B}"/>
  <bookViews>
    <workbookView xWindow="-110" yWindow="-110" windowWidth="19420" windowHeight="10420" activeTab="3" xr2:uid="{00000000-000D-0000-FFFF-FFFF00000000}"/>
  </bookViews>
  <sheets>
    <sheet name="data" sheetId="4" r:id="rId1"/>
    <sheet name="constraints" sheetId="15" r:id="rId2"/>
    <sheet name="Answer Report 1" sheetId="18" r:id="rId3"/>
    <sheet name="avg data_test" sheetId="16" r:id="rId4"/>
    <sheet name="predict" sheetId="17" r:id="rId5"/>
    <sheet name="Sheet19" sheetId="22" r:id="rId6"/>
    <sheet name="Sheet9" sheetId="12" r:id="rId7"/>
    <sheet name="Sheet11" sheetId="14" r:id="rId8"/>
    <sheet name="Sheet10" sheetId="13" r:id="rId9"/>
    <sheet name="Sheet8" sheetId="11" r:id="rId10"/>
    <sheet name="Sheet7" sheetId="10" r:id="rId11"/>
    <sheet name="Sheet6" sheetId="9" r:id="rId12"/>
    <sheet name="Sheet1" sheetId="5" r:id="rId13"/>
    <sheet name="Sheet3" sheetId="6" r:id="rId14"/>
    <sheet name="Sheet4" sheetId="7" r:id="rId15"/>
    <sheet name="Sheet5" sheetId="8" r:id="rId16"/>
  </sheets>
  <definedNames>
    <definedName name="_xlnm._FilterDatabase" localSheetId="0" hidden="1">data!$A$1:$T$39</definedName>
    <definedName name="solver_adj" localSheetId="3" hidden="1">'avg data_test'!$C$12:$T$12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'avg data_test'!$Z$2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21rEGmjUQg3FgYk0iKbhVWvJ8oCfYNr6X4rj/gLM1tc="/>
    </ext>
  </extLst>
</workbook>
</file>

<file path=xl/calcChain.xml><?xml version="1.0" encoding="utf-8"?>
<calcChain xmlns="http://schemas.openxmlformats.org/spreadsheetml/2006/main">
  <c r="Y2" i="16" l="1"/>
  <c r="V2" i="17"/>
  <c r="W2" i="17" s="1"/>
  <c r="V2" i="16"/>
  <c r="W2" i="16" s="1"/>
  <c r="J39" i="4"/>
  <c r="V9" i="16"/>
  <c r="W9" i="16" s="1"/>
  <c r="V8" i="16"/>
  <c r="W8" i="16" s="1"/>
  <c r="V7" i="16"/>
  <c r="W7" i="16" s="1"/>
  <c r="V6" i="16"/>
  <c r="W6" i="16" s="1"/>
  <c r="V5" i="16"/>
  <c r="W5" i="16" s="1"/>
  <c r="V4" i="16"/>
  <c r="W4" i="16" s="1"/>
  <c r="V3" i="16"/>
  <c r="W3" i="16" s="1"/>
  <c r="O5" i="4"/>
  <c r="S39" i="4"/>
  <c r="S34" i="4"/>
  <c r="S29" i="4"/>
  <c r="S25" i="4"/>
  <c r="S21" i="4"/>
  <c r="S17" i="4"/>
  <c r="S13" i="4"/>
  <c r="S9" i="4"/>
  <c r="S5" i="4"/>
  <c r="P39" i="4"/>
  <c r="O39" i="4"/>
  <c r="N39" i="4"/>
  <c r="P34" i="4"/>
  <c r="O34" i="4"/>
  <c r="N34" i="4"/>
  <c r="P25" i="4"/>
  <c r="O25" i="4"/>
  <c r="N25" i="4"/>
  <c r="P21" i="4"/>
  <c r="O21" i="4"/>
  <c r="N21" i="4"/>
  <c r="P17" i="4"/>
  <c r="O17" i="4"/>
  <c r="N17" i="4"/>
  <c r="P13" i="4"/>
  <c r="O13" i="4"/>
  <c r="N13" i="4"/>
  <c r="P9" i="4"/>
  <c r="O9" i="4"/>
  <c r="N9" i="4"/>
  <c r="P5" i="4"/>
  <c r="N5" i="4"/>
  <c r="J34" i="4"/>
  <c r="J21" i="4"/>
  <c r="J17" i="4"/>
  <c r="J13" i="4"/>
  <c r="J9" i="4"/>
  <c r="J5" i="4"/>
  <c r="H39" i="4"/>
  <c r="H34" i="4"/>
  <c r="H21" i="4"/>
  <c r="H17" i="4"/>
  <c r="H13" i="4"/>
  <c r="H9" i="4"/>
  <c r="H5" i="4"/>
  <c r="T39" i="4"/>
  <c r="T34" i="4"/>
  <c r="R39" i="4"/>
  <c r="Q39" i="4"/>
  <c r="R34" i="4"/>
  <c r="Q34" i="4"/>
  <c r="M39" i="4"/>
  <c r="L39" i="4"/>
  <c r="K39" i="4"/>
  <c r="M34" i="4"/>
  <c r="L34" i="4"/>
  <c r="K34" i="4"/>
  <c r="I39" i="4"/>
  <c r="I34" i="4"/>
  <c r="G39" i="4"/>
  <c r="F39" i="4"/>
  <c r="E39" i="4"/>
  <c r="D39" i="4"/>
  <c r="G34" i="4"/>
  <c r="F34" i="4"/>
  <c r="E34" i="4"/>
  <c r="D34" i="4"/>
  <c r="R25" i="4"/>
  <c r="Q25" i="4"/>
  <c r="T21" i="4"/>
  <c r="R21" i="4"/>
  <c r="Q21" i="4"/>
  <c r="T17" i="4"/>
  <c r="R17" i="4"/>
  <c r="Q17" i="4"/>
  <c r="T13" i="4"/>
  <c r="R13" i="4"/>
  <c r="Q13" i="4"/>
  <c r="T9" i="4"/>
  <c r="R9" i="4"/>
  <c r="Q9" i="4"/>
  <c r="M29" i="4"/>
  <c r="M25" i="4"/>
  <c r="K25" i="4"/>
  <c r="M21" i="4"/>
  <c r="L21" i="4"/>
  <c r="K21" i="4"/>
  <c r="M17" i="4"/>
  <c r="L17" i="4"/>
  <c r="K17" i="4"/>
  <c r="M13" i="4"/>
  <c r="L13" i="4"/>
  <c r="K13" i="4"/>
  <c r="M9" i="4"/>
  <c r="L9" i="4"/>
  <c r="K9" i="4"/>
  <c r="I25" i="4"/>
  <c r="I21" i="4"/>
  <c r="I17" i="4"/>
  <c r="I13" i="4"/>
  <c r="I9" i="4"/>
  <c r="G21" i="4"/>
  <c r="F21" i="4"/>
  <c r="G17" i="4"/>
  <c r="F17" i="4"/>
  <c r="G13" i="4"/>
  <c r="F13" i="4"/>
  <c r="G9" i="4"/>
  <c r="F9" i="4"/>
  <c r="E21" i="4"/>
  <c r="E17" i="4"/>
  <c r="E13" i="4"/>
  <c r="E9" i="4"/>
  <c r="D21" i="4"/>
  <c r="D17" i="4"/>
  <c r="D13" i="4"/>
  <c r="D9" i="4"/>
  <c r="T5" i="4"/>
  <c r="R5" i="4"/>
  <c r="Q5" i="4"/>
  <c r="M5" i="4"/>
  <c r="L5" i="4"/>
  <c r="K5" i="4"/>
  <c r="I5" i="4"/>
  <c r="G5" i="4"/>
  <c r="F5" i="4"/>
  <c r="E5" i="4"/>
  <c r="D5" i="4"/>
  <c r="S28" i="4"/>
  <c r="R28" i="4"/>
  <c r="Q28" i="4"/>
  <c r="L28" i="4"/>
  <c r="K28" i="4"/>
  <c r="I28" i="4"/>
  <c r="G28" i="4"/>
  <c r="E28" i="4"/>
  <c r="D28" i="4"/>
  <c r="S27" i="4"/>
  <c r="R27" i="4"/>
  <c r="Q27" i="4"/>
  <c r="L27" i="4"/>
  <c r="O27" i="4" s="1"/>
  <c r="K27" i="4"/>
  <c r="I27" i="4"/>
  <c r="G27" i="4"/>
  <c r="F27" i="4"/>
  <c r="T26" i="4"/>
  <c r="T29" i="4" s="1"/>
  <c r="S26" i="4"/>
  <c r="R26" i="4"/>
  <c r="R29" i="4" s="1"/>
  <c r="Q26" i="4"/>
  <c r="L26" i="4"/>
  <c r="O26" i="4" s="1"/>
  <c r="K26" i="4"/>
  <c r="I26" i="4"/>
  <c r="I29" i="4" s="1"/>
  <c r="G26" i="4"/>
  <c r="E26" i="4"/>
  <c r="D26" i="4"/>
  <c r="B17" i="8"/>
  <c r="D16" i="8"/>
  <c r="C16" i="8"/>
  <c r="B16" i="8"/>
  <c r="D15" i="8"/>
  <c r="C15" i="8"/>
  <c r="B15" i="8"/>
  <c r="D14" i="8"/>
  <c r="C14" i="8"/>
  <c r="B14" i="8"/>
  <c r="C13" i="8"/>
  <c r="C12" i="8"/>
  <c r="B12" i="8"/>
  <c r="D9" i="8"/>
  <c r="D12" i="8" s="1"/>
  <c r="C9" i="8"/>
  <c r="B9" i="8"/>
  <c r="D8" i="8"/>
  <c r="C8" i="8"/>
  <c r="B8" i="8"/>
  <c r="D6" i="8"/>
  <c r="D11" i="8" s="1"/>
  <c r="C6" i="8"/>
  <c r="C11" i="8" s="1"/>
  <c r="B6" i="8"/>
  <c r="B11" i="8" s="1"/>
  <c r="D5" i="8"/>
  <c r="D4" i="8"/>
  <c r="C4" i="8"/>
  <c r="C5" i="8" s="1"/>
  <c r="B4" i="8"/>
  <c r="B5" i="8" s="1"/>
  <c r="D3" i="8"/>
  <c r="C3" i="8"/>
  <c r="B3" i="8"/>
  <c r="D2" i="8"/>
  <c r="B2" i="8"/>
  <c r="D1" i="8"/>
  <c r="D13" i="8" s="1"/>
  <c r="B1" i="8"/>
  <c r="B13" i="8" s="1"/>
  <c r="X3" i="16" l="1"/>
  <c r="Y3" i="16"/>
  <c r="X4" i="16"/>
  <c r="Y4" i="16"/>
  <c r="X7" i="16"/>
  <c r="Y7" i="16"/>
  <c r="Y8" i="16"/>
  <c r="X8" i="16"/>
  <c r="X5" i="16"/>
  <c r="Y5" i="16"/>
  <c r="X6" i="16"/>
  <c r="Y6" i="16"/>
  <c r="X9" i="16"/>
  <c r="Y9" i="16"/>
  <c r="X2" i="16"/>
  <c r="Q29" i="4"/>
  <c r="D29" i="4"/>
  <c r="K29" i="4"/>
  <c r="E29" i="4"/>
  <c r="G29" i="4"/>
  <c r="L29" i="4"/>
  <c r="J27" i="4"/>
  <c r="H27" i="4"/>
  <c r="N28" i="4"/>
  <c r="P27" i="4"/>
  <c r="P28" i="4"/>
  <c r="P26" i="4"/>
  <c r="P29" i="4" s="1"/>
  <c r="N27" i="4"/>
  <c r="F28" i="4"/>
  <c r="J28" i="4" s="1"/>
  <c r="O28" i="4"/>
  <c r="O29" i="4" s="1"/>
  <c r="N26" i="4"/>
  <c r="F26" i="4"/>
  <c r="B7" i="8"/>
  <c r="C7" i="8"/>
  <c r="D7" i="8"/>
  <c r="L24" i="4"/>
  <c r="E24" i="4"/>
  <c r="D24" i="4"/>
  <c r="L23" i="4"/>
  <c r="E23" i="4"/>
  <c r="D23" i="4"/>
  <c r="F23" i="4" s="1"/>
  <c r="J23" i="4" s="1"/>
  <c r="T22" i="4"/>
  <c r="T25" i="4" s="1"/>
  <c r="L22" i="4"/>
  <c r="E22" i="4"/>
  <c r="D22" i="4"/>
  <c r="B17" i="6"/>
  <c r="D9" i="6"/>
  <c r="C9" i="6"/>
  <c r="B9" i="6"/>
  <c r="B3" i="6"/>
  <c r="B4" i="6" s="1"/>
  <c r="B5" i="6" s="1"/>
  <c r="D2" i="6"/>
  <c r="D3" i="6" s="1"/>
  <c r="C2" i="6"/>
  <c r="C3" i="6" s="1"/>
  <c r="B2" i="6"/>
  <c r="D1" i="6"/>
  <c r="C1" i="6"/>
  <c r="B1" i="6"/>
  <c r="Z2" i="16" l="1"/>
  <c r="N29" i="4"/>
  <c r="D25" i="4"/>
  <c r="E25" i="4"/>
  <c r="L25" i="4"/>
  <c r="H26" i="4"/>
  <c r="H29" i="4" s="1"/>
  <c r="F29" i="4"/>
  <c r="F24" i="4"/>
  <c r="J24" i="4" s="1"/>
  <c r="F22" i="4"/>
  <c r="G22" i="4" s="1"/>
  <c r="J26" i="4"/>
  <c r="J29" i="4" s="1"/>
  <c r="H28" i="4"/>
  <c r="G23" i="4"/>
  <c r="H23" i="4" s="1"/>
  <c r="D4" i="6"/>
  <c r="D5" i="6" s="1"/>
  <c r="D7" i="6"/>
  <c r="C4" i="6"/>
  <c r="C5" i="6" s="1"/>
  <c r="C7" i="6"/>
  <c r="B7" i="6"/>
  <c r="J22" i="4" l="1"/>
  <c r="J25" i="4" s="1"/>
  <c r="F25" i="4"/>
  <c r="H22" i="4"/>
  <c r="G24" i="4"/>
  <c r="H24" i="4" s="1"/>
  <c r="H25" i="4" l="1"/>
  <c r="G25" i="4"/>
</calcChain>
</file>

<file path=xl/sharedStrings.xml><?xml version="1.0" encoding="utf-8"?>
<sst xmlns="http://schemas.openxmlformats.org/spreadsheetml/2006/main" count="521" uniqueCount="160">
  <si>
    <t>Revenue from Operations</t>
  </si>
  <si>
    <t>Other Income</t>
  </si>
  <si>
    <t>Total Revenue</t>
  </si>
  <si>
    <t>EBITDA</t>
  </si>
  <si>
    <t>EBITDA Margin (%)</t>
  </si>
  <si>
    <t>Net Profit after Tax (PAT)</t>
  </si>
  <si>
    <t>Net Profit Margin (%)</t>
  </si>
  <si>
    <t>Equity Share Capital</t>
  </si>
  <si>
    <t>Debt to Equity Ratio</t>
  </si>
  <si>
    <t>Asset Turnover Ratio</t>
  </si>
  <si>
    <t>Total Assets</t>
  </si>
  <si>
    <t>Current Ratio</t>
  </si>
  <si>
    <t>IPO Size (Fresh Issue)</t>
  </si>
  <si>
    <t>Company</t>
  </si>
  <si>
    <t>Financial Year</t>
  </si>
  <si>
    <t>Return on Net Worth (%)</t>
  </si>
  <si>
    <t>Trust Fintech</t>
  </si>
  <si>
    <t>MOS Utility</t>
  </si>
  <si>
    <t>Net Worth / Equity</t>
  </si>
  <si>
    <t>Earnings Per Share</t>
  </si>
  <si>
    <t>2021-2022</t>
  </si>
  <si>
    <t>2022-2023</t>
  </si>
  <si>
    <t>2023-2024</t>
  </si>
  <si>
    <t>Pine Labs</t>
  </si>
  <si>
    <t>Cash and Bank Balance</t>
  </si>
  <si>
    <t>AGS Transact Tech</t>
  </si>
  <si>
    <t>WSFX Global</t>
  </si>
  <si>
    <t>Net Worth</t>
  </si>
  <si>
    <t>Earnings Per Share (EPS)</t>
  </si>
  <si>
    <t>Return on Net Worth (RoNW)</t>
  </si>
  <si>
    <t>Cash and Bank Balances</t>
  </si>
  <si>
    <t>2019-2020</t>
  </si>
  <si>
    <t>2020-2021</t>
  </si>
  <si>
    <t>2018-2019</t>
  </si>
  <si>
    <t xml:space="preserve">PB fintech </t>
  </si>
  <si>
    <t>87,500 Lakhs</t>
  </si>
  <si>
    <t>53900 Lakhs</t>
  </si>
  <si>
    <t>54000 Lakhs</t>
  </si>
  <si>
    <t>89,032Lakhs</t>
  </si>
  <si>
    <t>56,100 Lakhs</t>
  </si>
  <si>
    <t>3,722 Lakhs</t>
  </si>
  <si>
    <t>`-5,592 Lakhs</t>
  </si>
  <si>
    <t>`-10929 Lakhs</t>
  </si>
  <si>
    <t>`-10.36%</t>
  </si>
  <si>
    <t>`-21%</t>
  </si>
  <si>
    <t>1,408 Lakh</t>
  </si>
  <si>
    <t>`-8,381 Lakh</t>
  </si>
  <si>
    <t>`-12,810 Lakh</t>
  </si>
  <si>
    <t>1,144 Lakh</t>
  </si>
  <si>
    <t>16,300 Lakh</t>
  </si>
  <si>
    <t>14,269 Lakh</t>
  </si>
  <si>
    <t>21,650 Lakhs</t>
  </si>
  <si>
    <t>`-14.66</t>
  </si>
  <si>
    <t>`-23.04</t>
  </si>
  <si>
    <t>`-58.18%</t>
  </si>
  <si>
    <t>`-59.19%</t>
  </si>
  <si>
    <t>`-1.4</t>
  </si>
  <si>
    <t>`-1.3</t>
  </si>
  <si>
    <t>`-0.7</t>
  </si>
  <si>
    <t>93,942 Lakh</t>
  </si>
  <si>
    <t>33,474 Lakhs</t>
  </si>
  <si>
    <t>33,757 Lakhs</t>
  </si>
  <si>
    <t>1,39,377 Lakh</t>
  </si>
  <si>
    <t>86,998 Lakhs</t>
  </si>
  <si>
    <t>83,613 Lakhs</t>
  </si>
  <si>
    <t>`1.08</t>
  </si>
  <si>
    <t>`1.03</t>
  </si>
  <si>
    <t>`.96</t>
  </si>
  <si>
    <t>IPO launched in Dec ’24 – ₹572 crore (fresh issue)</t>
  </si>
  <si>
    <t>One97</t>
  </si>
  <si>
    <t>One row</t>
  </si>
  <si>
    <t>Avg/GM</t>
  </si>
  <si>
    <t>Attribute</t>
  </si>
  <si>
    <t>Revenue from operations</t>
  </si>
  <si>
    <t>Other income</t>
  </si>
  <si>
    <t>EBITDA(Margin)</t>
  </si>
  <si>
    <t>Net profit after tax</t>
  </si>
  <si>
    <t>Equity share</t>
  </si>
  <si>
    <t>Net worth</t>
  </si>
  <si>
    <t>Earnings per share</t>
  </si>
  <si>
    <t>Return on net worth</t>
  </si>
  <si>
    <t>Debt to equity ratio</t>
  </si>
  <si>
    <t>Asset turnover ratio</t>
  </si>
  <si>
    <t>.68X</t>
  </si>
  <si>
    <t>.49x</t>
  </si>
  <si>
    <t>.34X</t>
  </si>
  <si>
    <t>1.4x</t>
  </si>
  <si>
    <t>1.6x</t>
  </si>
  <si>
    <t>IPO Size</t>
  </si>
  <si>
    <t>45000 raised in 2016</t>
  </si>
  <si>
    <t>Infibeam</t>
  </si>
  <si>
    <t>Mobiwik</t>
  </si>
  <si>
    <t>The bin / diummy variables /trends for EBITDA margin %. GM not ok.</t>
  </si>
  <si>
    <t>last 3 years</t>
  </si>
  <si>
    <t>normalize the attributes</t>
  </si>
  <si>
    <t>Intercept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</si>
  <si>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</si>
  <si>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</si>
  <si>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</si>
  <si>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</si>
  <si>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</si>
  <si>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</si>
  <si>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</si>
  <si>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</si>
  <si>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</si>
  <si>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</si>
  <si>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Linear combinatoion</t>
  </si>
  <si>
    <t>w11</t>
  </si>
  <si>
    <t>w12</t>
  </si>
  <si>
    <t>w13</t>
  </si>
  <si>
    <t>w14</t>
  </si>
  <si>
    <t>w15</t>
  </si>
  <si>
    <t>w16</t>
  </si>
  <si>
    <t>w17</t>
  </si>
  <si>
    <t>calc predictive probability</t>
  </si>
  <si>
    <t>squared error</t>
  </si>
  <si>
    <t>log likelyhood</t>
  </si>
  <si>
    <t>sum squared error</t>
  </si>
  <si>
    <t>Microsoft Excel 16.0 Answer Report</t>
  </si>
  <si>
    <t>Worksheet: [project_data_ipo.xlsx]avg data_test</t>
  </si>
  <si>
    <t>Report Created: 09-08-2025 22:54:03</t>
  </si>
  <si>
    <t>Result: Solver found a solution.  All Constraints and optimality conditions are satisfied.</t>
  </si>
  <si>
    <t>Solver Engine</t>
  </si>
  <si>
    <t>Engine: GRG Nonlinear</t>
  </si>
  <si>
    <t>Solution Time: 0.094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</si>
  <si>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</si>
  <si>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</si>
  <si>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</si>
  <si>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</si>
  <si>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</si>
  <si>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</si>
  <si>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</si>
  <si>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</si>
  <si>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</si>
  <si>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</si>
  <si>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</si>
  <si>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</si>
  <si>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</si>
  <si>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</si>
  <si>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$Z$2</t>
  </si>
  <si>
    <t>last 3 years sum squared error</t>
  </si>
  <si>
    <t>$C$12</t>
  </si>
  <si>
    <t>Contin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</si>
  <si>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</si>
  <si>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</si>
  <si>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</si>
  <si>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</si>
  <si>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</si>
  <si>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</si>
  <si>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</si>
  <si>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</si>
  <si>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</si>
  <si>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</si>
  <si>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</si>
  <si>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</si>
  <si>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</si>
  <si>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$Q$12</t>
  </si>
  <si>
    <t>$R$12</t>
  </si>
  <si>
    <t>$S$12</t>
  </si>
  <si>
    <t>$T$12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</si>
</sst>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/>
    </xf>
    <xf numFmtId="0" fontId="2" fillId="0" borderId="1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0" fillId="0" borderId="1" xfId="0" applyBorder="1"/>
    <xf numFmtId="0" fontId="2" fillId="0" borderId="1" xfId="0" applyFont="1" applyFill="1" applyBorder="1"/>
    <xf numFmtId="10" fontId="2" fillId="0" borderId="1" xfId="0" applyNumberFormat="1" applyFont="1" applyBorder="1" applyAlignment="1">
      <alignment horizontal="right" wrapText="1"/>
    </xf>
    <xf numFmtId="0" fontId="5" fillId="0" borderId="1" xfId="0" applyFont="1" applyBorder="1"/>
    <xf numFmtId="0" fontId="1" fillId="0" borderId="1" xfId="0" applyFont="1" applyBorder="1"/>
    <xf numFmtId="4" fontId="0" fillId="0" borderId="0" xfId="0" applyNumberFormat="1"/>
    <xf numFmtId="10" fontId="0" fillId="0" borderId="0" xfId="1" applyNumberFormat="1" applyFont="1" applyFill="1"/>
    <xf numFmtId="0" fontId="0" fillId="0" borderId="0" xfId="1" applyNumberFormat="1" applyFont="1" applyFill="1"/>
    <xf numFmtId="2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2" fontId="3" fillId="0" borderId="1" xfId="0" applyNumberFormat="1" applyFont="1" applyBorder="1"/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6" fillId="0" borderId="1" xfId="0" applyNumberFormat="1" applyFont="1" applyBorder="1"/>
    <xf numFmtId="9" fontId="3" fillId="0" borderId="1" xfId="1" applyFont="1" applyBorder="1"/>
    <xf numFmtId="9" fontId="2" fillId="0" borderId="1" xfId="1" applyFont="1" applyBorder="1" applyAlignment="1">
      <alignment horizontal="right" wrapText="1"/>
    </xf>
    <xf numFmtId="10" fontId="3" fillId="0" borderId="1" xfId="1" applyNumberFormat="1" applyFont="1" applyBorder="1"/>
    <xf numFmtId="2" fontId="2" fillId="0" borderId="1" xfId="0" applyNumberFormat="1" applyFont="1" applyBorder="1"/>
    <xf numFmtId="2" fontId="2" fillId="0" borderId="1" xfId="0" applyNumberFormat="1" applyFont="1" applyFill="1" applyBorder="1" applyAlignment="1">
      <alignment horizontal="right" wrapText="1"/>
    </xf>
    <xf numFmtId="0" fontId="4" fillId="0" borderId="5" xfId="0" applyFont="1" applyBorder="1" applyAlignment="1">
      <alignment horizontal="center" vertical="top" wrapText="1"/>
    </xf>
    <xf numFmtId="2" fontId="0" fillId="0" borderId="1" xfId="0" applyNumberFormat="1" applyBorder="1"/>
    <xf numFmtId="10" fontId="0" fillId="0" borderId="1" xfId="1" applyNumberFormat="1" applyFont="1" applyFill="1" applyBorder="1"/>
    <xf numFmtId="9" fontId="0" fillId="0" borderId="1" xfId="1" applyFont="1" applyFill="1" applyBorder="1"/>
    <xf numFmtId="2" fontId="4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/>
    <xf numFmtId="2" fontId="3" fillId="2" borderId="1" xfId="0" applyNumberFormat="1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2" fontId="3" fillId="2" borderId="0" xfId="0" applyNumberFormat="1" applyFont="1" applyFill="1" applyBorder="1"/>
    <xf numFmtId="0" fontId="0" fillId="0" borderId="0" xfId="0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4" borderId="1" xfId="0" applyFill="1" applyBorder="1"/>
    <xf numFmtId="2" fontId="3" fillId="4" borderId="1" xfId="0" applyNumberFormat="1" applyFont="1" applyFill="1" applyBorder="1"/>
    <xf numFmtId="2" fontId="0" fillId="2" borderId="6" xfId="0" applyNumberFormat="1" applyFont="1" applyFill="1" applyBorder="1"/>
    <xf numFmtId="0" fontId="0" fillId="5" borderId="1" xfId="0" applyFill="1" applyBorder="1"/>
    <xf numFmtId="2" fontId="0" fillId="2" borderId="7" xfId="0" applyNumberFormat="1" applyFont="1" applyFill="1" applyBorder="1"/>
    <xf numFmtId="0" fontId="0" fillId="6" borderId="1" xfId="0" applyFill="1" applyBorder="1"/>
    <xf numFmtId="2" fontId="0" fillId="2" borderId="0" xfId="0" applyNumberFormat="1" applyFont="1" applyFill="1" applyBorder="1"/>
    <xf numFmtId="0" fontId="0" fillId="0" borderId="9" xfId="0" applyFill="1" applyBorder="1" applyAlignment="1"/>
    <xf numFmtId="0" fontId="8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2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0" fontId="8" fillId="0" borderId="8" xfId="0" applyFont="1" applyFill="1" applyBorder="1" applyAlignment="1">
      <alignment horizontal="centerContinuous"/>
    </xf>
    <xf numFmtId="10" fontId="0" fillId="4" borderId="0" xfId="0" applyNumberFormat="1" applyFill="1"/>
    <xf numFmtId="9" fontId="0" fillId="4" borderId="0" xfId="1" applyFont="1" applyFill="1"/>
    <xf numFmtId="2" fontId="0" fillId="7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4D7F-EAD5-4068-B127-8BD67A70F608}">
  <dimension ref="A1:U39"/>
  <sheetViews>
    <sheetView zoomScale="70" zoomScaleNormal="70" workbookViewId="0">
      <pane ySplit="1" topLeftCell="A23" activePane="bottomLeft" state="frozen"/>
      <selection pane="bottomLeft" activeCell="A32" sqref="A32"/>
    </sheetView>
  </sheetViews>
  <sheetFormatPr defaultRowHeight="14.5" x14ac:dyDescent="0.35"/>
  <cols>
    <col min="1" max="1" width="20.6328125" bestFit="1" customWidth="1"/>
    <col min="2" max="2" width="20.6328125" customWidth="1"/>
    <col min="3" max="3" width="15.36328125" customWidth="1"/>
    <col min="4" max="4" width="20.54296875" customWidth="1"/>
    <col min="5" max="5" width="21.6328125" customWidth="1"/>
    <col min="6" max="6" width="22.81640625" customWidth="1"/>
    <col min="7" max="7" width="15.81640625" customWidth="1"/>
    <col min="8" max="8" width="31.08984375" customWidth="1"/>
    <col min="9" max="9" width="24.453125" style="1" bestFit="1" customWidth="1"/>
    <col min="10" max="10" width="20.1796875" customWidth="1"/>
    <col min="11" max="11" width="19.08984375" customWidth="1"/>
    <col min="12" max="12" width="17.36328125" customWidth="1"/>
    <col min="13" max="13" width="17.54296875" customWidth="1"/>
    <col min="14" max="14" width="21.54296875" customWidth="1"/>
    <col min="15" max="15" width="20.453125" customWidth="1"/>
    <col min="16" max="16" width="19.08984375" customWidth="1"/>
    <col min="17" max="17" width="20.453125" customWidth="1"/>
    <col min="18" max="18" width="11.1796875" customWidth="1"/>
    <col min="19" max="19" width="14" customWidth="1"/>
    <col min="20" max="20" width="18.81640625" customWidth="1"/>
  </cols>
  <sheetData>
    <row r="1" spans="1:20" ht="29" x14ac:dyDescent="0.35">
      <c r="A1" s="4" t="s">
        <v>13</v>
      </c>
      <c r="B1" s="33" t="s">
        <v>70</v>
      </c>
      <c r="C1" s="5" t="s">
        <v>14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5</v>
      </c>
      <c r="J1" s="5" t="s">
        <v>6</v>
      </c>
      <c r="K1" s="5" t="s">
        <v>7</v>
      </c>
      <c r="L1" s="5" t="s">
        <v>18</v>
      </c>
      <c r="M1" s="5" t="s">
        <v>19</v>
      </c>
      <c r="N1" s="5" t="s">
        <v>15</v>
      </c>
      <c r="O1" s="5" t="s">
        <v>8</v>
      </c>
      <c r="P1" s="2" t="s">
        <v>9</v>
      </c>
      <c r="Q1" s="5" t="s">
        <v>24</v>
      </c>
      <c r="R1" s="5" t="s">
        <v>10</v>
      </c>
      <c r="S1" s="5" t="s">
        <v>11</v>
      </c>
      <c r="T1" s="3" t="s">
        <v>12</v>
      </c>
    </row>
    <row r="2" spans="1:20" x14ac:dyDescent="0.35">
      <c r="A2" s="14" t="s">
        <v>16</v>
      </c>
      <c r="B2" s="14"/>
      <c r="C2" s="7" t="s">
        <v>20</v>
      </c>
      <c r="D2" s="24">
        <v>2093.5</v>
      </c>
      <c r="E2" s="8">
        <v>22.99</v>
      </c>
      <c r="F2" s="8">
        <v>2116.4899999999998</v>
      </c>
      <c r="G2" s="8">
        <v>697.74</v>
      </c>
      <c r="H2" s="9">
        <v>0.33339999999999997</v>
      </c>
      <c r="I2" s="24">
        <v>528.25</v>
      </c>
      <c r="J2" s="9">
        <v>0.24959999999999999</v>
      </c>
      <c r="K2" s="27">
        <v>2000</v>
      </c>
      <c r="L2" s="24">
        <v>1944.09</v>
      </c>
      <c r="M2" s="24">
        <v>2.64</v>
      </c>
      <c r="N2" s="30">
        <v>0.2717</v>
      </c>
      <c r="O2" s="24">
        <v>0.26</v>
      </c>
      <c r="P2" s="24">
        <v>1.31</v>
      </c>
      <c r="Q2" s="24">
        <v>170.26</v>
      </c>
      <c r="R2" s="24">
        <v>3264.56</v>
      </c>
      <c r="S2" s="31">
        <v>2</v>
      </c>
      <c r="T2" s="10"/>
    </row>
    <row r="3" spans="1:20" x14ac:dyDescent="0.35">
      <c r="A3" s="7" t="s">
        <v>16</v>
      </c>
      <c r="B3" s="7"/>
      <c r="C3" s="7" t="s">
        <v>21</v>
      </c>
      <c r="D3" s="24">
        <v>2518.44</v>
      </c>
      <c r="E3" s="8">
        <v>24.57</v>
      </c>
      <c r="F3" s="8">
        <v>2543.0100000000002</v>
      </c>
      <c r="G3" s="8">
        <v>926.93</v>
      </c>
      <c r="H3" s="9">
        <v>0.3679</v>
      </c>
      <c r="I3" s="24">
        <v>728.08</v>
      </c>
      <c r="J3" s="9">
        <v>0.2863</v>
      </c>
      <c r="K3" s="27">
        <v>2000</v>
      </c>
      <c r="L3" s="24">
        <v>2672.17</v>
      </c>
      <c r="M3" s="24">
        <v>3.64</v>
      </c>
      <c r="N3" s="30">
        <v>0.27239999999999998</v>
      </c>
      <c r="O3" s="24">
        <v>0.17</v>
      </c>
      <c r="P3" s="24">
        <v>1.17</v>
      </c>
      <c r="Q3" s="24">
        <v>383.97</v>
      </c>
      <c r="R3" s="24">
        <v>4158.79</v>
      </c>
      <c r="S3" s="31">
        <v>2.27</v>
      </c>
      <c r="T3" s="10"/>
    </row>
    <row r="4" spans="1:20" x14ac:dyDescent="0.35">
      <c r="A4" s="7" t="s">
        <v>16</v>
      </c>
      <c r="B4" s="7"/>
      <c r="C4" s="7" t="s">
        <v>22</v>
      </c>
      <c r="D4" s="24">
        <v>3353.48</v>
      </c>
      <c r="E4" s="8">
        <v>29.82</v>
      </c>
      <c r="F4" s="8">
        <v>3383.3</v>
      </c>
      <c r="G4" s="8">
        <v>1152.49</v>
      </c>
      <c r="H4" s="9">
        <v>0.34370000000000001</v>
      </c>
      <c r="I4" s="24">
        <v>923.4</v>
      </c>
      <c r="J4" s="9">
        <v>0.27289999999999998</v>
      </c>
      <c r="K4" s="27">
        <v>2000</v>
      </c>
      <c r="L4" s="24">
        <v>3595.57</v>
      </c>
      <c r="M4" s="24">
        <v>4.62</v>
      </c>
      <c r="N4" s="30">
        <v>0.25679999999999997</v>
      </c>
      <c r="O4" s="24">
        <v>0.16</v>
      </c>
      <c r="P4" s="24">
        <v>1.28</v>
      </c>
      <c r="Q4" s="24">
        <v>683.83</v>
      </c>
      <c r="R4" s="24">
        <v>5057.92</v>
      </c>
      <c r="S4" s="31">
        <v>2.36</v>
      </c>
      <c r="T4" s="8">
        <v>6300</v>
      </c>
    </row>
    <row r="5" spans="1:20" x14ac:dyDescent="0.35">
      <c r="A5" s="38" t="s">
        <v>16</v>
      </c>
      <c r="B5" s="39" t="s">
        <v>71</v>
      </c>
      <c r="C5" s="38"/>
      <c r="D5" s="40">
        <f>AVERAGE(D2:D4)</f>
        <v>2655.14</v>
      </c>
      <c r="E5" s="40">
        <f>AVERAGE(E2:E4)</f>
        <v>25.793333333333333</v>
      </c>
      <c r="F5" s="40">
        <f>AVERAGE(F2:F4)</f>
        <v>2680.9333333333334</v>
      </c>
      <c r="G5" s="40">
        <f>AVERAGE(G2:G4)</f>
        <v>925.71999999999991</v>
      </c>
      <c r="H5" s="47">
        <f>MEDIAN(H2,H3,H4)</f>
        <v>0.34370000000000001</v>
      </c>
      <c r="I5" s="40">
        <f>AVERAGE(I2:I4)</f>
        <v>726.57666666666671</v>
      </c>
      <c r="J5" s="47">
        <f>MEDIAN(J2,J3,J4)</f>
        <v>0.27289999999999998</v>
      </c>
      <c r="K5" s="40">
        <f>AVERAGE(K2:K4)</f>
        <v>2000</v>
      </c>
      <c r="L5" s="40">
        <f>AVERAGE(L2:L4)</f>
        <v>2737.2766666666666</v>
      </c>
      <c r="M5" s="40">
        <f>AVERAGE(M2:M4)</f>
        <v>3.6333333333333333</v>
      </c>
      <c r="N5" s="47">
        <f t="shared" ref="N5:P5" si="0">MEDIAN(N2,N3,N4)</f>
        <v>0.2717</v>
      </c>
      <c r="O5" s="48">
        <f>MEDIAN(O2,O3,O4)</f>
        <v>0.17</v>
      </c>
      <c r="P5" s="48">
        <f t="shared" si="0"/>
        <v>1.28</v>
      </c>
      <c r="Q5" s="40">
        <f>AVERAGE(Q2:Q4)</f>
        <v>412.68666666666667</v>
      </c>
      <c r="R5" s="40">
        <f>AVERAGE(R2:R4)</f>
        <v>4160.4233333333332</v>
      </c>
      <c r="S5" s="48">
        <f t="shared" ref="S5" si="1">MEDIAN(S2,S3,S4)</f>
        <v>2.27</v>
      </c>
      <c r="T5" s="40">
        <f>AVERAGE(T2:T4)</f>
        <v>6300</v>
      </c>
    </row>
    <row r="6" spans="1:20" x14ac:dyDescent="0.35">
      <c r="A6" s="11" t="s">
        <v>17</v>
      </c>
      <c r="B6" s="11"/>
      <c r="C6" s="7" t="s">
        <v>20</v>
      </c>
      <c r="D6" s="24">
        <v>7734.01</v>
      </c>
      <c r="E6" s="24">
        <v>362</v>
      </c>
      <c r="F6" s="24">
        <v>8096.01</v>
      </c>
      <c r="G6" s="24">
        <v>394.63</v>
      </c>
      <c r="H6" s="9">
        <v>4.87E-2</v>
      </c>
      <c r="I6" s="24">
        <v>157.66999999999999</v>
      </c>
      <c r="J6" s="9">
        <v>1.47E-2</v>
      </c>
      <c r="K6" s="24">
        <v>1135</v>
      </c>
      <c r="L6" s="24">
        <v>1302</v>
      </c>
      <c r="M6" s="24">
        <v>1.1499999999999999</v>
      </c>
      <c r="N6" s="28">
        <v>0.10059999999999999</v>
      </c>
      <c r="O6" s="24">
        <v>0.28000000000000003</v>
      </c>
      <c r="P6" s="24">
        <v>2.15</v>
      </c>
      <c r="Q6" s="24">
        <v>300</v>
      </c>
      <c r="R6" s="24">
        <v>4152</v>
      </c>
      <c r="S6" s="24">
        <v>1.68</v>
      </c>
      <c r="T6" s="10"/>
    </row>
    <row r="7" spans="1:20" x14ac:dyDescent="0.35">
      <c r="A7" s="11" t="s">
        <v>17</v>
      </c>
      <c r="B7" s="11"/>
      <c r="C7" s="7" t="s">
        <v>21</v>
      </c>
      <c r="D7" s="24">
        <v>10614.38</v>
      </c>
      <c r="E7" s="24">
        <v>352.15</v>
      </c>
      <c r="F7" s="24">
        <v>10966.53</v>
      </c>
      <c r="G7" s="24">
        <v>711</v>
      </c>
      <c r="H7" s="9">
        <v>4.9799999999999997E-2</v>
      </c>
      <c r="I7" s="24">
        <v>248</v>
      </c>
      <c r="J7" s="9">
        <v>1.7399999999999999E-2</v>
      </c>
      <c r="K7" s="24">
        <v>1352</v>
      </c>
      <c r="L7" s="24">
        <v>2434</v>
      </c>
      <c r="M7" s="24">
        <v>1.83</v>
      </c>
      <c r="N7" s="28">
        <v>0.1018</v>
      </c>
      <c r="O7" s="24">
        <v>0.15</v>
      </c>
      <c r="P7" s="24">
        <v>2.56</v>
      </c>
      <c r="Q7" s="24">
        <v>524</v>
      </c>
      <c r="R7" s="24">
        <v>5585</v>
      </c>
      <c r="S7" s="24">
        <v>1.91</v>
      </c>
      <c r="T7" s="8">
        <v>4997</v>
      </c>
    </row>
    <row r="8" spans="1:20" x14ac:dyDescent="0.35">
      <c r="A8" s="11" t="s">
        <v>17</v>
      </c>
      <c r="B8" s="11"/>
      <c r="C8" s="7" t="s">
        <v>22</v>
      </c>
      <c r="D8" s="24">
        <v>18200</v>
      </c>
      <c r="E8" s="24">
        <v>12</v>
      </c>
      <c r="F8" s="24">
        <v>18212</v>
      </c>
      <c r="G8" s="24">
        <v>910</v>
      </c>
      <c r="H8" s="9">
        <v>0.05</v>
      </c>
      <c r="I8" s="24">
        <v>310</v>
      </c>
      <c r="J8" s="9">
        <v>1.7000000000000001E-2</v>
      </c>
      <c r="K8" s="24">
        <v>1352</v>
      </c>
      <c r="L8" s="24">
        <v>2740</v>
      </c>
      <c r="M8" s="24">
        <v>2.29</v>
      </c>
      <c r="N8" s="28">
        <v>0.113</v>
      </c>
      <c r="O8" s="24">
        <v>0.1</v>
      </c>
      <c r="P8" s="24">
        <v>2.6</v>
      </c>
      <c r="Q8" s="24">
        <v>610</v>
      </c>
      <c r="R8" s="24">
        <v>6150</v>
      </c>
      <c r="S8" s="24">
        <v>2</v>
      </c>
      <c r="T8" s="10"/>
    </row>
    <row r="9" spans="1:20" x14ac:dyDescent="0.35">
      <c r="A9" s="38" t="s">
        <v>17</v>
      </c>
      <c r="B9" s="39" t="s">
        <v>71</v>
      </c>
      <c r="C9" s="38"/>
      <c r="D9" s="40">
        <f>AVERAGE(D6:D8)</f>
        <v>12182.796666666667</v>
      </c>
      <c r="E9" s="40">
        <f>AVERAGE(E6:E8)</f>
        <v>242.04999999999998</v>
      </c>
      <c r="F9" s="40">
        <f t="shared" ref="F9:I9" si="2">AVERAGE(F6:F8)</f>
        <v>12424.846666666666</v>
      </c>
      <c r="G9" s="40">
        <f t="shared" si="2"/>
        <v>671.87666666666667</v>
      </c>
      <c r="H9" s="47">
        <f>MEDIAN(H6,H7,H8)</f>
        <v>4.9799999999999997E-2</v>
      </c>
      <c r="I9" s="40">
        <f t="shared" si="2"/>
        <v>238.55666666666664</v>
      </c>
      <c r="J9" s="47">
        <f>MEDIAN(J6,J7,J8)</f>
        <v>1.7000000000000001E-2</v>
      </c>
      <c r="K9" s="40">
        <f t="shared" ref="K9" si="3">AVERAGE(K6:K8)</f>
        <v>1279.6666666666667</v>
      </c>
      <c r="L9" s="40">
        <f t="shared" ref="L9" si="4">AVERAGE(L6:L8)</f>
        <v>2158.6666666666665</v>
      </c>
      <c r="M9" s="40">
        <f t="shared" ref="M9" si="5">AVERAGE(M6:M8)</f>
        <v>1.7566666666666666</v>
      </c>
      <c r="N9" s="47">
        <f t="shared" ref="N9:P9" si="6">MEDIAN(N6,N7,N8)</f>
        <v>0.1018</v>
      </c>
      <c r="O9" s="48">
        <f t="shared" si="6"/>
        <v>0.15</v>
      </c>
      <c r="P9" s="48">
        <f t="shared" si="6"/>
        <v>2.56</v>
      </c>
      <c r="Q9" s="40">
        <f t="shared" ref="Q9" si="7">AVERAGE(Q6:Q8)</f>
        <v>478</v>
      </c>
      <c r="R9" s="40">
        <f t="shared" ref="R9" si="8">AVERAGE(R6:R8)</f>
        <v>5295.666666666667</v>
      </c>
      <c r="S9" s="48">
        <f t="shared" ref="S9" si="9">MEDIAN(S6,S7,S8)</f>
        <v>1.91</v>
      </c>
      <c r="T9" s="40">
        <f t="shared" ref="T9" si="10">AVERAGE(T6:T8)</f>
        <v>4997</v>
      </c>
    </row>
    <row r="10" spans="1:20" x14ac:dyDescent="0.35">
      <c r="A10" s="11" t="s">
        <v>23</v>
      </c>
      <c r="B10" s="11"/>
      <c r="C10" s="7" t="s">
        <v>20</v>
      </c>
      <c r="D10" s="25">
        <v>93398.3</v>
      </c>
      <c r="E10" s="25">
        <v>2393.8000000000002</v>
      </c>
      <c r="F10" s="25">
        <v>95792.1</v>
      </c>
      <c r="G10" s="25">
        <v>14950.4</v>
      </c>
      <c r="H10" s="12">
        <v>0.15609999999999999</v>
      </c>
      <c r="I10" s="25">
        <v>-2261.8000000000002</v>
      </c>
      <c r="J10" s="12">
        <v>-2.3599999999999999E-2</v>
      </c>
      <c r="K10" s="25">
        <v>1352.9</v>
      </c>
      <c r="L10" s="25">
        <v>191321.2</v>
      </c>
      <c r="M10" s="25">
        <v>-0.28999999999999998</v>
      </c>
      <c r="N10" s="29">
        <v>-1.18E-2</v>
      </c>
      <c r="O10" s="25">
        <v>0.12</v>
      </c>
      <c r="P10" s="25">
        <v>0.15</v>
      </c>
      <c r="Q10" s="25">
        <v>377854.7</v>
      </c>
      <c r="R10" s="25">
        <v>626358.9</v>
      </c>
      <c r="S10" s="25">
        <v>1.1499999999999999</v>
      </c>
      <c r="T10" s="10"/>
    </row>
    <row r="11" spans="1:20" x14ac:dyDescent="0.35">
      <c r="A11" s="11" t="s">
        <v>23</v>
      </c>
      <c r="B11" s="11"/>
      <c r="C11" s="7" t="s">
        <v>21</v>
      </c>
      <c r="D11" s="25">
        <v>129073.2</v>
      </c>
      <c r="E11" s="25">
        <v>3685.4</v>
      </c>
      <c r="F11" s="25">
        <v>132758.6</v>
      </c>
      <c r="G11" s="25">
        <v>21419.9</v>
      </c>
      <c r="H11" s="12">
        <v>0.1613</v>
      </c>
      <c r="I11" s="25">
        <v>-5624.3</v>
      </c>
      <c r="J11" s="12">
        <v>-4.24E-2</v>
      </c>
      <c r="K11" s="25">
        <v>1396.1</v>
      </c>
      <c r="L11" s="25">
        <v>218430.1</v>
      </c>
      <c r="M11" s="25">
        <v>-0.68</v>
      </c>
      <c r="N11" s="29">
        <v>-2.75E-2</v>
      </c>
      <c r="O11" s="25">
        <v>0.14000000000000001</v>
      </c>
      <c r="P11" s="25">
        <v>0.19</v>
      </c>
      <c r="Q11" s="25">
        <v>442431</v>
      </c>
      <c r="R11" s="25">
        <v>740611.1</v>
      </c>
      <c r="S11" s="25">
        <v>1.1599999999999999</v>
      </c>
      <c r="T11" s="10"/>
    </row>
    <row r="12" spans="1:20" x14ac:dyDescent="0.35">
      <c r="A12" s="11" t="s">
        <v>23</v>
      </c>
      <c r="B12" s="11"/>
      <c r="C12" s="7" t="s">
        <v>22</v>
      </c>
      <c r="D12" s="25">
        <v>134101.4</v>
      </c>
      <c r="E12" s="25">
        <v>4161.6000000000004</v>
      </c>
      <c r="F12" s="25">
        <v>138263</v>
      </c>
      <c r="G12" s="25">
        <v>16208.8</v>
      </c>
      <c r="H12" s="12">
        <v>0.1172</v>
      </c>
      <c r="I12" s="25">
        <v>-18717</v>
      </c>
      <c r="J12" s="12">
        <v>-0.13539999999999999</v>
      </c>
      <c r="K12" s="25">
        <v>8399.5</v>
      </c>
      <c r="L12" s="25">
        <v>204444.9</v>
      </c>
      <c r="M12" s="25">
        <v>-2.23</v>
      </c>
      <c r="N12" s="29">
        <v>-8.8499999999999995E-2</v>
      </c>
      <c r="O12" s="25">
        <v>0.23</v>
      </c>
      <c r="P12" s="25">
        <v>0.18</v>
      </c>
      <c r="Q12" s="25">
        <v>484088</v>
      </c>
      <c r="R12" s="25">
        <v>791092.8</v>
      </c>
      <c r="S12" s="25">
        <v>1.1399999999999999</v>
      </c>
      <c r="T12" s="13">
        <v>260000</v>
      </c>
    </row>
    <row r="13" spans="1:20" x14ac:dyDescent="0.35">
      <c r="A13" s="38" t="s">
        <v>23</v>
      </c>
      <c r="B13" s="39" t="s">
        <v>71</v>
      </c>
      <c r="C13" s="38"/>
      <c r="D13" s="40">
        <f>AVERAGE(D10:D12)</f>
        <v>118857.63333333335</v>
      </c>
      <c r="E13" s="40">
        <f>AVERAGE(E10:E12)</f>
        <v>3413.6000000000004</v>
      </c>
      <c r="F13" s="40">
        <f t="shared" ref="F13:G13" si="11">AVERAGE(F10:F12)</f>
        <v>122271.23333333334</v>
      </c>
      <c r="G13" s="40">
        <f t="shared" si="11"/>
        <v>17526.366666666669</v>
      </c>
      <c r="H13" s="47">
        <f>MEDIAN(H10,H11,H12)</f>
        <v>0.15609999999999999</v>
      </c>
      <c r="I13" s="40">
        <f t="shared" ref="I13" si="12">AVERAGE(I10:I12)</f>
        <v>-8867.6999999999989</v>
      </c>
      <c r="J13" s="47">
        <f>MEDIAN(J10,J11,J12)</f>
        <v>-4.24E-2</v>
      </c>
      <c r="K13" s="40">
        <f t="shared" ref="K13" si="13">AVERAGE(K10:K12)</f>
        <v>3716.1666666666665</v>
      </c>
      <c r="L13" s="40">
        <f t="shared" ref="L13" si="14">AVERAGE(L10:L12)</f>
        <v>204732.06666666668</v>
      </c>
      <c r="M13" s="40">
        <f t="shared" ref="M13" si="15">AVERAGE(M10:M12)</f>
        <v>-1.0666666666666667</v>
      </c>
      <c r="N13" s="47">
        <f t="shared" ref="N13:P13" si="16">MEDIAN(N10,N11,N12)</f>
        <v>-2.75E-2</v>
      </c>
      <c r="O13" s="48">
        <f t="shared" si="16"/>
        <v>0.14000000000000001</v>
      </c>
      <c r="P13" s="48">
        <f t="shared" si="16"/>
        <v>0.18</v>
      </c>
      <c r="Q13" s="40">
        <f t="shared" ref="Q13" si="17">AVERAGE(Q10:Q12)</f>
        <v>434791.23333333334</v>
      </c>
      <c r="R13" s="40">
        <f t="shared" ref="R13" si="18">AVERAGE(R10:R12)</f>
        <v>719354.2666666666</v>
      </c>
      <c r="S13" s="48">
        <f t="shared" ref="S13" si="19">MEDIAN(S10,S11,S12)</f>
        <v>1.1499999999999999</v>
      </c>
      <c r="T13" s="40">
        <f t="shared" ref="T13" si="20">AVERAGE(T10:T12)</f>
        <v>260000</v>
      </c>
    </row>
    <row r="14" spans="1:20" x14ac:dyDescent="0.35">
      <c r="A14" s="11" t="s">
        <v>25</v>
      </c>
      <c r="B14" s="11"/>
      <c r="C14" s="7" t="s">
        <v>20</v>
      </c>
      <c r="D14" s="24">
        <v>162674.29999999999</v>
      </c>
      <c r="E14" s="24">
        <v>1304.2</v>
      </c>
      <c r="F14" s="24">
        <v>163978.5</v>
      </c>
      <c r="G14" s="24">
        <v>32881.199999999997</v>
      </c>
      <c r="H14" s="12">
        <v>0.20219999999999999</v>
      </c>
      <c r="I14" s="25">
        <v>-6711.7</v>
      </c>
      <c r="J14" s="12">
        <v>-0.129</v>
      </c>
      <c r="K14" s="24">
        <v>12034.1</v>
      </c>
      <c r="L14" s="24">
        <v>22533</v>
      </c>
      <c r="M14" s="25">
        <v>-5.58</v>
      </c>
      <c r="N14" s="29">
        <v>-7.3800000000000004E-2</v>
      </c>
      <c r="O14" s="25">
        <v>1.49</v>
      </c>
      <c r="P14" s="25">
        <v>0.43</v>
      </c>
      <c r="Q14" s="25">
        <v>4153.1000000000004</v>
      </c>
      <c r="R14" s="25">
        <v>211043.1</v>
      </c>
      <c r="S14" s="25">
        <v>1.18</v>
      </c>
      <c r="T14" s="13">
        <v>68000</v>
      </c>
    </row>
    <row r="15" spans="1:20" x14ac:dyDescent="0.35">
      <c r="A15" s="11" t="s">
        <v>25</v>
      </c>
      <c r="B15" s="11"/>
      <c r="C15" s="7" t="s">
        <v>21</v>
      </c>
      <c r="D15" s="24">
        <v>179510.9</v>
      </c>
      <c r="E15" s="24">
        <v>1563.8</v>
      </c>
      <c r="F15" s="24">
        <v>181074.7</v>
      </c>
      <c r="G15" s="24">
        <v>33969</v>
      </c>
      <c r="H15" s="12">
        <v>0.1893</v>
      </c>
      <c r="I15" s="25">
        <v>793.7</v>
      </c>
      <c r="J15" s="12">
        <v>1.6299999999999999E-2</v>
      </c>
      <c r="K15" s="24">
        <v>12034.1</v>
      </c>
      <c r="L15" s="24">
        <v>22727.9</v>
      </c>
      <c r="M15" s="25">
        <v>0.66</v>
      </c>
      <c r="N15" s="29">
        <v>9.1000000000000004E-3</v>
      </c>
      <c r="O15" s="25">
        <v>1.22</v>
      </c>
      <c r="P15" s="25">
        <v>0.47</v>
      </c>
      <c r="Q15" s="25">
        <v>3789.8</v>
      </c>
      <c r="R15" s="25">
        <v>20220.3</v>
      </c>
      <c r="S15" s="25">
        <v>1.27</v>
      </c>
      <c r="T15" s="10"/>
    </row>
    <row r="16" spans="1:20" x14ac:dyDescent="0.35">
      <c r="A16" s="11" t="s">
        <v>25</v>
      </c>
      <c r="B16" s="11"/>
      <c r="C16" s="7" t="s">
        <v>22</v>
      </c>
      <c r="D16" s="24">
        <v>187515.3</v>
      </c>
      <c r="E16" s="24">
        <v>1368.7</v>
      </c>
      <c r="F16" s="24">
        <v>188884</v>
      </c>
      <c r="G16" s="24">
        <v>34896</v>
      </c>
      <c r="H16" s="12">
        <v>0.18609999999999999</v>
      </c>
      <c r="I16" s="25">
        <v>4722.3</v>
      </c>
      <c r="J16" s="12">
        <v>8.3299999999999999E-2</v>
      </c>
      <c r="K16" s="24">
        <v>12034.1</v>
      </c>
      <c r="L16" s="24">
        <v>24694.400000000001</v>
      </c>
      <c r="M16" s="25">
        <v>3.94</v>
      </c>
      <c r="N16" s="29">
        <v>5.4699999999999999E-2</v>
      </c>
      <c r="O16" s="25">
        <v>1.1000000000000001</v>
      </c>
      <c r="P16" s="25">
        <v>0.55000000000000004</v>
      </c>
      <c r="Q16" s="25">
        <v>5668.7</v>
      </c>
      <c r="R16" s="25">
        <v>22521.7</v>
      </c>
      <c r="S16" s="25">
        <v>1.41</v>
      </c>
      <c r="T16" s="10"/>
    </row>
    <row r="17" spans="1:21" x14ac:dyDescent="0.35">
      <c r="A17" s="38" t="s">
        <v>25</v>
      </c>
      <c r="B17" s="39" t="s">
        <v>71</v>
      </c>
      <c r="C17" s="38"/>
      <c r="D17" s="40">
        <f>AVERAGE(D14:D16)</f>
        <v>176566.83333333334</v>
      </c>
      <c r="E17" s="40">
        <f>AVERAGE(E14:E16)</f>
        <v>1412.2333333333333</v>
      </c>
      <c r="F17" s="40">
        <f t="shared" ref="F17:G17" si="21">AVERAGE(F14:F16)</f>
        <v>177979.06666666665</v>
      </c>
      <c r="G17" s="40">
        <f t="shared" si="21"/>
        <v>33915.4</v>
      </c>
      <c r="H17" s="47">
        <f>MEDIAN(H14,H15,H16)</f>
        <v>0.1893</v>
      </c>
      <c r="I17" s="40">
        <f t="shared" ref="I17" si="22">AVERAGE(I14:I16)</f>
        <v>-398.56666666666661</v>
      </c>
      <c r="J17" s="47">
        <f>MEDIAN(J14,J15,J16)</f>
        <v>1.6299999999999999E-2</v>
      </c>
      <c r="K17" s="40">
        <f t="shared" ref="K17" si="23">AVERAGE(K14:K16)</f>
        <v>12034.1</v>
      </c>
      <c r="L17" s="40">
        <f t="shared" ref="L17" si="24">AVERAGE(L14:L16)</f>
        <v>23318.433333333334</v>
      </c>
      <c r="M17" s="40">
        <f t="shared" ref="M17" si="25">AVERAGE(M14:M16)</f>
        <v>-0.32666666666666666</v>
      </c>
      <c r="N17" s="47">
        <f t="shared" ref="N17:P17" si="26">MEDIAN(N14,N15,N16)</f>
        <v>9.1000000000000004E-3</v>
      </c>
      <c r="O17" s="48">
        <f t="shared" si="26"/>
        <v>1.22</v>
      </c>
      <c r="P17" s="48">
        <f t="shared" si="26"/>
        <v>0.47</v>
      </c>
      <c r="Q17" s="40">
        <f t="shared" ref="Q17" si="27">AVERAGE(Q14:Q16)</f>
        <v>4537.2</v>
      </c>
      <c r="R17" s="40">
        <f t="shared" ref="R17" si="28">AVERAGE(R14:R16)</f>
        <v>84595.03333333334</v>
      </c>
      <c r="S17" s="48">
        <f t="shared" ref="S17" si="29">MEDIAN(S14,S15,S16)</f>
        <v>1.27</v>
      </c>
      <c r="T17" s="40">
        <f t="shared" ref="T17" si="30">AVERAGE(T14:T16)</f>
        <v>68000</v>
      </c>
    </row>
    <row r="18" spans="1:21" x14ac:dyDescent="0.35">
      <c r="A18" s="11" t="s">
        <v>26</v>
      </c>
      <c r="B18" s="11"/>
      <c r="C18" s="7" t="s">
        <v>20</v>
      </c>
      <c r="D18" s="25">
        <v>2881.67</v>
      </c>
      <c r="E18" s="25">
        <v>129.1</v>
      </c>
      <c r="F18" s="25">
        <v>3010.77</v>
      </c>
      <c r="G18" s="25">
        <v>-372.72</v>
      </c>
      <c r="H18" s="12">
        <v>-0.12379999999999999</v>
      </c>
      <c r="I18" s="25">
        <v>-441.89</v>
      </c>
      <c r="J18" s="12">
        <v>-0.14680000000000001</v>
      </c>
      <c r="K18" s="25">
        <v>1159.8399999999999</v>
      </c>
      <c r="L18" s="25">
        <v>2520.19</v>
      </c>
      <c r="M18" s="25">
        <v>-3.81</v>
      </c>
      <c r="N18" s="29">
        <v>-0.16089999999999999</v>
      </c>
      <c r="O18" s="32">
        <v>0.48</v>
      </c>
      <c r="P18" s="25">
        <v>0.52</v>
      </c>
      <c r="Q18" s="25">
        <v>2246.77</v>
      </c>
      <c r="R18" s="25">
        <v>5525.26</v>
      </c>
      <c r="S18" s="25">
        <v>1.41</v>
      </c>
      <c r="T18" s="49"/>
    </row>
    <row r="19" spans="1:21" x14ac:dyDescent="0.35">
      <c r="A19" s="11" t="s">
        <v>26</v>
      </c>
      <c r="B19" s="11"/>
      <c r="C19" s="7" t="s">
        <v>21</v>
      </c>
      <c r="D19" s="25">
        <v>4607.83</v>
      </c>
      <c r="E19" s="25">
        <v>134.57</v>
      </c>
      <c r="F19" s="25">
        <v>4742.3999999999996</v>
      </c>
      <c r="G19" s="25">
        <v>389.61</v>
      </c>
      <c r="H19" s="12">
        <v>8.2199999999999995E-2</v>
      </c>
      <c r="I19" s="25">
        <v>116.79</v>
      </c>
      <c r="J19" s="12">
        <v>2.46E-2</v>
      </c>
      <c r="K19" s="25">
        <v>1159.8399999999999</v>
      </c>
      <c r="L19" s="25">
        <v>2745.46</v>
      </c>
      <c r="M19" s="25">
        <v>1.01</v>
      </c>
      <c r="N19" s="29">
        <v>4.4400000000000002E-2</v>
      </c>
      <c r="O19" s="25">
        <v>0.44</v>
      </c>
      <c r="P19" s="25">
        <v>0.74</v>
      </c>
      <c r="Q19" s="25">
        <v>1756.87</v>
      </c>
      <c r="R19" s="25">
        <v>6934.05</v>
      </c>
      <c r="S19" s="25">
        <v>1.1100000000000001</v>
      </c>
      <c r="T19" s="49"/>
    </row>
    <row r="20" spans="1:21" x14ac:dyDescent="0.35">
      <c r="A20" s="11" t="s">
        <v>26</v>
      </c>
      <c r="B20" s="11"/>
      <c r="C20" s="7" t="s">
        <v>22</v>
      </c>
      <c r="D20" s="25">
        <v>7004.11</v>
      </c>
      <c r="E20" s="25">
        <v>208.01</v>
      </c>
      <c r="F20" s="25">
        <v>7212.11</v>
      </c>
      <c r="G20" s="25">
        <v>747.44</v>
      </c>
      <c r="H20" s="12">
        <v>0.1036</v>
      </c>
      <c r="I20" s="25">
        <v>412.27</v>
      </c>
      <c r="J20" s="12">
        <v>5.7200000000000001E-2</v>
      </c>
      <c r="K20" s="25">
        <v>1189.1400000000001</v>
      </c>
      <c r="L20" s="25">
        <v>3254.44</v>
      </c>
      <c r="M20" s="25">
        <v>3.55</v>
      </c>
      <c r="N20" s="29">
        <v>0.13739999999999999</v>
      </c>
      <c r="O20" s="25">
        <v>0.04</v>
      </c>
      <c r="P20" s="25">
        <v>0.97</v>
      </c>
      <c r="Q20" s="25">
        <v>2792.42</v>
      </c>
      <c r="R20" s="25">
        <v>7443.49</v>
      </c>
      <c r="S20" s="25">
        <v>1.38</v>
      </c>
      <c r="T20" s="49"/>
    </row>
    <row r="21" spans="1:21" x14ac:dyDescent="0.35">
      <c r="A21" s="38" t="s">
        <v>26</v>
      </c>
      <c r="B21" s="39" t="s">
        <v>71</v>
      </c>
      <c r="C21" s="38"/>
      <c r="D21" s="40">
        <f>AVERAGE(D18:D20)</f>
        <v>4831.2033333333338</v>
      </c>
      <c r="E21" s="40">
        <f>AVERAGE(E18:E20)</f>
        <v>157.22666666666666</v>
      </c>
      <c r="F21" s="40">
        <f t="shared" ref="F21:G21" si="31">AVERAGE(F18:F20)</f>
        <v>4988.4266666666663</v>
      </c>
      <c r="G21" s="40">
        <f t="shared" si="31"/>
        <v>254.77666666666667</v>
      </c>
      <c r="H21" s="47">
        <f>MEDIAN(H18,H19,H20)</f>
        <v>8.2199999999999995E-2</v>
      </c>
      <c r="I21" s="40">
        <f t="shared" ref="I21" si="32">AVERAGE(I18:I20)</f>
        <v>29.056666666666672</v>
      </c>
      <c r="J21" s="47">
        <f>MEDIAN(J18,J19,J20)</f>
        <v>2.46E-2</v>
      </c>
      <c r="K21" s="40">
        <f t="shared" ref="K21" si="33">AVERAGE(K18:K20)</f>
        <v>1169.6066666666666</v>
      </c>
      <c r="L21" s="40">
        <f t="shared" ref="L21" si="34">AVERAGE(L18:L20)</f>
        <v>2840.03</v>
      </c>
      <c r="M21" s="40">
        <f t="shared" ref="M21" si="35">AVERAGE(M18:M20)</f>
        <v>0.25</v>
      </c>
      <c r="N21" s="47">
        <f t="shared" ref="N21:P21" si="36">MEDIAN(N18,N19,N20)</f>
        <v>4.4400000000000002E-2</v>
      </c>
      <c r="O21" s="48">
        <f t="shared" si="36"/>
        <v>0.44</v>
      </c>
      <c r="P21" s="48">
        <f t="shared" si="36"/>
        <v>0.74</v>
      </c>
      <c r="Q21" s="40">
        <f t="shared" ref="Q21" si="37">AVERAGE(Q18:Q20)</f>
        <v>2265.353333333333</v>
      </c>
      <c r="R21" s="40">
        <f t="shared" ref="R21" si="38">AVERAGE(R18:R20)</f>
        <v>6634.2666666666673</v>
      </c>
      <c r="S21" s="48">
        <f t="shared" ref="S21" si="39">MEDIAN(S18,S19,S20)</f>
        <v>1.38</v>
      </c>
      <c r="T21" s="40" t="e">
        <f t="shared" ref="T21" si="40">AVERAGE(T18:T20)</f>
        <v>#DIV/0!</v>
      </c>
    </row>
    <row r="22" spans="1:21" x14ac:dyDescent="0.35">
      <c r="A22" s="10" t="s">
        <v>34</v>
      </c>
      <c r="B22" s="10"/>
      <c r="C22" s="14" t="s">
        <v>33</v>
      </c>
      <c r="D22" s="34">
        <f>4922.45*10</f>
        <v>49224.5</v>
      </c>
      <c r="E22" s="34">
        <f>365.62*10</f>
        <v>3656.2</v>
      </c>
      <c r="F22" s="34">
        <f>SUM(D22:E22)</f>
        <v>52880.7</v>
      </c>
      <c r="G22" s="34">
        <f>F22-86623.7+3042.2</f>
        <v>-30700.799999999999</v>
      </c>
      <c r="H22" s="35">
        <f>G22/F22</f>
        <v>-0.5805672012662465</v>
      </c>
      <c r="I22" s="34">
        <v>-34808</v>
      </c>
      <c r="J22" s="35">
        <f>I22/F22</f>
        <v>-0.65823636979086897</v>
      </c>
      <c r="K22" s="34">
        <v>0.38</v>
      </c>
      <c r="L22" s="34">
        <f>4902.94*10</f>
        <v>49029.399999999994</v>
      </c>
      <c r="M22" s="34">
        <v>-60065.8</v>
      </c>
      <c r="N22" s="36">
        <v>-70.739999999999995</v>
      </c>
      <c r="O22" s="37">
        <v>0</v>
      </c>
      <c r="P22" s="37">
        <v>73.63</v>
      </c>
      <c r="Q22" s="37">
        <v>2671.2</v>
      </c>
      <c r="R22" s="37">
        <v>4929.1000000000004</v>
      </c>
      <c r="S22" s="37">
        <v>3.3</v>
      </c>
      <c r="T22" s="10">
        <f>5625*100</f>
        <v>562500</v>
      </c>
    </row>
    <row r="23" spans="1:21" x14ac:dyDescent="0.35">
      <c r="A23" s="10" t="s">
        <v>34</v>
      </c>
      <c r="B23" s="10"/>
      <c r="C23" s="14" t="s">
        <v>31</v>
      </c>
      <c r="D23" s="34">
        <f>7712.97*10</f>
        <v>77129.7</v>
      </c>
      <c r="E23" s="34">
        <f>842.66*10</f>
        <v>8426.6</v>
      </c>
      <c r="F23" s="34">
        <f>SUM(D23:E23)</f>
        <v>85556.3</v>
      </c>
      <c r="G23" s="34">
        <f>F23-115040.4+4729.5</f>
        <v>-24754.599999999991</v>
      </c>
      <c r="H23" s="35">
        <f>G23/F23</f>
        <v>-0.28933696291214078</v>
      </c>
      <c r="I23" s="34">
        <v>-30313.599999999999</v>
      </c>
      <c r="J23" s="35">
        <f>I23/F23</f>
        <v>-0.35431172222267676</v>
      </c>
      <c r="K23" s="34">
        <v>0.38</v>
      </c>
      <c r="L23" s="34">
        <f>12658.47*10</f>
        <v>126584.7</v>
      </c>
      <c r="M23" s="34">
        <v>-43384.6</v>
      </c>
      <c r="N23" s="36">
        <v>-24.02</v>
      </c>
      <c r="O23" s="37">
        <v>0</v>
      </c>
      <c r="P23" s="37">
        <v>48.94</v>
      </c>
      <c r="Q23" s="37">
        <v>11056.4</v>
      </c>
      <c r="R23" s="37">
        <v>12658.6</v>
      </c>
      <c r="S23" s="37">
        <v>6.46</v>
      </c>
      <c r="T23" s="10"/>
    </row>
    <row r="24" spans="1:21" x14ac:dyDescent="0.35">
      <c r="A24" s="10" t="s">
        <v>34</v>
      </c>
      <c r="B24" s="10"/>
      <c r="C24" s="14" t="s">
        <v>32</v>
      </c>
      <c r="D24" s="34">
        <f>8866.62*10</f>
        <v>88666.200000000012</v>
      </c>
      <c r="E24" s="34">
        <f>707.51*10</f>
        <v>7075.1</v>
      </c>
      <c r="F24" s="34">
        <f>SUM(D24:E24)</f>
        <v>95741.300000000017</v>
      </c>
      <c r="G24" s="34">
        <f>F24-109932.7+4137.8</f>
        <v>-10053.59999999998</v>
      </c>
      <c r="H24" s="35">
        <f>G24/F24</f>
        <v>-0.10500797461492563</v>
      </c>
      <c r="I24" s="34">
        <v>-15327.9</v>
      </c>
      <c r="J24" s="35">
        <f>I24/F24</f>
        <v>-0.16009705320483425</v>
      </c>
      <c r="K24" s="34">
        <v>0.46</v>
      </c>
      <c r="L24" s="34">
        <f>19917.34*10</f>
        <v>199173.4</v>
      </c>
      <c r="M24" s="34">
        <v>-20562.3</v>
      </c>
      <c r="N24" s="36">
        <v>-7.54</v>
      </c>
      <c r="O24" s="37">
        <v>0</v>
      </c>
      <c r="P24" s="37">
        <v>38.04</v>
      </c>
      <c r="Q24" s="37">
        <v>18101.8</v>
      </c>
      <c r="R24" s="37">
        <v>19917.3</v>
      </c>
      <c r="S24" s="37">
        <v>9.68</v>
      </c>
      <c r="T24" s="10"/>
    </row>
    <row r="25" spans="1:21" x14ac:dyDescent="0.35">
      <c r="A25" s="41" t="s">
        <v>34</v>
      </c>
      <c r="B25" s="39" t="s">
        <v>71</v>
      </c>
      <c r="C25" s="39"/>
      <c r="D25" s="40">
        <f>AVERAGE(D22:D24)</f>
        <v>71673.466666666674</v>
      </c>
      <c r="E25" s="40">
        <f>AVERAGE(E22:E24)</f>
        <v>6385.9666666666672</v>
      </c>
      <c r="F25" s="40">
        <f t="shared" ref="F25:G25" si="41">AVERAGE(F22:F24)</f>
        <v>78059.433333333334</v>
      </c>
      <c r="G25" s="40">
        <f t="shared" si="41"/>
        <v>-21836.333333333325</v>
      </c>
      <c r="H25" s="47">
        <f>MEDIAN(H22,H23,H24)</f>
        <v>-0.28933696291214078</v>
      </c>
      <c r="I25" s="40">
        <f t="shared" ref="I25" si="42">AVERAGE(I22:I24)</f>
        <v>-26816.5</v>
      </c>
      <c r="J25" s="47">
        <f>MEDIAN(J22,J23,J24)</f>
        <v>-0.35431172222267676</v>
      </c>
      <c r="K25" s="40">
        <f t="shared" ref="K25" si="43">AVERAGE(K22:K24)</f>
        <v>0.40666666666666668</v>
      </c>
      <c r="L25" s="40">
        <f t="shared" ref="L25" si="44">AVERAGE(L22:L24)</f>
        <v>124929.16666666667</v>
      </c>
      <c r="M25" s="40">
        <f t="shared" ref="M25" si="45">AVERAGE(M22:M24)</f>
        <v>-41337.566666666666</v>
      </c>
      <c r="N25" s="47">
        <f t="shared" ref="N25:P25" si="46">MEDIAN(N22,N23,N24)</f>
        <v>-24.02</v>
      </c>
      <c r="O25" s="48">
        <f t="shared" si="46"/>
        <v>0</v>
      </c>
      <c r="P25" s="48">
        <f t="shared" si="46"/>
        <v>48.94</v>
      </c>
      <c r="Q25" s="40">
        <f t="shared" ref="Q25" si="47">AVERAGE(Q22:Q24)</f>
        <v>10609.8</v>
      </c>
      <c r="R25" s="40">
        <f t="shared" ref="R25" si="48">AVERAGE(R22:R24)</f>
        <v>12501.666666666666</v>
      </c>
      <c r="S25" s="48">
        <f t="shared" ref="S25" si="49">MEDIAN(S22,S23,S24)</f>
        <v>6.46</v>
      </c>
      <c r="T25" s="40">
        <f t="shared" ref="T25" si="50">AVERAGE(T22:T24)</f>
        <v>562500</v>
      </c>
    </row>
    <row r="26" spans="1:21" x14ac:dyDescent="0.35">
      <c r="A26" s="10" t="s">
        <v>69</v>
      </c>
      <c r="B26" s="10"/>
      <c r="C26" s="7">
        <v>2024</v>
      </c>
      <c r="D26" s="34">
        <f>76608*10</f>
        <v>766080</v>
      </c>
      <c r="E26" s="34">
        <f>5244*10</f>
        <v>52440</v>
      </c>
      <c r="F26" s="34">
        <f>SUM(D26:E26)</f>
        <v>818520</v>
      </c>
      <c r="G26" s="34">
        <f>(-12589+(233+7211))*10</f>
        <v>-51450</v>
      </c>
      <c r="H26" s="35">
        <f>G26/F26</f>
        <v>-6.2857352294384994E-2</v>
      </c>
      <c r="I26" s="34">
        <f>-14762*10</f>
        <v>-147620</v>
      </c>
      <c r="J26" s="35">
        <f>I26/F26</f>
        <v>-0.18034989981918584</v>
      </c>
      <c r="K26" s="34">
        <f>636*10</f>
        <v>6360</v>
      </c>
      <c r="L26" s="34">
        <f>123390*10</f>
        <v>1233900</v>
      </c>
      <c r="M26" s="34">
        <v>-23</v>
      </c>
      <c r="N26" s="36">
        <f>I26/((L26+L27)/2)</f>
        <v>-0.11989100817438691</v>
      </c>
      <c r="O26" s="34">
        <f>(1441+249)*10/L26</f>
        <v>1.3696409757678904E-2</v>
      </c>
      <c r="P26" s="34">
        <f>D26/((R26+R27)/2)</f>
        <v>0.50029387563183259</v>
      </c>
      <c r="Q26" s="34">
        <f>(38431+3047)*10</f>
        <v>414780</v>
      </c>
      <c r="R26" s="34">
        <f>149888*10</f>
        <v>1498880</v>
      </c>
      <c r="S26" s="34">
        <f>102245/23469</f>
        <v>4.356598065533257</v>
      </c>
      <c r="T26" s="10">
        <f>18300*10</f>
        <v>183000</v>
      </c>
    </row>
    <row r="27" spans="1:21" x14ac:dyDescent="0.35">
      <c r="A27" s="10" t="s">
        <v>69</v>
      </c>
      <c r="B27" s="10"/>
      <c r="C27" s="10">
        <v>2023</v>
      </c>
      <c r="D27" s="34">
        <v>602770</v>
      </c>
      <c r="E27" s="34">
        <v>39940</v>
      </c>
      <c r="F27" s="34">
        <f>SUM(D27:E27)</f>
        <v>642710</v>
      </c>
      <c r="G27" s="34">
        <f>(-17928+(219+4696))*10</f>
        <v>-130130</v>
      </c>
      <c r="H27" s="35">
        <f>G27/F27</f>
        <v>-0.20247078775808686</v>
      </c>
      <c r="I27" s="34">
        <f>-18558*10</f>
        <v>-185580</v>
      </c>
      <c r="J27" s="35">
        <f>I27/F27</f>
        <v>-0.28874609077188779</v>
      </c>
      <c r="K27" s="34">
        <f>634*10</f>
        <v>6340</v>
      </c>
      <c r="L27" s="34">
        <f>122867*10</f>
        <v>1228670</v>
      </c>
      <c r="M27" s="34">
        <v>-29</v>
      </c>
      <c r="N27" s="36">
        <f>I27/((L27+L28)/2)</f>
        <v>-0.14275823871503737</v>
      </c>
      <c r="O27" s="34">
        <f>(1799+267)*10/L27</f>
        <v>1.681492996492142E-2</v>
      </c>
      <c r="P27" s="34">
        <f>D27/((R27+R28)/2)</f>
        <v>0.37681367799206078</v>
      </c>
      <c r="Q27" s="34">
        <f>(30029+33092)*10</f>
        <v>631210</v>
      </c>
      <c r="R27" s="34">
        <f>156364*10</f>
        <v>1563640</v>
      </c>
      <c r="S27" s="34">
        <f>118177/28798</f>
        <v>4.1036530314605182</v>
      </c>
      <c r="T27" s="10"/>
    </row>
    <row r="28" spans="1:21" x14ac:dyDescent="0.35">
      <c r="A28" s="10" t="s">
        <v>69</v>
      </c>
      <c r="B28" s="10"/>
      <c r="C28" s="10">
        <v>2022</v>
      </c>
      <c r="D28" s="34">
        <f>38924*10</f>
        <v>389240</v>
      </c>
      <c r="E28" s="34">
        <f>2830*10</f>
        <v>28300</v>
      </c>
      <c r="F28" s="34">
        <f>SUM(D28:E28)</f>
        <v>417540</v>
      </c>
      <c r="G28" s="34">
        <f>(-22807+(381+2282))*10</f>
        <v>-201440</v>
      </c>
      <c r="H28" s="35">
        <f>G28/F28</f>
        <v>-0.4824447957081956</v>
      </c>
      <c r="I28" s="34">
        <f>-23251*10</f>
        <v>-232510</v>
      </c>
      <c r="J28" s="35">
        <f>I28/F28</f>
        <v>-0.55685682808832682</v>
      </c>
      <c r="K28" s="34">
        <f>649*10</f>
        <v>6490</v>
      </c>
      <c r="L28" s="34">
        <f>137125*10</f>
        <v>1371250</v>
      </c>
      <c r="M28" s="34">
        <v>-37</v>
      </c>
      <c r="N28" s="36">
        <f>I28/((L28+698450)/2)</f>
        <v>-0.22467990530028506</v>
      </c>
      <c r="O28" s="34">
        <f>(1724+318)*10/L28</f>
        <v>1.4891522333637192E-2</v>
      </c>
      <c r="P28" s="34">
        <f>D28/R28</f>
        <v>0.23797121651198905</v>
      </c>
      <c r="Q28" s="34">
        <f>(10664+37690)*10</f>
        <v>483540</v>
      </c>
      <c r="R28" s="34">
        <f>163566*10</f>
        <v>1635660</v>
      </c>
      <c r="S28" s="34">
        <f>91773/21317</f>
        <v>4.3051555096871041</v>
      </c>
      <c r="T28" s="10"/>
    </row>
    <row r="29" spans="1:21" x14ac:dyDescent="0.35">
      <c r="A29" s="41" t="s">
        <v>69</v>
      </c>
      <c r="B29" s="39" t="s">
        <v>71</v>
      </c>
      <c r="C29" s="41"/>
      <c r="D29" s="40">
        <f>AVERAGE(D26:D28)</f>
        <v>586030</v>
      </c>
      <c r="E29" s="40">
        <f>AVERAGE(E26:E28)</f>
        <v>40226.666666666664</v>
      </c>
      <c r="F29" s="40">
        <f t="shared" ref="F29:G29" si="51">AVERAGE(F26:F28)</f>
        <v>626256.66666666663</v>
      </c>
      <c r="G29" s="40">
        <f t="shared" si="51"/>
        <v>-127673.33333333333</v>
      </c>
      <c r="H29" s="47">
        <f>MEDIAN(H26,H27,H28)</f>
        <v>-0.20247078775808686</v>
      </c>
      <c r="I29" s="40">
        <f t="shared" ref="I29" si="52">AVERAGE(I26:I28)</f>
        <v>-188570</v>
      </c>
      <c r="J29" s="47">
        <f>MEDIAN(J26,J27,J28)</f>
        <v>-0.28874609077188779</v>
      </c>
      <c r="K29" s="40">
        <f t="shared" ref="K29" si="53">AVERAGE(K26:K28)</f>
        <v>6396.666666666667</v>
      </c>
      <c r="L29" s="40">
        <f t="shared" ref="L29" si="54">AVERAGE(L26:L28)</f>
        <v>1277940</v>
      </c>
      <c r="M29" s="40">
        <f t="shared" ref="M29" si="55">AVERAGE(M26:M28)</f>
        <v>-29.666666666666668</v>
      </c>
      <c r="N29" s="47">
        <f t="shared" ref="N29:P29" si="56">MEDIAN(N26,N27,N28)</f>
        <v>-0.14275823871503737</v>
      </c>
      <c r="O29" s="48">
        <f t="shared" si="56"/>
        <v>1.4891522333637192E-2</v>
      </c>
      <c r="P29" s="48">
        <f t="shared" si="56"/>
        <v>0.37681367799206078</v>
      </c>
      <c r="Q29" s="40">
        <f t="shared" ref="Q29" si="57">AVERAGE(Q26:Q28)</f>
        <v>509843.33333333331</v>
      </c>
      <c r="R29" s="40">
        <f t="shared" ref="R29" si="58">AVERAGE(R26:R28)</f>
        <v>1566060</v>
      </c>
      <c r="S29" s="48">
        <f t="shared" ref="S29" si="59">MEDIAN(S26,S27,S28)</f>
        <v>4.3051555096871041</v>
      </c>
      <c r="T29" s="40">
        <f t="shared" ref="T29" si="60">AVERAGE(T26:T28)</f>
        <v>183000</v>
      </c>
    </row>
    <row r="30" spans="1:21" x14ac:dyDescent="0.35">
      <c r="A30" s="43"/>
      <c r="B30" s="44"/>
      <c r="C30" s="43"/>
      <c r="D30" t="s">
        <v>73</v>
      </c>
      <c r="E30" t="s">
        <v>74</v>
      </c>
      <c r="F30" t="s">
        <v>2</v>
      </c>
      <c r="G30" t="s">
        <v>3</v>
      </c>
      <c r="H30" t="s">
        <v>75</v>
      </c>
      <c r="I30" t="s">
        <v>76</v>
      </c>
      <c r="K30" t="s">
        <v>77</v>
      </c>
      <c r="L30" t="s">
        <v>78</v>
      </c>
      <c r="M30" t="s">
        <v>79</v>
      </c>
      <c r="N30" t="s">
        <v>80</v>
      </c>
      <c r="O30" t="s">
        <v>81</v>
      </c>
      <c r="P30" t="s">
        <v>82</v>
      </c>
      <c r="Q30" t="s">
        <v>24</v>
      </c>
      <c r="R30" t="s">
        <v>10</v>
      </c>
      <c r="S30" t="s">
        <v>11</v>
      </c>
      <c r="T30" t="s">
        <v>88</v>
      </c>
      <c r="U30" s="45"/>
    </row>
    <row r="31" spans="1:21" x14ac:dyDescent="0.35">
      <c r="A31" t="s">
        <v>90</v>
      </c>
      <c r="C31" s="46">
        <v>2024</v>
      </c>
      <c r="D31">
        <v>317100</v>
      </c>
      <c r="E31">
        <v>2800</v>
      </c>
      <c r="F31">
        <v>319900</v>
      </c>
      <c r="G31">
        <v>25260</v>
      </c>
      <c r="H31" s="22">
        <v>0.59</v>
      </c>
      <c r="I31">
        <v>14780</v>
      </c>
      <c r="J31" s="63">
        <v>4.99E-2</v>
      </c>
      <c r="K31">
        <v>12.42</v>
      </c>
      <c r="L31">
        <v>337600</v>
      </c>
      <c r="M31">
        <v>0.15</v>
      </c>
      <c r="N31" s="21">
        <v>4.5699999999999998E-2</v>
      </c>
      <c r="O31">
        <v>0.02</v>
      </c>
      <c r="P31">
        <v>0.68</v>
      </c>
      <c r="Q31">
        <v>59800</v>
      </c>
      <c r="R31">
        <v>521600</v>
      </c>
      <c r="S31">
        <v>1.4</v>
      </c>
      <c r="T31" s="42">
        <v>45000</v>
      </c>
      <c r="U31" s="42"/>
    </row>
    <row r="32" spans="1:21" x14ac:dyDescent="0.35">
      <c r="A32" t="s">
        <v>90</v>
      </c>
      <c r="C32" s="46">
        <v>2023</v>
      </c>
      <c r="D32">
        <v>196290</v>
      </c>
      <c r="E32">
        <v>7010</v>
      </c>
      <c r="F32">
        <v>203300</v>
      </c>
      <c r="G32">
        <v>17960</v>
      </c>
      <c r="H32" s="22">
        <v>0.55000000000000004</v>
      </c>
      <c r="I32">
        <v>13630</v>
      </c>
      <c r="J32" s="63">
        <v>7.1099999999999997E-2</v>
      </c>
      <c r="K32">
        <v>11.82</v>
      </c>
      <c r="L32">
        <v>304300</v>
      </c>
      <c r="M32">
        <v>0.14000000000000001</v>
      </c>
      <c r="N32" s="21">
        <v>4.3999999999999997E-2</v>
      </c>
      <c r="O32">
        <v>0.09</v>
      </c>
      <c r="P32">
        <v>0.49</v>
      </c>
      <c r="Q32">
        <v>16700</v>
      </c>
      <c r="R32">
        <v>410400</v>
      </c>
      <c r="S32">
        <v>1.6</v>
      </c>
      <c r="T32" s="42"/>
      <c r="U32" s="42"/>
    </row>
    <row r="33" spans="1:21" x14ac:dyDescent="0.35">
      <c r="A33" t="s">
        <v>90</v>
      </c>
      <c r="C33" s="46">
        <v>2022</v>
      </c>
      <c r="D33">
        <v>129330</v>
      </c>
      <c r="E33">
        <v>1860</v>
      </c>
      <c r="F33">
        <v>131190</v>
      </c>
      <c r="G33">
        <v>14500</v>
      </c>
      <c r="H33" s="22">
        <v>0.56000000000000005</v>
      </c>
      <c r="I33">
        <v>8370</v>
      </c>
      <c r="J33" s="63">
        <v>6.6900000000000001E-2</v>
      </c>
      <c r="K33">
        <v>11.04</v>
      </c>
      <c r="L33">
        <v>295800</v>
      </c>
      <c r="M33">
        <v>0.1</v>
      </c>
      <c r="N33" s="21">
        <v>2.92E-2</v>
      </c>
      <c r="O33">
        <v>0</v>
      </c>
      <c r="P33">
        <v>0.34</v>
      </c>
      <c r="Q33">
        <v>10800</v>
      </c>
      <c r="R33">
        <v>385400</v>
      </c>
      <c r="S33">
        <v>1.4</v>
      </c>
      <c r="T33" s="42"/>
      <c r="U33" s="42"/>
    </row>
    <row r="34" spans="1:21" x14ac:dyDescent="0.35">
      <c r="A34" s="41" t="s">
        <v>90</v>
      </c>
      <c r="B34" s="39" t="s">
        <v>71</v>
      </c>
      <c r="C34" s="41"/>
      <c r="D34" s="40">
        <f t="shared" ref="D34:G34" si="61">AVERAGE(D31:D33)</f>
        <v>214240</v>
      </c>
      <c r="E34" s="40">
        <f t="shared" si="61"/>
        <v>3890</v>
      </c>
      <c r="F34" s="40">
        <f t="shared" si="61"/>
        <v>218130</v>
      </c>
      <c r="G34" s="40">
        <f t="shared" si="61"/>
        <v>19240</v>
      </c>
      <c r="H34" s="47">
        <f>MEDIAN(H31,H32,H33)</f>
        <v>0.56000000000000005</v>
      </c>
      <c r="I34" s="40">
        <f>AVERAGE(I31:I33)</f>
        <v>12260</v>
      </c>
      <c r="J34" s="47">
        <f>MEDIAN(J31,J32,J33)</f>
        <v>6.6900000000000001E-2</v>
      </c>
      <c r="K34" s="40">
        <f t="shared" ref="K34:M34" si="62">AVERAGE(K31:K33)</f>
        <v>11.76</v>
      </c>
      <c r="L34" s="40">
        <f t="shared" si="62"/>
        <v>312566.66666666669</v>
      </c>
      <c r="M34" s="40">
        <f t="shared" si="62"/>
        <v>0.13</v>
      </c>
      <c r="N34" s="47">
        <f t="shared" ref="N34:P34" si="63">MEDIAN(N31,N32,N33)</f>
        <v>4.3999999999999997E-2</v>
      </c>
      <c r="O34" s="48">
        <f t="shared" si="63"/>
        <v>0.02</v>
      </c>
      <c r="P34" s="48">
        <f t="shared" si="63"/>
        <v>0.49</v>
      </c>
      <c r="Q34" s="40">
        <f t="shared" ref="Q34:T34" si="64">AVERAGE(Q31:Q33)</f>
        <v>29100</v>
      </c>
      <c r="R34" s="40">
        <f t="shared" si="64"/>
        <v>439133.33333333331</v>
      </c>
      <c r="S34" s="48">
        <f t="shared" ref="S34" si="65">MEDIAN(S31,S32,S33)</f>
        <v>1.4</v>
      </c>
      <c r="T34" s="40">
        <f t="shared" si="64"/>
        <v>45000</v>
      </c>
    </row>
    <row r="35" spans="1:21" x14ac:dyDescent="0.35">
      <c r="B35" s="44"/>
      <c r="D35" t="s">
        <v>73</v>
      </c>
      <c r="E35" t="s">
        <v>74</v>
      </c>
      <c r="F35" t="s">
        <v>2</v>
      </c>
      <c r="G35" t="s">
        <v>3</v>
      </c>
      <c r="H35" t="s">
        <v>75</v>
      </c>
      <c r="I35" t="s">
        <v>76</v>
      </c>
      <c r="K35" t="s">
        <v>77</v>
      </c>
      <c r="L35" t="s">
        <v>78</v>
      </c>
      <c r="M35" t="s">
        <v>79</v>
      </c>
      <c r="N35" t="s">
        <v>80</v>
      </c>
      <c r="O35" t="s">
        <v>81</v>
      </c>
      <c r="P35" t="s">
        <v>82</v>
      </c>
      <c r="Q35" t="s">
        <v>24</v>
      </c>
      <c r="R35" t="s">
        <v>10</v>
      </c>
      <c r="S35" t="s">
        <v>11</v>
      </c>
      <c r="T35" t="s">
        <v>88</v>
      </c>
    </row>
    <row r="36" spans="1:21" x14ac:dyDescent="0.35">
      <c r="A36" t="s">
        <v>91</v>
      </c>
      <c r="C36">
        <v>2024</v>
      </c>
      <c r="D36">
        <v>87500</v>
      </c>
      <c r="E36">
        <v>1532</v>
      </c>
      <c r="F36">
        <v>89032</v>
      </c>
      <c r="G36">
        <v>3722</v>
      </c>
      <c r="H36" s="21">
        <v>4.1799999999999997E-2</v>
      </c>
      <c r="I36">
        <v>1408</v>
      </c>
      <c r="J36" s="64">
        <v>1.6E-2</v>
      </c>
      <c r="K36">
        <v>1144</v>
      </c>
      <c r="L36">
        <v>16300</v>
      </c>
      <c r="M36">
        <v>2.46</v>
      </c>
      <c r="N36" s="21">
        <v>8.6199999999999999E-2</v>
      </c>
      <c r="O36">
        <v>-1.4</v>
      </c>
      <c r="P36" s="22">
        <v>0.67</v>
      </c>
      <c r="Q36">
        <v>93942</v>
      </c>
      <c r="R36">
        <v>139377</v>
      </c>
      <c r="S36">
        <v>1.08</v>
      </c>
      <c r="T36" s="42">
        <v>57200</v>
      </c>
    </row>
    <row r="37" spans="1:21" x14ac:dyDescent="0.35">
      <c r="A37" t="s">
        <v>91</v>
      </c>
      <c r="C37">
        <v>2023</v>
      </c>
      <c r="D37">
        <v>53900</v>
      </c>
      <c r="E37">
        <v>2200</v>
      </c>
      <c r="F37">
        <v>56100</v>
      </c>
      <c r="G37">
        <v>-5592</v>
      </c>
      <c r="H37" s="21">
        <v>-0.1036</v>
      </c>
      <c r="I37">
        <v>-8381</v>
      </c>
      <c r="J37" s="64">
        <v>-0.155</v>
      </c>
      <c r="K37">
        <v>1144</v>
      </c>
      <c r="L37">
        <v>14269</v>
      </c>
      <c r="M37">
        <v>-14.66</v>
      </c>
      <c r="N37" s="21">
        <v>-0.58179999999999998</v>
      </c>
      <c r="O37">
        <v>-1.3</v>
      </c>
      <c r="P37" s="22">
        <v>0.38</v>
      </c>
      <c r="Q37">
        <v>33474</v>
      </c>
      <c r="R37">
        <v>86998</v>
      </c>
      <c r="S37">
        <v>1.03</v>
      </c>
      <c r="T37" s="42"/>
    </row>
    <row r="38" spans="1:21" x14ac:dyDescent="0.35">
      <c r="A38" t="s">
        <v>91</v>
      </c>
      <c r="C38">
        <v>2022</v>
      </c>
      <c r="D38">
        <v>54000</v>
      </c>
      <c r="E38">
        <v>300</v>
      </c>
      <c r="F38">
        <v>54300</v>
      </c>
      <c r="G38">
        <v>-10929</v>
      </c>
      <c r="H38" s="22">
        <v>-0.21</v>
      </c>
      <c r="I38">
        <v>-12810</v>
      </c>
      <c r="J38" s="64">
        <v>-0.24390000000000001</v>
      </c>
      <c r="K38">
        <v>1144</v>
      </c>
      <c r="L38">
        <v>21650</v>
      </c>
      <c r="M38">
        <v>-23.04</v>
      </c>
      <c r="N38" s="21">
        <v>-0.59189999999999998</v>
      </c>
      <c r="O38">
        <v>-0.7</v>
      </c>
      <c r="P38" s="22">
        <v>0.4</v>
      </c>
      <c r="Q38">
        <v>33757</v>
      </c>
      <c r="R38">
        <v>83613</v>
      </c>
      <c r="S38">
        <v>0.96</v>
      </c>
      <c r="T38" s="42"/>
    </row>
    <row r="39" spans="1:21" x14ac:dyDescent="0.35">
      <c r="A39" s="41" t="s">
        <v>91</v>
      </c>
      <c r="B39" s="39" t="s">
        <v>71</v>
      </c>
      <c r="C39" s="41"/>
      <c r="D39" s="40">
        <f t="shared" ref="D39:G39" si="66">AVERAGE(D36:D38)</f>
        <v>65133.333333333336</v>
      </c>
      <c r="E39" s="40">
        <f t="shared" si="66"/>
        <v>1344</v>
      </c>
      <c r="F39" s="40">
        <f t="shared" si="66"/>
        <v>66477.333333333328</v>
      </c>
      <c r="G39" s="40">
        <f t="shared" si="66"/>
        <v>-4266.333333333333</v>
      </c>
      <c r="H39" s="47">
        <f>MEDIAN(H36,H37,H38)</f>
        <v>-0.1036</v>
      </c>
      <c r="I39" s="40">
        <f>AVERAGE(I36:I38)</f>
        <v>-6594.333333333333</v>
      </c>
      <c r="J39" s="47">
        <f>MEDIAN(J36,J37,J38)</f>
        <v>-0.155</v>
      </c>
      <c r="K39" s="40">
        <f t="shared" ref="K39:M39" si="67">AVERAGE(K36:K38)</f>
        <v>1144</v>
      </c>
      <c r="L39" s="40">
        <f t="shared" si="67"/>
        <v>17406.333333333332</v>
      </c>
      <c r="M39" s="40">
        <f t="shared" si="67"/>
        <v>-11.746666666666664</v>
      </c>
      <c r="N39" s="47">
        <f t="shared" ref="N39:P39" si="68">MEDIAN(N36,N37,N38)</f>
        <v>-0.58179999999999998</v>
      </c>
      <c r="O39" s="48">
        <f t="shared" si="68"/>
        <v>-1.3</v>
      </c>
      <c r="P39" s="48">
        <f t="shared" si="68"/>
        <v>0.4</v>
      </c>
      <c r="Q39" s="40">
        <f>AVERAGE(Q36:Q38)</f>
        <v>53724.333333333336</v>
      </c>
      <c r="R39" s="40">
        <f>AVERAGE(R36:R38)</f>
        <v>103329.33333333333</v>
      </c>
      <c r="S39" s="48">
        <f t="shared" ref="S39" si="69">MEDIAN(S36,S37,S38)</f>
        <v>1.03</v>
      </c>
      <c r="T39" s="40">
        <f t="shared" ref="T39" si="70">AVERAGE(T36:T38)</f>
        <v>57200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1D7A-FD3C-4BC6-925A-36961F870DCC}">
  <dimension ref="A1:D16"/>
  <sheetViews>
    <sheetView workbookViewId="0">
      <selection sqref="A1:D16"/>
    </sheetView>
  </sheetViews>
  <sheetFormatPr defaultRowHeight="14.5" x14ac:dyDescent="0.35"/>
  <cols>
    <col min="1" max="1" width="22.26953125" bestFit="1" customWidth="1"/>
  </cols>
  <sheetData>
    <row r="1" spans="1:4" x14ac:dyDescent="0.35">
      <c r="A1" t="s">
        <v>73</v>
      </c>
      <c r="B1">
        <v>317100</v>
      </c>
      <c r="C1">
        <v>196290</v>
      </c>
      <c r="D1">
        <v>129330</v>
      </c>
    </row>
    <row r="2" spans="1:4" x14ac:dyDescent="0.35">
      <c r="A2" t="s">
        <v>74</v>
      </c>
      <c r="B2">
        <v>2800</v>
      </c>
      <c r="C2">
        <v>7010</v>
      </c>
      <c r="D2">
        <v>1860</v>
      </c>
    </row>
    <row r="3" spans="1:4" x14ac:dyDescent="0.35">
      <c r="A3" t="s">
        <v>2</v>
      </c>
      <c r="B3">
        <v>319900</v>
      </c>
      <c r="C3">
        <v>203300</v>
      </c>
      <c r="D3">
        <v>131190</v>
      </c>
    </row>
    <row r="4" spans="1:4" x14ac:dyDescent="0.35">
      <c r="A4" t="s">
        <v>3</v>
      </c>
      <c r="B4">
        <v>25260</v>
      </c>
      <c r="C4">
        <v>17960</v>
      </c>
      <c r="D4">
        <v>14500</v>
      </c>
    </row>
    <row r="5" spans="1:4" x14ac:dyDescent="0.35">
      <c r="A5" t="s">
        <v>75</v>
      </c>
      <c r="B5" s="22">
        <v>0.59</v>
      </c>
      <c r="C5" s="22">
        <v>0.55000000000000004</v>
      </c>
      <c r="D5" s="22">
        <v>0.56000000000000005</v>
      </c>
    </row>
    <row r="6" spans="1:4" x14ac:dyDescent="0.35">
      <c r="A6" t="s">
        <v>76</v>
      </c>
      <c r="B6">
        <v>14780</v>
      </c>
      <c r="C6">
        <v>13630</v>
      </c>
      <c r="D6">
        <v>8370</v>
      </c>
    </row>
    <row r="7" spans="1:4" x14ac:dyDescent="0.35">
      <c r="A7" t="s">
        <v>77</v>
      </c>
      <c r="B7">
        <v>12.42</v>
      </c>
      <c r="C7">
        <v>11.82</v>
      </c>
      <c r="D7">
        <v>11.04</v>
      </c>
    </row>
    <row r="8" spans="1:4" x14ac:dyDescent="0.35">
      <c r="A8" t="s">
        <v>78</v>
      </c>
      <c r="B8">
        <v>337600</v>
      </c>
      <c r="C8">
        <v>304300</v>
      </c>
      <c r="D8">
        <v>295800</v>
      </c>
    </row>
    <row r="9" spans="1:4" x14ac:dyDescent="0.35">
      <c r="A9" t="s">
        <v>79</v>
      </c>
      <c r="B9">
        <v>0.15</v>
      </c>
      <c r="C9">
        <v>0.14000000000000001</v>
      </c>
      <c r="D9">
        <v>0.1</v>
      </c>
    </row>
    <row r="10" spans="1:4" x14ac:dyDescent="0.35">
      <c r="A10" t="s">
        <v>80</v>
      </c>
      <c r="B10" s="21">
        <v>4.5699999999999998E-2</v>
      </c>
      <c r="C10" s="21">
        <v>4.3999999999999997E-2</v>
      </c>
      <c r="D10" s="21">
        <v>2.92E-2</v>
      </c>
    </row>
    <row r="11" spans="1:4" x14ac:dyDescent="0.35">
      <c r="A11" t="s">
        <v>81</v>
      </c>
      <c r="B11">
        <v>0.02</v>
      </c>
      <c r="C11">
        <v>0.09</v>
      </c>
      <c r="D11">
        <v>0</v>
      </c>
    </row>
    <row r="12" spans="1:4" x14ac:dyDescent="0.35">
      <c r="A12" t="s">
        <v>82</v>
      </c>
      <c r="B12" t="s">
        <v>83</v>
      </c>
      <c r="C12" t="s">
        <v>84</v>
      </c>
      <c r="D12" t="s">
        <v>85</v>
      </c>
    </row>
    <row r="13" spans="1:4" x14ac:dyDescent="0.35">
      <c r="A13" t="s">
        <v>24</v>
      </c>
      <c r="B13">
        <v>59800</v>
      </c>
      <c r="C13">
        <v>16700</v>
      </c>
      <c r="D13">
        <v>10800</v>
      </c>
    </row>
    <row r="14" spans="1:4" x14ac:dyDescent="0.35">
      <c r="A14" t="s">
        <v>10</v>
      </c>
      <c r="B14">
        <v>521600</v>
      </c>
      <c r="C14">
        <v>410400</v>
      </c>
      <c r="D14">
        <v>385400</v>
      </c>
    </row>
    <row r="15" spans="1:4" x14ac:dyDescent="0.35">
      <c r="A15" t="s">
        <v>11</v>
      </c>
      <c r="B15" t="s">
        <v>86</v>
      </c>
      <c r="C15" t="s">
        <v>87</v>
      </c>
      <c r="D15" t="s">
        <v>86</v>
      </c>
    </row>
    <row r="16" spans="1:4" x14ac:dyDescent="0.35">
      <c r="A16" t="s">
        <v>88</v>
      </c>
      <c r="B16" s="23" t="s">
        <v>89</v>
      </c>
      <c r="C16" s="23"/>
      <c r="D16" s="23"/>
    </row>
  </sheetData>
  <mergeCells count="1">
    <mergeCell ref="B16:D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17A6-484F-4EFB-A7FC-777CBB42EAE2}">
  <dimension ref="A1:D17"/>
  <sheetViews>
    <sheetView workbookViewId="0">
      <selection activeCell="A2" sqref="A2:D17"/>
    </sheetView>
  </sheetViews>
  <sheetFormatPr defaultRowHeight="14.5" x14ac:dyDescent="0.35"/>
  <sheetData>
    <row r="1" spans="1:4" x14ac:dyDescent="0.35">
      <c r="A1" t="s">
        <v>72</v>
      </c>
      <c r="B1">
        <v>2024</v>
      </c>
      <c r="C1">
        <v>2023</v>
      </c>
      <c r="D1">
        <v>2022</v>
      </c>
    </row>
    <row r="2" spans="1:4" x14ac:dyDescent="0.35">
      <c r="A2" t="s">
        <v>73</v>
      </c>
      <c r="B2">
        <v>87500</v>
      </c>
      <c r="C2">
        <v>53900</v>
      </c>
      <c r="D2">
        <v>54000</v>
      </c>
    </row>
    <row r="3" spans="1:4" x14ac:dyDescent="0.35">
      <c r="A3" t="s">
        <v>74</v>
      </c>
      <c r="B3">
        <v>1532</v>
      </c>
      <c r="C3">
        <v>2200</v>
      </c>
      <c r="D3">
        <v>300</v>
      </c>
    </row>
    <row r="4" spans="1:4" x14ac:dyDescent="0.35">
      <c r="A4" t="s">
        <v>2</v>
      </c>
      <c r="B4">
        <v>89032</v>
      </c>
      <c r="C4">
        <v>56100</v>
      </c>
      <c r="D4">
        <v>54300</v>
      </c>
    </row>
    <row r="5" spans="1:4" x14ac:dyDescent="0.35">
      <c r="A5" t="s">
        <v>3</v>
      </c>
      <c r="B5">
        <v>3722</v>
      </c>
      <c r="C5">
        <v>-5592</v>
      </c>
      <c r="D5">
        <v>-10929</v>
      </c>
    </row>
    <row r="6" spans="1:4" x14ac:dyDescent="0.35">
      <c r="A6" t="s">
        <v>75</v>
      </c>
      <c r="B6" s="21">
        <v>4.1799999999999997E-2</v>
      </c>
      <c r="C6" s="21">
        <v>-0.1036</v>
      </c>
      <c r="D6" s="22">
        <v>-0.21</v>
      </c>
    </row>
    <row r="7" spans="1:4" x14ac:dyDescent="0.35">
      <c r="A7" t="s">
        <v>76</v>
      </c>
      <c r="B7">
        <v>1408</v>
      </c>
      <c r="C7">
        <v>-8381</v>
      </c>
      <c r="D7">
        <v>-12810</v>
      </c>
    </row>
    <row r="8" spans="1:4" x14ac:dyDescent="0.35">
      <c r="A8" t="s">
        <v>77</v>
      </c>
      <c r="B8">
        <v>1144</v>
      </c>
      <c r="C8">
        <v>1144</v>
      </c>
      <c r="D8">
        <v>1144</v>
      </c>
    </row>
    <row r="9" spans="1:4" x14ac:dyDescent="0.35">
      <c r="A9" t="s">
        <v>78</v>
      </c>
      <c r="B9">
        <v>16300</v>
      </c>
      <c r="C9">
        <v>14269</v>
      </c>
      <c r="D9">
        <v>21650</v>
      </c>
    </row>
    <row r="10" spans="1:4" x14ac:dyDescent="0.35">
      <c r="A10" t="s">
        <v>79</v>
      </c>
      <c r="B10">
        <v>2.46</v>
      </c>
      <c r="C10">
        <v>-14.66</v>
      </c>
      <c r="D10">
        <v>-23.04</v>
      </c>
    </row>
    <row r="11" spans="1:4" x14ac:dyDescent="0.35">
      <c r="A11" t="s">
        <v>80</v>
      </c>
      <c r="B11" s="21">
        <v>8.6199999999999999E-2</v>
      </c>
      <c r="C11" s="21">
        <v>-0.58179999999999998</v>
      </c>
      <c r="D11" s="21">
        <v>-0.59189999999999998</v>
      </c>
    </row>
    <row r="12" spans="1:4" x14ac:dyDescent="0.35">
      <c r="A12" t="s">
        <v>81</v>
      </c>
      <c r="B12">
        <v>-1.4</v>
      </c>
      <c r="C12">
        <v>-1.3</v>
      </c>
      <c r="D12">
        <v>-0.7</v>
      </c>
    </row>
    <row r="13" spans="1:4" x14ac:dyDescent="0.35">
      <c r="A13" t="s">
        <v>82</v>
      </c>
      <c r="B13" s="22">
        <v>0.67</v>
      </c>
      <c r="C13" s="22">
        <v>0.38</v>
      </c>
      <c r="D13" s="22">
        <v>0.4</v>
      </c>
    </row>
    <row r="14" spans="1:4" x14ac:dyDescent="0.35">
      <c r="A14" t="s">
        <v>24</v>
      </c>
      <c r="B14">
        <v>93942</v>
      </c>
      <c r="C14">
        <v>33474</v>
      </c>
      <c r="D14">
        <v>33757</v>
      </c>
    </row>
    <row r="15" spans="1:4" x14ac:dyDescent="0.35">
      <c r="A15" t="s">
        <v>10</v>
      </c>
      <c r="B15">
        <v>139377</v>
      </c>
      <c r="C15">
        <v>86998</v>
      </c>
      <c r="D15">
        <v>83613</v>
      </c>
    </row>
    <row r="16" spans="1:4" x14ac:dyDescent="0.35">
      <c r="A16" t="s">
        <v>11</v>
      </c>
      <c r="B16">
        <v>1.08</v>
      </c>
      <c r="C16">
        <v>1.03</v>
      </c>
      <c r="D16">
        <v>0.96</v>
      </c>
    </row>
    <row r="17" spans="1:4" x14ac:dyDescent="0.35">
      <c r="A17" t="s">
        <v>88</v>
      </c>
      <c r="B17" s="23">
        <v>57200</v>
      </c>
      <c r="C17" s="23"/>
      <c r="D17" s="23"/>
    </row>
  </sheetData>
  <mergeCells count="1">
    <mergeCell ref="B17:D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71BD-CABB-42FD-884E-543DD6333DAB}">
  <dimension ref="A1:D17"/>
  <sheetViews>
    <sheetView workbookViewId="0">
      <selection sqref="A1:D17"/>
    </sheetView>
  </sheetViews>
  <sheetFormatPr defaultRowHeight="14.5" x14ac:dyDescent="0.35"/>
  <sheetData>
    <row r="1" spans="1:4" x14ac:dyDescent="0.35">
      <c r="A1" t="s">
        <v>72</v>
      </c>
      <c r="B1">
        <v>2024</v>
      </c>
      <c r="C1">
        <v>2023</v>
      </c>
      <c r="D1">
        <v>2022</v>
      </c>
    </row>
    <row r="2" spans="1:4" x14ac:dyDescent="0.35">
      <c r="A2" t="s">
        <v>73</v>
      </c>
      <c r="B2">
        <v>317100</v>
      </c>
      <c r="C2">
        <v>196290</v>
      </c>
      <c r="D2">
        <v>129330</v>
      </c>
    </row>
    <row r="3" spans="1:4" x14ac:dyDescent="0.35">
      <c r="A3" t="s">
        <v>74</v>
      </c>
      <c r="B3">
        <v>2800</v>
      </c>
      <c r="C3">
        <v>7010</v>
      </c>
      <c r="D3">
        <v>1860</v>
      </c>
    </row>
    <row r="4" spans="1:4" x14ac:dyDescent="0.35">
      <c r="A4" t="s">
        <v>2</v>
      </c>
      <c r="B4">
        <v>319900</v>
      </c>
      <c r="C4">
        <v>203300</v>
      </c>
      <c r="D4">
        <v>131190</v>
      </c>
    </row>
    <row r="5" spans="1:4" x14ac:dyDescent="0.35">
      <c r="A5" t="s">
        <v>3</v>
      </c>
      <c r="B5">
        <v>25260</v>
      </c>
      <c r="C5">
        <v>17960</v>
      </c>
      <c r="D5">
        <v>14500</v>
      </c>
    </row>
    <row r="6" spans="1:4" x14ac:dyDescent="0.35">
      <c r="A6" t="s">
        <v>75</v>
      </c>
      <c r="B6" s="22">
        <v>0.59</v>
      </c>
      <c r="C6" s="22">
        <v>0.55000000000000004</v>
      </c>
      <c r="D6" s="22">
        <v>0.56000000000000005</v>
      </c>
    </row>
    <row r="7" spans="1:4" x14ac:dyDescent="0.35">
      <c r="A7" t="s">
        <v>76</v>
      </c>
      <c r="B7">
        <v>14780</v>
      </c>
      <c r="C7">
        <v>13630</v>
      </c>
      <c r="D7">
        <v>8370</v>
      </c>
    </row>
    <row r="8" spans="1:4" x14ac:dyDescent="0.35">
      <c r="A8" t="s">
        <v>77</v>
      </c>
      <c r="B8">
        <v>12.42</v>
      </c>
      <c r="C8">
        <v>11.82</v>
      </c>
      <c r="D8">
        <v>11.04</v>
      </c>
    </row>
    <row r="9" spans="1:4" x14ac:dyDescent="0.35">
      <c r="A9" t="s">
        <v>78</v>
      </c>
      <c r="B9">
        <v>337600</v>
      </c>
      <c r="C9">
        <v>304300</v>
      </c>
      <c r="D9">
        <v>295800</v>
      </c>
    </row>
    <row r="10" spans="1:4" x14ac:dyDescent="0.35">
      <c r="A10" t="s">
        <v>79</v>
      </c>
      <c r="B10">
        <v>0.15</v>
      </c>
      <c r="C10">
        <v>0.14000000000000001</v>
      </c>
      <c r="D10">
        <v>0.1</v>
      </c>
    </row>
    <row r="11" spans="1:4" x14ac:dyDescent="0.35">
      <c r="A11" t="s">
        <v>80</v>
      </c>
      <c r="B11" s="21">
        <v>4.5699999999999998E-2</v>
      </c>
      <c r="C11" s="21">
        <v>4.3999999999999997E-2</v>
      </c>
      <c r="D11" s="21">
        <v>2.92E-2</v>
      </c>
    </row>
    <row r="12" spans="1:4" x14ac:dyDescent="0.35">
      <c r="A12" t="s">
        <v>81</v>
      </c>
      <c r="B12">
        <v>0.02</v>
      </c>
      <c r="C12">
        <v>0.09</v>
      </c>
      <c r="D12">
        <v>0</v>
      </c>
    </row>
    <row r="13" spans="1:4" x14ac:dyDescent="0.35">
      <c r="A13" t="s">
        <v>82</v>
      </c>
      <c r="B13" t="s">
        <v>83</v>
      </c>
      <c r="C13" t="s">
        <v>84</v>
      </c>
      <c r="D13" t="s">
        <v>85</v>
      </c>
    </row>
    <row r="14" spans="1:4" x14ac:dyDescent="0.35">
      <c r="A14" t="s">
        <v>24</v>
      </c>
      <c r="B14">
        <v>59800</v>
      </c>
      <c r="C14">
        <v>16700</v>
      </c>
      <c r="D14">
        <v>10800</v>
      </c>
    </row>
    <row r="15" spans="1:4" x14ac:dyDescent="0.35">
      <c r="A15" t="s">
        <v>10</v>
      </c>
      <c r="B15">
        <v>521600</v>
      </c>
      <c r="C15">
        <v>410400</v>
      </c>
      <c r="D15">
        <v>385400</v>
      </c>
    </row>
    <row r="16" spans="1:4" x14ac:dyDescent="0.35">
      <c r="A16" t="s">
        <v>11</v>
      </c>
      <c r="B16" t="s">
        <v>86</v>
      </c>
      <c r="C16" t="s">
        <v>87</v>
      </c>
      <c r="D16" t="s">
        <v>86</v>
      </c>
    </row>
    <row r="17" spans="1:4" x14ac:dyDescent="0.35">
      <c r="A17" t="s">
        <v>88</v>
      </c>
      <c r="B17" s="23" t="s">
        <v>89</v>
      </c>
      <c r="C17" s="23"/>
      <c r="D17" s="23"/>
    </row>
  </sheetData>
  <mergeCells count="1">
    <mergeCell ref="B17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FFD8-B9B6-4ED4-A1A6-64B8413B1BD6}">
  <dimension ref="A1:R20"/>
  <sheetViews>
    <sheetView workbookViewId="0">
      <selection activeCell="A3" sqref="A3:A20"/>
    </sheetView>
  </sheetViews>
  <sheetFormatPr defaultRowHeight="14.5" x14ac:dyDescent="0.35"/>
  <sheetData>
    <row r="1" spans="1:18" ht="58" x14ac:dyDescent="0.3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18</v>
      </c>
      <c r="K1" s="5" t="s">
        <v>19</v>
      </c>
      <c r="L1" s="5" t="s">
        <v>15</v>
      </c>
      <c r="M1" s="5" t="s">
        <v>8</v>
      </c>
      <c r="N1" s="2" t="s">
        <v>9</v>
      </c>
      <c r="O1" s="5" t="s">
        <v>24</v>
      </c>
      <c r="P1" s="5" t="s">
        <v>10</v>
      </c>
      <c r="Q1" s="5" t="s">
        <v>11</v>
      </c>
      <c r="R1" s="3" t="s">
        <v>12</v>
      </c>
    </row>
    <row r="2" spans="1:18" ht="15" thickBot="1" x14ac:dyDescent="0.4"/>
    <row r="3" spans="1:18" ht="29.5" thickBot="1" x14ac:dyDescent="0.4">
      <c r="A3" s="5" t="s">
        <v>14</v>
      </c>
    </row>
    <row r="4" spans="1:18" ht="58.5" thickBot="1" x14ac:dyDescent="0.4">
      <c r="A4" s="5" t="s">
        <v>0</v>
      </c>
    </row>
    <row r="5" spans="1:18" ht="29.5" thickBot="1" x14ac:dyDescent="0.4">
      <c r="A5" s="5" t="s">
        <v>1</v>
      </c>
    </row>
    <row r="6" spans="1:18" ht="29.5" thickBot="1" x14ac:dyDescent="0.4">
      <c r="A6" s="5" t="s">
        <v>2</v>
      </c>
    </row>
    <row r="7" spans="1:18" ht="15" thickBot="1" x14ac:dyDescent="0.4">
      <c r="A7" s="5" t="s">
        <v>3</v>
      </c>
    </row>
    <row r="8" spans="1:18" ht="43.5" x14ac:dyDescent="0.35">
      <c r="A8" s="5" t="s">
        <v>4</v>
      </c>
    </row>
    <row r="9" spans="1:18" ht="15" thickBot="1" x14ac:dyDescent="0.4">
      <c r="A9" s="6" t="s">
        <v>5</v>
      </c>
    </row>
    <row r="10" spans="1:18" ht="58.5" thickBot="1" x14ac:dyDescent="0.4">
      <c r="A10" s="5" t="s">
        <v>6</v>
      </c>
    </row>
    <row r="11" spans="1:18" ht="44" thickBot="1" x14ac:dyDescent="0.4">
      <c r="A11" s="5" t="s">
        <v>7</v>
      </c>
    </row>
    <row r="12" spans="1:18" ht="44" thickBot="1" x14ac:dyDescent="0.4">
      <c r="A12" s="5" t="s">
        <v>18</v>
      </c>
    </row>
    <row r="13" spans="1:18" ht="44" thickBot="1" x14ac:dyDescent="0.4">
      <c r="A13" s="5" t="s">
        <v>19</v>
      </c>
    </row>
    <row r="14" spans="1:18" ht="58.5" thickBot="1" x14ac:dyDescent="0.4">
      <c r="A14" s="5" t="s">
        <v>15</v>
      </c>
    </row>
    <row r="15" spans="1:18" ht="43.5" x14ac:dyDescent="0.35">
      <c r="A15" s="5" t="s">
        <v>8</v>
      </c>
    </row>
    <row r="16" spans="1:18" ht="15" thickBot="1" x14ac:dyDescent="0.4">
      <c r="A16" s="2" t="s">
        <v>9</v>
      </c>
    </row>
    <row r="17" spans="1:1" ht="44" thickBot="1" x14ac:dyDescent="0.4">
      <c r="A17" s="5" t="s">
        <v>24</v>
      </c>
    </row>
    <row r="18" spans="1:1" ht="29.5" thickBot="1" x14ac:dyDescent="0.4">
      <c r="A18" s="5" t="s">
        <v>10</v>
      </c>
    </row>
    <row r="19" spans="1:1" ht="29" x14ac:dyDescent="0.35">
      <c r="A19" s="5" t="s">
        <v>11</v>
      </c>
    </row>
    <row r="20" spans="1:1" ht="43.5" x14ac:dyDescent="0.35">
      <c r="A20" s="3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E1EF-2198-4F02-8211-11AD1FFA37D7}">
  <dimension ref="A1:D17"/>
  <sheetViews>
    <sheetView topLeftCell="A4" workbookViewId="0">
      <selection sqref="A1:D17"/>
    </sheetView>
  </sheetViews>
  <sheetFormatPr defaultRowHeight="14.5" x14ac:dyDescent="0.35"/>
  <cols>
    <col min="1" max="1" width="25.6328125" bestFit="1" customWidth="1"/>
    <col min="2" max="2" width="9.453125" bestFit="1" customWidth="1"/>
    <col min="3" max="4" width="10.26953125" bestFit="1" customWidth="1"/>
  </cols>
  <sheetData>
    <row r="1" spans="1:4" x14ac:dyDescent="0.35">
      <c r="A1" t="s">
        <v>0</v>
      </c>
      <c r="B1" s="15">
        <f>4922.45*10</f>
        <v>49224.5</v>
      </c>
      <c r="C1" s="15">
        <f>7712.97*10</f>
        <v>77129.7</v>
      </c>
      <c r="D1" s="15">
        <f>8866.62*10</f>
        <v>88666.200000000012</v>
      </c>
    </row>
    <row r="2" spans="1:4" x14ac:dyDescent="0.35">
      <c r="A2" t="s">
        <v>1</v>
      </c>
      <c r="B2">
        <f>365.62*10</f>
        <v>3656.2</v>
      </c>
      <c r="C2">
        <f>842.66*10</f>
        <v>8426.6</v>
      </c>
      <c r="D2">
        <f>707.51*10</f>
        <v>7075.1</v>
      </c>
    </row>
    <row r="3" spans="1:4" x14ac:dyDescent="0.35">
      <c r="A3" t="s">
        <v>2</v>
      </c>
      <c r="B3">
        <f>SUM(B1:B2)</f>
        <v>52880.7</v>
      </c>
      <c r="C3">
        <f>SUM(C1:C2)</f>
        <v>85556.3</v>
      </c>
      <c r="D3">
        <f>SUM(D1:D2)</f>
        <v>95741.300000000017</v>
      </c>
    </row>
    <row r="4" spans="1:4" x14ac:dyDescent="0.35">
      <c r="A4" t="s">
        <v>3</v>
      </c>
      <c r="B4">
        <f>B3-86623.7+3042.2</f>
        <v>-30700.799999999999</v>
      </c>
      <c r="C4">
        <f>C3-115040.4+4729.5</f>
        <v>-24754.599999999991</v>
      </c>
      <c r="D4">
        <f>D3-109932.7+4137.8</f>
        <v>-10053.59999999998</v>
      </c>
    </row>
    <row r="5" spans="1:4" x14ac:dyDescent="0.35">
      <c r="A5" t="s">
        <v>4</v>
      </c>
      <c r="B5" s="16">
        <f>B4/B3</f>
        <v>-0.5805672012662465</v>
      </c>
      <c r="C5" s="16">
        <f>C4/C3</f>
        <v>-0.28933696291214078</v>
      </c>
      <c r="D5" s="16">
        <f>D4/D3</f>
        <v>-0.10500797461492563</v>
      </c>
    </row>
    <row r="6" spans="1:4" x14ac:dyDescent="0.35">
      <c r="A6" t="s">
        <v>5</v>
      </c>
      <c r="B6" s="15">
        <v>-34808</v>
      </c>
      <c r="C6" s="15">
        <v>-30313.599999999999</v>
      </c>
      <c r="D6" s="15">
        <v>-15327.9</v>
      </c>
    </row>
    <row r="7" spans="1:4" x14ac:dyDescent="0.35">
      <c r="A7" t="s">
        <v>6</v>
      </c>
      <c r="B7" s="16">
        <f>B6/B3</f>
        <v>-0.65823636979086897</v>
      </c>
      <c r="C7" s="16">
        <f>C6/C3</f>
        <v>-0.35431172222267676</v>
      </c>
      <c r="D7" s="16">
        <f>D6/D3</f>
        <v>-0.16009705320483425</v>
      </c>
    </row>
    <row r="8" spans="1:4" x14ac:dyDescent="0.35">
      <c r="A8" t="s">
        <v>7</v>
      </c>
      <c r="B8">
        <v>0.38</v>
      </c>
      <c r="C8">
        <v>0.38</v>
      </c>
      <c r="D8">
        <v>0.46</v>
      </c>
    </row>
    <row r="9" spans="1:4" x14ac:dyDescent="0.35">
      <c r="A9" t="s">
        <v>27</v>
      </c>
      <c r="B9" s="15">
        <f>4902.94*10</f>
        <v>49029.399999999994</v>
      </c>
      <c r="C9" s="15">
        <f>12658.47*10</f>
        <v>126584.7</v>
      </c>
      <c r="D9" s="15">
        <f>19917.34*10</f>
        <v>199173.4</v>
      </c>
    </row>
    <row r="10" spans="1:4" x14ac:dyDescent="0.35">
      <c r="A10" t="s">
        <v>28</v>
      </c>
      <c r="B10">
        <v>-60065.8</v>
      </c>
      <c r="C10" s="15">
        <v>-43384.6</v>
      </c>
      <c r="D10" s="15">
        <v>-20562.3</v>
      </c>
    </row>
    <row r="11" spans="1:4" x14ac:dyDescent="0.35">
      <c r="A11" t="s">
        <v>29</v>
      </c>
      <c r="B11" s="17">
        <v>-70.739999999999995</v>
      </c>
      <c r="C11" s="17">
        <v>-24.02</v>
      </c>
      <c r="D11" s="17">
        <v>-7.54</v>
      </c>
    </row>
    <row r="12" spans="1:4" x14ac:dyDescent="0.35">
      <c r="A12" s="19" t="s">
        <v>8</v>
      </c>
      <c r="B12" s="18">
        <v>0</v>
      </c>
      <c r="C12" s="18">
        <v>0</v>
      </c>
      <c r="D12" s="18">
        <v>0</v>
      </c>
    </row>
    <row r="13" spans="1:4" x14ac:dyDescent="0.35">
      <c r="A13" s="19" t="s">
        <v>9</v>
      </c>
      <c r="B13" s="18">
        <v>73.63</v>
      </c>
      <c r="C13" s="18">
        <v>48.94</v>
      </c>
      <c r="D13" s="18">
        <v>38.04</v>
      </c>
    </row>
    <row r="14" spans="1:4" x14ac:dyDescent="0.35">
      <c r="A14" s="19" t="s">
        <v>30</v>
      </c>
      <c r="B14" s="19">
        <v>2671.2</v>
      </c>
      <c r="C14" s="20">
        <v>11056.4</v>
      </c>
      <c r="D14" s="20">
        <v>18101.8</v>
      </c>
    </row>
    <row r="15" spans="1:4" x14ac:dyDescent="0.35">
      <c r="A15" s="19" t="s">
        <v>10</v>
      </c>
      <c r="B15" s="19">
        <v>4929.1000000000004</v>
      </c>
      <c r="C15" s="20">
        <v>12658.6</v>
      </c>
      <c r="D15" s="20">
        <v>19917.3</v>
      </c>
    </row>
    <row r="16" spans="1:4" x14ac:dyDescent="0.35">
      <c r="A16" s="19" t="s">
        <v>11</v>
      </c>
      <c r="B16" s="18">
        <v>3.3</v>
      </c>
      <c r="C16" s="18">
        <v>6.46</v>
      </c>
      <c r="D16" s="18">
        <v>9.68</v>
      </c>
    </row>
    <row r="17" spans="1:2" x14ac:dyDescent="0.35">
      <c r="A17" t="s">
        <v>12</v>
      </c>
      <c r="B17">
        <f>5625*100</f>
        <v>562500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C237-43CF-43B1-9C30-F0B63A9D49FC}">
  <dimension ref="A1:C17"/>
  <sheetViews>
    <sheetView workbookViewId="0">
      <selection activeCell="D9" sqref="D9"/>
    </sheetView>
  </sheetViews>
  <sheetFormatPr defaultRowHeight="14.5" x14ac:dyDescent="0.35"/>
  <cols>
    <col min="1" max="1" width="12" bestFit="1" customWidth="1"/>
    <col min="2" max="2" width="11.54296875" bestFit="1" customWidth="1"/>
    <col min="3" max="3" width="12.08984375" bestFit="1" customWidth="1"/>
  </cols>
  <sheetData>
    <row r="1" spans="1:3" x14ac:dyDescent="0.35">
      <c r="A1">
        <v>2024</v>
      </c>
      <c r="B1">
        <v>2023</v>
      </c>
      <c r="C1">
        <v>2022</v>
      </c>
    </row>
    <row r="2" spans="1:3" x14ac:dyDescent="0.35">
      <c r="A2" t="s">
        <v>35</v>
      </c>
      <c r="B2" t="s">
        <v>36</v>
      </c>
      <c r="C2" t="s">
        <v>37</v>
      </c>
    </row>
    <row r="4" spans="1:3" x14ac:dyDescent="0.35">
      <c r="A4" t="s">
        <v>38</v>
      </c>
      <c r="B4" t="s">
        <v>39</v>
      </c>
    </row>
    <row r="5" spans="1:3" x14ac:dyDescent="0.35">
      <c r="A5" t="s">
        <v>40</v>
      </c>
      <c r="B5" t="s">
        <v>41</v>
      </c>
      <c r="C5" t="s">
        <v>42</v>
      </c>
    </row>
    <row r="6" spans="1:3" x14ac:dyDescent="0.35">
      <c r="A6" s="21">
        <v>4.1799999999999997E-2</v>
      </c>
      <c r="B6" t="s">
        <v>43</v>
      </c>
      <c r="C6" t="s">
        <v>44</v>
      </c>
    </row>
    <row r="7" spans="1:3" x14ac:dyDescent="0.35">
      <c r="A7" t="s">
        <v>45</v>
      </c>
      <c r="B7" t="s">
        <v>46</v>
      </c>
      <c r="C7" t="s">
        <v>47</v>
      </c>
    </row>
    <row r="8" spans="1:3" x14ac:dyDescent="0.35">
      <c r="A8" t="s">
        <v>48</v>
      </c>
      <c r="B8" t="s">
        <v>48</v>
      </c>
      <c r="C8" t="s">
        <v>48</v>
      </c>
    </row>
    <row r="9" spans="1:3" x14ac:dyDescent="0.35">
      <c r="A9" t="s">
        <v>49</v>
      </c>
      <c r="B9" t="s">
        <v>50</v>
      </c>
      <c r="C9" t="s">
        <v>51</v>
      </c>
    </row>
    <row r="10" spans="1:3" x14ac:dyDescent="0.35">
      <c r="A10">
        <v>2.46</v>
      </c>
      <c r="B10" t="s">
        <v>52</v>
      </c>
      <c r="C10" t="s">
        <v>53</v>
      </c>
    </row>
    <row r="11" spans="1:3" x14ac:dyDescent="0.35">
      <c r="A11" s="21">
        <v>8.6199999999999999E-2</v>
      </c>
      <c r="B11" t="s">
        <v>54</v>
      </c>
      <c r="C11" t="s">
        <v>55</v>
      </c>
    </row>
    <row r="12" spans="1:3" x14ac:dyDescent="0.35">
      <c r="A12" t="s">
        <v>56</v>
      </c>
      <c r="B12" t="s">
        <v>57</v>
      </c>
      <c r="C12" t="s">
        <v>58</v>
      </c>
    </row>
    <row r="13" spans="1:3" x14ac:dyDescent="0.35">
      <c r="A13" s="22">
        <v>0.67</v>
      </c>
      <c r="B13" s="22">
        <v>0.38</v>
      </c>
      <c r="C13" s="22">
        <v>0.4</v>
      </c>
    </row>
    <row r="14" spans="1:3" x14ac:dyDescent="0.35">
      <c r="A14" t="s">
        <v>59</v>
      </c>
      <c r="B14" t="s">
        <v>60</v>
      </c>
      <c r="C14" t="s">
        <v>61</v>
      </c>
    </row>
    <row r="15" spans="1:3" x14ac:dyDescent="0.35">
      <c r="A15" t="s">
        <v>62</v>
      </c>
      <c r="B15" t="s">
        <v>63</v>
      </c>
      <c r="C15" t="s">
        <v>64</v>
      </c>
    </row>
    <row r="16" spans="1:3" x14ac:dyDescent="0.35">
      <c r="A16" t="s">
        <v>65</v>
      </c>
      <c r="B16" t="s">
        <v>66</v>
      </c>
      <c r="C16" t="s">
        <v>67</v>
      </c>
    </row>
    <row r="17" spans="1:3" x14ac:dyDescent="0.35">
      <c r="A17" s="23" t="s">
        <v>68</v>
      </c>
      <c r="B17" s="23"/>
      <c r="C17" s="23"/>
    </row>
  </sheetData>
  <mergeCells count="1">
    <mergeCell ref="A17:C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0370-7E48-4755-8C59-7F1890FC3A2E}">
  <dimension ref="A1:D17"/>
  <sheetViews>
    <sheetView workbookViewId="0">
      <selection sqref="A1:D17"/>
    </sheetView>
  </sheetViews>
  <sheetFormatPr defaultRowHeight="14.5" x14ac:dyDescent="0.35"/>
  <sheetData>
    <row r="1" spans="1:4" x14ac:dyDescent="0.35">
      <c r="A1" t="s">
        <v>0</v>
      </c>
      <c r="B1">
        <f>76608*10</f>
        <v>766080</v>
      </c>
      <c r="C1">
        <v>602770</v>
      </c>
      <c r="D1">
        <f>38924*10</f>
        <v>389240</v>
      </c>
    </row>
    <row r="2" spans="1:4" x14ac:dyDescent="0.35">
      <c r="A2" t="s">
        <v>1</v>
      </c>
      <c r="B2">
        <f>5244*10</f>
        <v>52440</v>
      </c>
      <c r="C2">
        <v>39940</v>
      </c>
      <c r="D2">
        <f>2830*10</f>
        <v>28300</v>
      </c>
    </row>
    <row r="3" spans="1:4" x14ac:dyDescent="0.35">
      <c r="A3" t="s">
        <v>2</v>
      </c>
      <c r="B3">
        <f>SUM(B1:B2)</f>
        <v>818520</v>
      </c>
      <c r="C3">
        <f>SUM(C1:C2)</f>
        <v>642710</v>
      </c>
      <c r="D3">
        <f>SUM(D1:D2)</f>
        <v>417540</v>
      </c>
    </row>
    <row r="4" spans="1:4" x14ac:dyDescent="0.35">
      <c r="A4" t="s">
        <v>3</v>
      </c>
      <c r="B4">
        <f>(-12589+(233+7211))*10</f>
        <v>-51450</v>
      </c>
      <c r="C4">
        <f>(-17928+(219+4696))*10</f>
        <v>-130130</v>
      </c>
      <c r="D4">
        <f>(-22807+(381+2282))*10</f>
        <v>-201440</v>
      </c>
    </row>
    <row r="5" spans="1:4" x14ac:dyDescent="0.35">
      <c r="A5" t="s">
        <v>4</v>
      </c>
      <c r="B5" s="16">
        <f>B4/B3</f>
        <v>-6.2857352294384994E-2</v>
      </c>
      <c r="C5" s="16">
        <f>C4/C3</f>
        <v>-0.20247078775808686</v>
      </c>
      <c r="D5" s="16">
        <f>D4/D3</f>
        <v>-0.4824447957081956</v>
      </c>
    </row>
    <row r="6" spans="1:4" x14ac:dyDescent="0.35">
      <c r="A6" t="s">
        <v>5</v>
      </c>
      <c r="B6">
        <f>-14762*10</f>
        <v>-147620</v>
      </c>
      <c r="C6">
        <f>-18558*10</f>
        <v>-185580</v>
      </c>
      <c r="D6">
        <f>-23251*10</f>
        <v>-232510</v>
      </c>
    </row>
    <row r="7" spans="1:4" x14ac:dyDescent="0.35">
      <c r="A7" t="s">
        <v>6</v>
      </c>
      <c r="B7" s="16">
        <f>B6/B3</f>
        <v>-0.18034989981918584</v>
      </c>
      <c r="C7" s="16">
        <f>C6/C3</f>
        <v>-0.28874609077188779</v>
      </c>
      <c r="D7" s="16">
        <f>D6/D3</f>
        <v>-0.55685682808832682</v>
      </c>
    </row>
    <row r="8" spans="1:4" x14ac:dyDescent="0.35">
      <c r="A8" t="s">
        <v>7</v>
      </c>
      <c r="B8">
        <f>636*10</f>
        <v>6360</v>
      </c>
      <c r="C8">
        <f>634*10</f>
        <v>6340</v>
      </c>
      <c r="D8">
        <f>649*10</f>
        <v>6490</v>
      </c>
    </row>
    <row r="9" spans="1:4" x14ac:dyDescent="0.35">
      <c r="A9" t="s">
        <v>27</v>
      </c>
      <c r="B9">
        <f>123390*10</f>
        <v>1233900</v>
      </c>
      <c r="C9">
        <f>122867*10</f>
        <v>1228670</v>
      </c>
      <c r="D9">
        <f>137125*10</f>
        <v>1371250</v>
      </c>
    </row>
    <row r="10" spans="1:4" x14ac:dyDescent="0.35">
      <c r="A10" t="s">
        <v>28</v>
      </c>
      <c r="B10">
        <v>-23</v>
      </c>
      <c r="C10">
        <v>-29</v>
      </c>
      <c r="D10">
        <v>-37</v>
      </c>
    </row>
    <row r="11" spans="1:4" x14ac:dyDescent="0.35">
      <c r="A11" t="s">
        <v>29</v>
      </c>
      <c r="B11" s="16">
        <f>B6/((B9+C9)/2)</f>
        <v>-0.11989100817438691</v>
      </c>
      <c r="C11" s="16">
        <f>C6/((C9+D9)/2)</f>
        <v>-0.14275823871503737</v>
      </c>
      <c r="D11" s="16">
        <f>D6/((D9+698450)/2)</f>
        <v>-0.22467990530028506</v>
      </c>
    </row>
    <row r="12" spans="1:4" x14ac:dyDescent="0.35">
      <c r="A12" t="s">
        <v>8</v>
      </c>
      <c r="B12" s="26">
        <f>(1441+249)*10/B9</f>
        <v>1.3696409757678904E-2</v>
      </c>
      <c r="C12" s="26">
        <f>(1799+267)*10/C9</f>
        <v>1.681492996492142E-2</v>
      </c>
      <c r="D12" s="26">
        <f>(1724+318)*10/D9</f>
        <v>1.4891522333637192E-2</v>
      </c>
    </row>
    <row r="13" spans="1:4" x14ac:dyDescent="0.35">
      <c r="A13" t="s">
        <v>9</v>
      </c>
      <c r="B13" s="26">
        <f>B1/((B15+C15)/2)</f>
        <v>0.50029387563183259</v>
      </c>
      <c r="C13" s="26">
        <f>C1/((C15+D15)/2)</f>
        <v>0.37681367799206078</v>
      </c>
      <c r="D13" s="26">
        <f>D1/D15</f>
        <v>0.23797121651198905</v>
      </c>
    </row>
    <row r="14" spans="1:4" x14ac:dyDescent="0.35">
      <c r="A14" t="s">
        <v>30</v>
      </c>
      <c r="B14">
        <f>(38431+3047)*10</f>
        <v>414780</v>
      </c>
      <c r="C14">
        <f>(30029+33092)*10</f>
        <v>631210</v>
      </c>
      <c r="D14">
        <f>(10664+37690)*10</f>
        <v>483540</v>
      </c>
    </row>
    <row r="15" spans="1:4" x14ac:dyDescent="0.35">
      <c r="A15" t="s">
        <v>10</v>
      </c>
      <c r="B15">
        <f>149888*10</f>
        <v>1498880</v>
      </c>
      <c r="C15">
        <f>156364*10</f>
        <v>1563640</v>
      </c>
      <c r="D15">
        <f>163566*10</f>
        <v>1635660</v>
      </c>
    </row>
    <row r="16" spans="1:4" x14ac:dyDescent="0.35">
      <c r="A16" t="s">
        <v>11</v>
      </c>
      <c r="B16" s="26">
        <f>102245/23469</f>
        <v>4.356598065533257</v>
      </c>
      <c r="C16" s="26">
        <f>118177/28798</f>
        <v>4.1036530314605182</v>
      </c>
      <c r="D16" s="26">
        <f>91773/21317</f>
        <v>4.3051555096871041</v>
      </c>
    </row>
    <row r="17" spans="1:2" x14ac:dyDescent="0.35">
      <c r="A17" t="s">
        <v>12</v>
      </c>
      <c r="B17">
        <f>18300*10</f>
        <v>183000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25F4-12E1-4ADE-8E37-412988F9966A}">
  <dimension ref="A2:A3"/>
  <sheetViews>
    <sheetView workbookViewId="0">
      <selection activeCell="A3" sqref="A3"/>
    </sheetView>
  </sheetViews>
  <sheetFormatPr defaultRowHeight="14.5" x14ac:dyDescent="0.35"/>
  <cols>
    <col min="1" max="1" width="58.54296875" bestFit="1" customWidth="1"/>
  </cols>
  <sheetData>
    <row r="2" spans="1:1" x14ac:dyDescent="0.35">
      <c r="A2" t="s">
        <v>92</v>
      </c>
    </row>
    <row r="3" spans="1:1" x14ac:dyDescent="0.35">
      <c r="A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5AEE-D032-47D3-8E18-EDC58AE580D5}">
  <dimension ref="A1:G42"/>
  <sheetViews>
    <sheetView showGridLines="0" workbookViewId="0"/>
  </sheetViews>
  <sheetFormatPr defaultRowHeight="14.5" x14ac:dyDescent="0.35"/>
  <cols>
    <col min="1" max="1" width="2.1796875" customWidth="1"/>
    <col min="2" max="2" width="3.81640625" bestFit="1" customWidth="1"/>
    <col min="3" max="3" width="26.453125" bestFit="1" customWidth="1"/>
    <col min="4" max="4" width="12.453125" bestFit="1" customWidth="1"/>
    <col min="5" max="5" width="9.90625" bestFit="1" customWidth="1"/>
    <col min="6" max="6" width="6.81640625" bestFit="1" customWidth="1"/>
  </cols>
  <sheetData>
    <row r="1" spans="1:5" x14ac:dyDescent="0.35">
      <c r="A1" s="19" t="s">
        <v>118</v>
      </c>
    </row>
    <row r="2" spans="1:5" x14ac:dyDescent="0.35">
      <c r="A2" s="19" t="s">
        <v>119</v>
      </c>
    </row>
    <row r="3" spans="1:5" x14ac:dyDescent="0.35">
      <c r="A3" s="19" t="s">
        <v>120</v>
      </c>
    </row>
    <row r="4" spans="1:5" x14ac:dyDescent="0.35">
      <c r="A4" s="19" t="s">
        <v>121</v>
      </c>
    </row>
    <row r="5" spans="1:5" x14ac:dyDescent="0.35">
      <c r="A5" s="19" t="s">
        <v>122</v>
      </c>
    </row>
    <row r="6" spans="1:5" x14ac:dyDescent="0.35">
      <c r="A6" s="19"/>
      <c r="B6" t="s">
        <v>123</v>
      </c>
    </row>
    <row r="7" spans="1:5" x14ac:dyDescent="0.35">
      <c r="A7" s="19"/>
      <c r="B7" t="s">
        <v>124</v>
      </c>
    </row>
    <row r="8" spans="1:5" x14ac:dyDescent="0.35">
      <c r="A8" s="19"/>
      <c r="B8" t="s">
        <v>125</v>
      </c>
    </row>
    <row r="9" spans="1:5" x14ac:dyDescent="0.35">
      <c r="A9" s="19" t="s">
        <v>126</v>
      </c>
    </row>
    <row r="10" spans="1:5" x14ac:dyDescent="0.35">
      <c r="B10" t="s">
        <v>127</v>
      </c>
    </row>
    <row r="11" spans="1:5" x14ac:dyDescent="0.35">
      <c r="B11" t="s">
        <v>128</v>
      </c>
    </row>
    <row r="12" spans="1:5" x14ac:dyDescent="0.35">
      <c r="B12" t="s">
        <v>129</v>
      </c>
    </row>
    <row r="14" spans="1:5" ht="15" thickBot="1" x14ac:dyDescent="0.4">
      <c r="A14" t="s">
        <v>130</v>
      </c>
    </row>
    <row r="15" spans="1:5" ht="15" thickBot="1" x14ac:dyDescent="0.4">
      <c r="B15" s="57" t="s">
        <v>131</v>
      </c>
      <c r="C15" s="57" t="s">
        <v>132</v>
      </c>
      <c r="D15" s="57" t="s">
        <v>133</v>
      </c>
      <c r="E15" s="57" t="s">
        <v>134</v>
      </c>
    </row>
    <row r="16" spans="1:5" ht="15" thickBot="1" x14ac:dyDescent="0.4">
      <c r="B16" s="56" t="s">
        <v>139</v>
      </c>
      <c r="C16" s="56" t="s">
        <v>140</v>
      </c>
      <c r="D16" s="59">
        <v>2</v>
      </c>
      <c r="E16" s="59">
        <v>2</v>
      </c>
    </row>
    <row r="19" spans="1:6" ht="15" thickBot="1" x14ac:dyDescent="0.4">
      <c r="A19" t="s">
        <v>135</v>
      </c>
    </row>
    <row r="20" spans="1:6" ht="15" thickBot="1" x14ac:dyDescent="0.4">
      <c r="B20" s="57" t="s">
        <v>131</v>
      </c>
      <c r="C20" s="57" t="s">
        <v>132</v>
      </c>
      <c r="D20" s="57" t="s">
        <v>133</v>
      </c>
      <c r="E20" s="57" t="s">
        <v>134</v>
      </c>
      <c r="F20" s="57" t="s">
        <v>136</v>
      </c>
    </row>
    <row r="21" spans="1:6" x14ac:dyDescent="0.35">
      <c r="B21" s="58" t="s">
        <v>141</v>
      </c>
      <c r="C21" s="58" t="s">
        <v>95</v>
      </c>
      <c r="D21" s="60">
        <v>0.1</v>
      </c>
      <c r="E21" s="60">
        <v>0.1</v>
      </c>
      <c r="F21" s="58" t="s">
        <v>142</v>
      </c>
    </row>
    <row r="22" spans="1:6" x14ac:dyDescent="0.35">
      <c r="B22" s="58" t="s">
        <v>143</v>
      </c>
      <c r="C22" s="58" t="s">
        <v>96</v>
      </c>
      <c r="D22" s="60">
        <v>0.1</v>
      </c>
      <c r="E22" s="60">
        <v>0.1</v>
      </c>
      <c r="F22" s="58" t="s">
        <v>142</v>
      </c>
    </row>
    <row r="23" spans="1:6" x14ac:dyDescent="0.35">
      <c r="B23" s="58" t="s">
        <v>144</v>
      </c>
      <c r="C23" s="58" t="s">
        <v>97</v>
      </c>
      <c r="D23" s="60">
        <v>0.1</v>
      </c>
      <c r="E23" s="60">
        <v>0.1</v>
      </c>
      <c r="F23" s="58" t="s">
        <v>142</v>
      </c>
    </row>
    <row r="24" spans="1:6" x14ac:dyDescent="0.35">
      <c r="B24" s="58" t="s">
        <v>145</v>
      </c>
      <c r="C24" s="58" t="s">
        <v>98</v>
      </c>
      <c r="D24" s="60">
        <v>0.1</v>
      </c>
      <c r="E24" s="60">
        <v>0.1</v>
      </c>
      <c r="F24" s="58" t="s">
        <v>142</v>
      </c>
    </row>
    <row r="25" spans="1:6" x14ac:dyDescent="0.35">
      <c r="B25" s="58" t="s">
        <v>146</v>
      </c>
      <c r="C25" s="58" t="s">
        <v>99</v>
      </c>
      <c r="D25" s="60">
        <v>0.1</v>
      </c>
      <c r="E25" s="60">
        <v>0.1</v>
      </c>
      <c r="F25" s="58" t="s">
        <v>142</v>
      </c>
    </row>
    <row r="26" spans="1:6" x14ac:dyDescent="0.35">
      <c r="B26" s="58" t="s">
        <v>147</v>
      </c>
      <c r="C26" s="58" t="s">
        <v>100</v>
      </c>
      <c r="D26" s="60">
        <v>0.1</v>
      </c>
      <c r="E26" s="60">
        <v>0.1</v>
      </c>
      <c r="F26" s="58" t="s">
        <v>142</v>
      </c>
    </row>
    <row r="27" spans="1:6" x14ac:dyDescent="0.35">
      <c r="B27" s="58" t="s">
        <v>148</v>
      </c>
      <c r="C27" s="58" t="s">
        <v>101</v>
      </c>
      <c r="D27" s="60">
        <v>0.1</v>
      </c>
      <c r="E27" s="60">
        <v>0.1</v>
      </c>
      <c r="F27" s="58" t="s">
        <v>142</v>
      </c>
    </row>
    <row r="28" spans="1:6" x14ac:dyDescent="0.35">
      <c r="B28" s="58" t="s">
        <v>149</v>
      </c>
      <c r="C28" s="58" t="s">
        <v>102</v>
      </c>
      <c r="D28" s="60">
        <v>0.1</v>
      </c>
      <c r="E28" s="60">
        <v>0.1</v>
      </c>
      <c r="F28" s="58" t="s">
        <v>142</v>
      </c>
    </row>
    <row r="29" spans="1:6" x14ac:dyDescent="0.35">
      <c r="B29" s="58" t="s">
        <v>150</v>
      </c>
      <c r="C29" s="58" t="s">
        <v>103</v>
      </c>
      <c r="D29" s="60">
        <v>0.1</v>
      </c>
      <c r="E29" s="60">
        <v>0.1</v>
      </c>
      <c r="F29" s="58" t="s">
        <v>142</v>
      </c>
    </row>
    <row r="30" spans="1:6" x14ac:dyDescent="0.35">
      <c r="B30" s="58" t="s">
        <v>151</v>
      </c>
      <c r="C30" s="58" t="s">
        <v>104</v>
      </c>
      <c r="D30" s="60">
        <v>0.1</v>
      </c>
      <c r="E30" s="60">
        <v>0.1</v>
      </c>
      <c r="F30" s="58" t="s">
        <v>142</v>
      </c>
    </row>
    <row r="31" spans="1:6" x14ac:dyDescent="0.35">
      <c r="B31" s="58" t="s">
        <v>152</v>
      </c>
      <c r="C31" s="58" t="s">
        <v>105</v>
      </c>
      <c r="D31" s="60">
        <v>0.1</v>
      </c>
      <c r="E31" s="60">
        <v>0.1</v>
      </c>
      <c r="F31" s="58" t="s">
        <v>142</v>
      </c>
    </row>
    <row r="32" spans="1:6" x14ac:dyDescent="0.35">
      <c r="B32" s="58" t="s">
        <v>153</v>
      </c>
      <c r="C32" s="58" t="s">
        <v>107</v>
      </c>
      <c r="D32" s="60">
        <v>0.1</v>
      </c>
      <c r="E32" s="60">
        <v>0.1</v>
      </c>
      <c r="F32" s="58" t="s">
        <v>142</v>
      </c>
    </row>
    <row r="33" spans="1:7" x14ac:dyDescent="0.35">
      <c r="B33" s="58" t="s">
        <v>154</v>
      </c>
      <c r="C33" s="58" t="s">
        <v>108</v>
      </c>
      <c r="D33" s="60">
        <v>0.1</v>
      </c>
      <c r="E33" s="60">
        <v>0.1</v>
      </c>
      <c r="F33" s="58" t="s">
        <v>142</v>
      </c>
    </row>
    <row r="34" spans="1:7" x14ac:dyDescent="0.35">
      <c r="B34" s="58" t="s">
        <v>155</v>
      </c>
      <c r="C34" s="58" t="s">
        <v>109</v>
      </c>
      <c r="D34" s="60">
        <v>0.1</v>
      </c>
      <c r="E34" s="60">
        <v>0.1</v>
      </c>
      <c r="F34" s="58" t="s">
        <v>142</v>
      </c>
    </row>
    <row r="35" spans="1:7" x14ac:dyDescent="0.35">
      <c r="B35" s="58" t="s">
        <v>156</v>
      </c>
      <c r="C35" s="58" t="s">
        <v>110</v>
      </c>
      <c r="D35" s="60">
        <v>0.1</v>
      </c>
      <c r="E35" s="60">
        <v>0.1</v>
      </c>
      <c r="F35" s="58" t="s">
        <v>142</v>
      </c>
    </row>
    <row r="36" spans="1:7" x14ac:dyDescent="0.35">
      <c r="B36" s="58" t="s">
        <v>157</v>
      </c>
      <c r="C36" s="58" t="s">
        <v>111</v>
      </c>
      <c r="D36" s="60">
        <v>0.1</v>
      </c>
      <c r="E36" s="60">
        <v>0.1</v>
      </c>
      <c r="F36" s="58" t="s">
        <v>142</v>
      </c>
    </row>
    <row r="37" spans="1:7" x14ac:dyDescent="0.35">
      <c r="B37" s="58" t="s">
        <v>158</v>
      </c>
      <c r="C37" s="58" t="s">
        <v>112</v>
      </c>
      <c r="D37" s="60">
        <v>0.1</v>
      </c>
      <c r="E37" s="60">
        <v>0.1</v>
      </c>
      <c r="F37" s="58" t="s">
        <v>142</v>
      </c>
    </row>
    <row r="38" spans="1:7" ht="15" thickBot="1" x14ac:dyDescent="0.4">
      <c r="B38" s="56" t="s">
        <v>159</v>
      </c>
      <c r="C38" s="56" t="s">
        <v>113</v>
      </c>
      <c r="D38" s="61">
        <v>0.1</v>
      </c>
      <c r="E38" s="61">
        <v>0.1</v>
      </c>
      <c r="F38" s="56" t="s">
        <v>142</v>
      </c>
    </row>
    <row r="41" spans="1:7" ht="15" thickBot="1" x14ac:dyDescent="0.4">
      <c r="A41" t="s">
        <v>137</v>
      </c>
    </row>
    <row r="42" spans="1:7" ht="15" thickBot="1" x14ac:dyDescent="0.4">
      <c r="B42" s="62" t="s">
        <v>138</v>
      </c>
      <c r="C42" s="62"/>
      <c r="D42" s="62"/>
      <c r="E42" s="62"/>
      <c r="F42" s="62"/>
      <c r="G42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B5CB-752D-4EEA-AE09-655921601F23}">
  <dimension ref="A1:Z12"/>
  <sheetViews>
    <sheetView tabSelected="1" topLeftCell="L1" zoomScale="85" zoomScaleNormal="85" workbookViewId="0">
      <pane ySplit="1" topLeftCell="A2" activePane="bottomLeft" state="frozen"/>
      <selection pane="bottomLeft" activeCell="Y2" sqref="Y2"/>
    </sheetView>
  </sheetViews>
  <sheetFormatPr defaultRowHeight="14.5" x14ac:dyDescent="0.35"/>
  <cols>
    <col min="1" max="1" width="16.1796875" bestFit="1" customWidth="1"/>
    <col min="2" max="2" width="8" bestFit="1" customWidth="1"/>
    <col min="3" max="3" width="10.08984375" bestFit="1" customWidth="1"/>
    <col min="4" max="4" width="12.81640625" customWidth="1"/>
    <col min="5" max="5" width="9" bestFit="1" customWidth="1"/>
    <col min="6" max="6" width="10" bestFit="1" customWidth="1"/>
    <col min="7" max="7" width="10.6328125" bestFit="1" customWidth="1"/>
    <col min="8" max="8" width="7.90625" bestFit="1" customWidth="1"/>
    <col min="9" max="9" width="22.1796875" bestFit="1" customWidth="1"/>
    <col min="10" max="10" width="9.36328125" bestFit="1" customWidth="1"/>
    <col min="11" max="11" width="22.54296875" customWidth="1"/>
    <col min="12" max="12" width="11.08984375" bestFit="1" customWidth="1"/>
    <col min="13" max="13" width="9.6328125" bestFit="1" customWidth="1"/>
    <col min="14" max="14" width="10" bestFit="1" customWidth="1"/>
    <col min="15" max="15" width="7.1796875" bestFit="1" customWidth="1"/>
    <col min="16" max="16" width="18.453125" bestFit="1" customWidth="1"/>
    <col min="17" max="17" width="10" bestFit="1" customWidth="1"/>
    <col min="18" max="18" width="11.08984375" bestFit="1" customWidth="1"/>
    <col min="19" max="19" width="7.26953125" bestFit="1" customWidth="1"/>
    <col min="20" max="20" width="24.54296875" customWidth="1"/>
    <col min="22" max="22" width="11.81640625" bestFit="1" customWidth="1"/>
    <col min="23" max="23" width="16.08984375" customWidth="1"/>
    <col min="25" max="25" width="16.453125" customWidth="1"/>
  </cols>
  <sheetData>
    <row r="1" spans="1:26" ht="43.5" x14ac:dyDescent="0.35">
      <c r="A1" s="4" t="s">
        <v>13</v>
      </c>
      <c r="B1" s="33" t="s">
        <v>70</v>
      </c>
      <c r="C1" s="5" t="s">
        <v>14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5</v>
      </c>
      <c r="J1" s="5" t="s">
        <v>6</v>
      </c>
      <c r="K1" s="5" t="s">
        <v>7</v>
      </c>
      <c r="L1" s="5" t="s">
        <v>18</v>
      </c>
      <c r="M1" s="5" t="s">
        <v>19</v>
      </c>
      <c r="N1" s="5" t="s">
        <v>15</v>
      </c>
      <c r="O1" s="5" t="s">
        <v>8</v>
      </c>
      <c r="P1" s="2" t="s">
        <v>9</v>
      </c>
      <c r="Q1" s="5" t="s">
        <v>24</v>
      </c>
      <c r="R1" s="5" t="s">
        <v>10</v>
      </c>
      <c r="S1" s="5" t="s">
        <v>11</v>
      </c>
      <c r="T1" s="3" t="s">
        <v>12</v>
      </c>
      <c r="V1" s="3" t="s">
        <v>106</v>
      </c>
      <c r="W1" s="3" t="s">
        <v>114</v>
      </c>
      <c r="X1" s="3" t="s">
        <v>115</v>
      </c>
      <c r="Y1" s="3" t="s">
        <v>116</v>
      </c>
      <c r="Z1" s="3" t="s">
        <v>117</v>
      </c>
    </row>
    <row r="2" spans="1:26" x14ac:dyDescent="0.35">
      <c r="A2" s="38" t="s">
        <v>16</v>
      </c>
      <c r="B2" s="39" t="s">
        <v>71</v>
      </c>
      <c r="C2" s="39" t="s">
        <v>93</v>
      </c>
      <c r="D2" s="40">
        <v>2655.14</v>
      </c>
      <c r="E2" s="40">
        <v>25.793333333333333</v>
      </c>
      <c r="F2" s="40">
        <v>2680.9333333333334</v>
      </c>
      <c r="G2" s="40">
        <v>925.71999999999991</v>
      </c>
      <c r="H2" s="48">
        <v>0.34370000000000001</v>
      </c>
      <c r="I2" s="40">
        <v>726.57666666666671</v>
      </c>
      <c r="J2" s="48">
        <v>0.27289999999999998</v>
      </c>
      <c r="K2" s="40">
        <v>2000</v>
      </c>
      <c r="L2" s="40">
        <v>2737.2766666666666</v>
      </c>
      <c r="M2" s="40">
        <v>3.6333333333333333</v>
      </c>
      <c r="N2" s="48">
        <v>0.2717</v>
      </c>
      <c r="O2" s="48">
        <v>0.17</v>
      </c>
      <c r="P2" s="48">
        <v>1.28</v>
      </c>
      <c r="Q2" s="40">
        <v>412.68666666666667</v>
      </c>
      <c r="R2" s="40">
        <v>4160.4233333333332</v>
      </c>
      <c r="S2" s="48">
        <v>2.27</v>
      </c>
      <c r="T2" s="40">
        <v>6300</v>
      </c>
      <c r="U2" s="51">
        <v>1</v>
      </c>
      <c r="V2" s="54">
        <f>C12+SUMPRODUCT(D12:T12,D2:T2)</f>
        <v>370064558744.87347</v>
      </c>
      <c r="W2" s="34">
        <f>1/ (1 + EXP(-V2))</f>
        <v>1</v>
      </c>
      <c r="X2" s="26">
        <f>(U2 - W2)^2</f>
        <v>0</v>
      </c>
      <c r="Y2" s="26" t="e">
        <f>U2*LOG(W2)+(1-U2)*LOG(1-W2)</f>
        <v>#NUM!</v>
      </c>
      <c r="Z2" s="26">
        <f>SUM(X2:X9)</f>
        <v>2</v>
      </c>
    </row>
    <row r="3" spans="1:26" x14ac:dyDescent="0.35">
      <c r="A3" s="38" t="s">
        <v>17</v>
      </c>
      <c r="B3" s="39" t="s">
        <v>71</v>
      </c>
      <c r="C3" s="39" t="s">
        <v>93</v>
      </c>
      <c r="D3" s="40">
        <v>12182.796666666667</v>
      </c>
      <c r="E3" s="40">
        <v>242.04999999999998</v>
      </c>
      <c r="F3" s="40">
        <v>12424.846666666666</v>
      </c>
      <c r="G3" s="40">
        <v>671.87666666666667</v>
      </c>
      <c r="H3" s="48">
        <v>4.9799999999999997E-2</v>
      </c>
      <c r="I3" s="40">
        <v>238.55666666666664</v>
      </c>
      <c r="J3" s="48">
        <v>1.7000000000000001E-2</v>
      </c>
      <c r="K3" s="40">
        <v>1279.6666666666667</v>
      </c>
      <c r="L3" s="40">
        <v>2158.6666666666665</v>
      </c>
      <c r="M3" s="40">
        <v>1.7566666666666666</v>
      </c>
      <c r="N3" s="48">
        <v>0.1018</v>
      </c>
      <c r="O3" s="48">
        <v>0.15</v>
      </c>
      <c r="P3" s="48">
        <v>2.56</v>
      </c>
      <c r="Q3" s="40">
        <v>478</v>
      </c>
      <c r="R3" s="40">
        <v>5295.666666666667</v>
      </c>
      <c r="S3" s="48">
        <v>1.91</v>
      </c>
      <c r="T3" s="40">
        <v>4997</v>
      </c>
      <c r="U3" s="51">
        <v>1</v>
      </c>
      <c r="V3" s="54">
        <f>C12+SUMPRODUCT(D12:T12,D3:T3)</f>
        <v>283814357729.39624</v>
      </c>
      <c r="W3" s="34">
        <f t="shared" ref="W3:W9" si="0">1/ (1 + EXP(-V3))</f>
        <v>1</v>
      </c>
      <c r="X3" s="26">
        <f>(U3 - W3)^2</f>
        <v>0</v>
      </c>
      <c r="Y3" t="e">
        <f t="shared" ref="Y3:Y9" si="1">(U3*LOG(W3))+((1-U3)*LOG(1-W3))</f>
        <v>#NUM!</v>
      </c>
    </row>
    <row r="4" spans="1:26" x14ac:dyDescent="0.35">
      <c r="A4" s="38" t="s">
        <v>25</v>
      </c>
      <c r="B4" s="39" t="s">
        <v>71</v>
      </c>
      <c r="C4" s="39" t="s">
        <v>93</v>
      </c>
      <c r="D4" s="40">
        <v>176566.83333333334</v>
      </c>
      <c r="E4" s="40">
        <v>1412.2333333333333</v>
      </c>
      <c r="F4" s="40">
        <v>177979.06666666665</v>
      </c>
      <c r="G4" s="40">
        <v>33915.4</v>
      </c>
      <c r="H4" s="48">
        <v>0.1893</v>
      </c>
      <c r="I4" s="40">
        <v>-398.56666666666661</v>
      </c>
      <c r="J4" s="48">
        <v>1.6299999999999999E-2</v>
      </c>
      <c r="K4" s="40">
        <v>12034.1</v>
      </c>
      <c r="L4" s="40">
        <v>23318.433333333334</v>
      </c>
      <c r="M4" s="40">
        <v>-0.32666666666666666</v>
      </c>
      <c r="N4" s="48">
        <v>9.1000000000000004E-3</v>
      </c>
      <c r="O4" s="48">
        <v>1.22</v>
      </c>
      <c r="P4" s="48">
        <v>0.47</v>
      </c>
      <c r="Q4" s="40">
        <v>4537.2</v>
      </c>
      <c r="R4" s="40">
        <v>84595.03333333334</v>
      </c>
      <c r="S4" s="48">
        <v>1.27</v>
      </c>
      <c r="T4" s="40">
        <v>68000</v>
      </c>
      <c r="U4" s="51">
        <v>0</v>
      </c>
      <c r="V4" s="54">
        <f>C12+SUMPRODUCT(D12:T12,D4:T4)</f>
        <v>4109212782180.4248</v>
      </c>
      <c r="W4" s="34">
        <f t="shared" si="0"/>
        <v>1</v>
      </c>
      <c r="X4" s="26">
        <f t="shared" ref="X3:X9" si="2">(U4 - W4)^2</f>
        <v>1</v>
      </c>
      <c r="Y4" t="e">
        <f t="shared" si="1"/>
        <v>#NUM!</v>
      </c>
    </row>
    <row r="5" spans="1:26" x14ac:dyDescent="0.35">
      <c r="A5" s="38" t="s">
        <v>26</v>
      </c>
      <c r="B5" s="39" t="s">
        <v>71</v>
      </c>
      <c r="C5" s="39" t="s">
        <v>93</v>
      </c>
      <c r="D5" s="40">
        <v>4831.2033333333338</v>
      </c>
      <c r="E5" s="40">
        <v>157.22666666666666</v>
      </c>
      <c r="F5" s="40">
        <v>4988.4266666666663</v>
      </c>
      <c r="G5" s="40">
        <v>254.77666666666667</v>
      </c>
      <c r="H5" s="48">
        <v>8.2199999999999995E-2</v>
      </c>
      <c r="I5" s="40">
        <v>29.056666666666672</v>
      </c>
      <c r="J5" s="48">
        <v>2.46E-2</v>
      </c>
      <c r="K5" s="40">
        <v>1169.6066666666666</v>
      </c>
      <c r="L5" s="40">
        <v>2840.03</v>
      </c>
      <c r="M5" s="40">
        <v>0.25</v>
      </c>
      <c r="N5" s="48">
        <v>4.4400000000000002E-2</v>
      </c>
      <c r="O5" s="48">
        <v>0.44</v>
      </c>
      <c r="P5" s="48">
        <v>0.74</v>
      </c>
      <c r="Q5" s="40">
        <v>2265.353333333333</v>
      </c>
      <c r="R5" s="40">
        <v>6634.2666666666673</v>
      </c>
      <c r="S5" s="48">
        <v>1.38</v>
      </c>
      <c r="T5" s="50">
        <v>1000</v>
      </c>
      <c r="U5" s="55">
        <v>1</v>
      </c>
      <c r="V5" s="54">
        <f>C12+SUMPRODUCT(D12:T12,D5:T5)</f>
        <v>57971069703.964432</v>
      </c>
      <c r="W5" s="34">
        <f t="shared" si="0"/>
        <v>1</v>
      </c>
      <c r="X5" s="26">
        <f t="shared" si="2"/>
        <v>0</v>
      </c>
      <c r="Y5" t="e">
        <f t="shared" si="1"/>
        <v>#NUM!</v>
      </c>
    </row>
    <row r="6" spans="1:26" x14ac:dyDescent="0.35">
      <c r="A6" s="41" t="s">
        <v>34</v>
      </c>
      <c r="B6" s="39" t="s">
        <v>71</v>
      </c>
      <c r="C6" s="39" t="s">
        <v>93</v>
      </c>
      <c r="D6" s="40">
        <v>71673.466666666674</v>
      </c>
      <c r="E6" s="40">
        <v>6385.9666666666672</v>
      </c>
      <c r="F6" s="40">
        <v>78059.433333333334</v>
      </c>
      <c r="G6" s="40">
        <v>-21836.333333333325</v>
      </c>
      <c r="H6" s="48">
        <v>-0.28933696291214078</v>
      </c>
      <c r="I6" s="40">
        <v>-26816.5</v>
      </c>
      <c r="J6" s="48">
        <v>-0.35431172222267676</v>
      </c>
      <c r="K6" s="40">
        <v>0.40666666666666668</v>
      </c>
      <c r="L6" s="40">
        <v>124929.16666666667</v>
      </c>
      <c r="M6" s="40">
        <v>-41337.566666666666</v>
      </c>
      <c r="N6" s="48">
        <v>-24.02</v>
      </c>
      <c r="O6" s="48">
        <v>0</v>
      </c>
      <c r="P6" s="48">
        <v>48.94</v>
      </c>
      <c r="Q6" s="40">
        <v>10609.8</v>
      </c>
      <c r="R6" s="40">
        <v>12501.666666666666</v>
      </c>
      <c r="S6" s="48">
        <v>6.46</v>
      </c>
      <c r="T6" s="40">
        <v>562500</v>
      </c>
      <c r="U6" s="55">
        <v>1</v>
      </c>
      <c r="V6" s="54">
        <f>C12+SUMPRODUCT(D12:T12,D6:T6)</f>
        <v>29194474101948.535</v>
      </c>
      <c r="W6" s="34">
        <f t="shared" si="0"/>
        <v>1</v>
      </c>
      <c r="X6" s="26">
        <f t="shared" si="2"/>
        <v>0</v>
      </c>
      <c r="Y6" t="e">
        <f t="shared" si="1"/>
        <v>#NUM!</v>
      </c>
    </row>
    <row r="7" spans="1:26" x14ac:dyDescent="0.35">
      <c r="A7" s="41" t="s">
        <v>69</v>
      </c>
      <c r="B7" s="39" t="s">
        <v>71</v>
      </c>
      <c r="C7" s="39" t="s">
        <v>93</v>
      </c>
      <c r="D7" s="40">
        <v>586030</v>
      </c>
      <c r="E7" s="40">
        <v>40226.666666666664</v>
      </c>
      <c r="F7" s="40">
        <v>626256.66666666663</v>
      </c>
      <c r="G7" s="40">
        <v>-127673.33333333333</v>
      </c>
      <c r="H7" s="48">
        <v>-0.20247078775808686</v>
      </c>
      <c r="I7" s="40">
        <v>-188570</v>
      </c>
      <c r="J7" s="48">
        <v>-0.28874609077188779</v>
      </c>
      <c r="K7" s="40">
        <v>6396.666666666667</v>
      </c>
      <c r="L7" s="40">
        <v>1277940</v>
      </c>
      <c r="M7" s="40">
        <v>-29.666666666666668</v>
      </c>
      <c r="N7" s="48">
        <v>-0.14275823871503737</v>
      </c>
      <c r="O7" s="48">
        <v>1.4891522333637192E-2</v>
      </c>
      <c r="P7" s="48">
        <v>0.37681367799206078</v>
      </c>
      <c r="Q7" s="40">
        <v>509843.33333333331</v>
      </c>
      <c r="R7" s="40">
        <v>1566060</v>
      </c>
      <c r="S7" s="48">
        <v>4.3051555096871041</v>
      </c>
      <c r="T7" s="40">
        <v>183000</v>
      </c>
      <c r="U7" s="53">
        <v>0</v>
      </c>
      <c r="V7" s="54">
        <f>C12+SUMPRODUCT(D12:T12,D7:T7)</f>
        <v>3118910179174.9844</v>
      </c>
      <c r="W7" s="34">
        <f t="shared" si="0"/>
        <v>1</v>
      </c>
      <c r="X7" s="26">
        <f t="shared" si="2"/>
        <v>1</v>
      </c>
      <c r="Y7" t="e">
        <f t="shared" si="1"/>
        <v>#NUM!</v>
      </c>
    </row>
    <row r="8" spans="1:26" x14ac:dyDescent="0.35">
      <c r="A8" s="41" t="s">
        <v>90</v>
      </c>
      <c r="B8" s="39" t="s">
        <v>71</v>
      </c>
      <c r="C8" s="39" t="s">
        <v>93</v>
      </c>
      <c r="D8" s="40">
        <v>214240</v>
      </c>
      <c r="E8" s="40">
        <v>3890</v>
      </c>
      <c r="F8" s="40">
        <v>218130</v>
      </c>
      <c r="G8" s="40">
        <v>19240</v>
      </c>
      <c r="H8" s="48">
        <v>0.56000000000000005</v>
      </c>
      <c r="I8" s="40">
        <v>12260</v>
      </c>
      <c r="J8" s="50">
        <v>6.69</v>
      </c>
      <c r="K8" s="40">
        <v>11.76</v>
      </c>
      <c r="L8" s="40">
        <v>312566.66666666669</v>
      </c>
      <c r="M8" s="40">
        <v>0.13</v>
      </c>
      <c r="N8" s="48">
        <v>4.3999999999999997E-2</v>
      </c>
      <c r="O8" s="48">
        <v>0.02</v>
      </c>
      <c r="P8" s="48">
        <v>0.49</v>
      </c>
      <c r="Q8" s="40">
        <v>29100</v>
      </c>
      <c r="R8" s="40">
        <v>439133.33333333331</v>
      </c>
      <c r="S8" s="48">
        <v>1.4</v>
      </c>
      <c r="T8" s="40">
        <v>45000</v>
      </c>
      <c r="U8" s="53">
        <v>1</v>
      </c>
      <c r="V8" s="54">
        <f>C12+SUMPRODUCT(D12:T12,D8:T8)</f>
        <v>3003154722933.5908</v>
      </c>
      <c r="W8" s="34">
        <f t="shared" si="0"/>
        <v>1</v>
      </c>
      <c r="X8" s="26">
        <f t="shared" si="2"/>
        <v>0</v>
      </c>
      <c r="Y8" t="e">
        <f t="shared" si="1"/>
        <v>#NUM!</v>
      </c>
    </row>
    <row r="9" spans="1:26" x14ac:dyDescent="0.35">
      <c r="A9" s="41" t="s">
        <v>91</v>
      </c>
      <c r="B9" s="39" t="s">
        <v>71</v>
      </c>
      <c r="C9" s="39" t="s">
        <v>93</v>
      </c>
      <c r="D9" s="40">
        <v>65133.333333333336</v>
      </c>
      <c r="E9" s="40">
        <v>1344</v>
      </c>
      <c r="F9" s="40">
        <v>66477.333333333328</v>
      </c>
      <c r="G9" s="40">
        <v>-4266.333333333333</v>
      </c>
      <c r="H9" s="48">
        <v>-0.1036</v>
      </c>
      <c r="I9" s="40">
        <v>-6594.333333333333</v>
      </c>
      <c r="J9" s="50">
        <v>-15.5</v>
      </c>
      <c r="K9" s="40">
        <v>1144</v>
      </c>
      <c r="L9" s="40">
        <v>17406.333333333332</v>
      </c>
      <c r="M9" s="40">
        <v>-11.746666666666664</v>
      </c>
      <c r="N9" s="48">
        <v>-0.58179999999999998</v>
      </c>
      <c r="O9" s="48">
        <v>-1.3</v>
      </c>
      <c r="P9" s="48">
        <v>0.4</v>
      </c>
      <c r="Q9" s="40">
        <v>53724.333333333336</v>
      </c>
      <c r="R9" s="40">
        <v>103329.33333333333</v>
      </c>
      <c r="S9" s="48">
        <v>1.03</v>
      </c>
      <c r="T9" s="40">
        <v>57200</v>
      </c>
      <c r="U9" s="53">
        <v>1</v>
      </c>
      <c r="V9" s="54">
        <f>C12+SUMPRODUCT(D12:T12,D9:T9)</f>
        <v>2839141005459.374</v>
      </c>
      <c r="W9" s="34">
        <f t="shared" si="0"/>
        <v>1</v>
      </c>
      <c r="X9" s="26">
        <f t="shared" si="2"/>
        <v>0</v>
      </c>
      <c r="Y9" t="e">
        <f t="shared" si="1"/>
        <v>#NUM!</v>
      </c>
    </row>
    <row r="11" spans="1:26" x14ac:dyDescent="0.35">
      <c r="C11" s="52" t="s">
        <v>95</v>
      </c>
      <c r="D11" s="52" t="s">
        <v>96</v>
      </c>
      <c r="E11" s="52" t="s">
        <v>97</v>
      </c>
      <c r="F11" s="52" t="s">
        <v>98</v>
      </c>
      <c r="G11" s="52" t="s">
        <v>99</v>
      </c>
      <c r="H11" s="52" t="s">
        <v>100</v>
      </c>
      <c r="I11" s="52" t="s">
        <v>101</v>
      </c>
      <c r="J11" s="52" t="s">
        <v>102</v>
      </c>
      <c r="K11" s="52" t="s">
        <v>103</v>
      </c>
      <c r="L11" s="52" t="s">
        <v>104</v>
      </c>
      <c r="M11" s="52" t="s">
        <v>105</v>
      </c>
      <c r="N11" s="52" t="s">
        <v>107</v>
      </c>
      <c r="O11" s="52" t="s">
        <v>108</v>
      </c>
      <c r="P11" s="52" t="s">
        <v>109</v>
      </c>
      <c r="Q11" s="52" t="s">
        <v>110</v>
      </c>
      <c r="R11" s="52" t="s">
        <v>111</v>
      </c>
      <c r="S11" s="52" t="s">
        <v>112</v>
      </c>
      <c r="T11" s="52" t="s">
        <v>113</v>
      </c>
    </row>
    <row r="12" spans="1:26" x14ac:dyDescent="0.35">
      <c r="C12" s="52">
        <v>658.33002554306688</v>
      </c>
      <c r="D12" s="52">
        <v>0</v>
      </c>
      <c r="E12" s="52">
        <v>0</v>
      </c>
      <c r="F12" s="52">
        <v>0</v>
      </c>
      <c r="G12" s="52">
        <v>13826552.095262123</v>
      </c>
      <c r="H12" s="52">
        <v>107.95526024987046</v>
      </c>
      <c r="I12" s="52">
        <v>26200061.124015957</v>
      </c>
      <c r="J12" s="52">
        <v>23.475122175717871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8815.4685141442005</v>
      </c>
      <c r="Q12" s="52">
        <v>0</v>
      </c>
      <c r="R12" s="52">
        <v>0</v>
      </c>
      <c r="S12" s="52">
        <v>1460.641717327929</v>
      </c>
      <c r="T12" s="52">
        <v>53687091.200000003</v>
      </c>
      <c r="U12" s="5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F06A-76E5-48BE-A94C-C30DD46B01E9}">
  <dimension ref="A1:Z8"/>
  <sheetViews>
    <sheetView topLeftCell="E1" workbookViewId="0">
      <selection activeCell="T8" sqref="T8"/>
    </sheetView>
  </sheetViews>
  <sheetFormatPr defaultRowHeight="14.5" x14ac:dyDescent="0.35"/>
  <cols>
    <col min="1" max="1" width="16.1796875" bestFit="1" customWidth="1"/>
    <col min="2" max="2" width="8" bestFit="1" customWidth="1"/>
    <col min="3" max="3" width="10.08984375" bestFit="1" customWidth="1"/>
    <col min="4" max="4" width="9.36328125" bestFit="1" customWidth="1"/>
    <col min="5" max="5" width="8.36328125" bestFit="1" customWidth="1"/>
    <col min="6" max="6" width="9.36328125" bestFit="1" customWidth="1"/>
    <col min="7" max="7" width="10" bestFit="1" customWidth="1"/>
    <col min="8" max="8" width="7.453125" bestFit="1" customWidth="1"/>
    <col min="9" max="9" width="22.1796875" bestFit="1" customWidth="1"/>
    <col min="10" max="10" width="8.81640625" bestFit="1" customWidth="1"/>
    <col min="11" max="11" width="8.36328125" bestFit="1" customWidth="1"/>
    <col min="12" max="12" width="10.36328125" bestFit="1" customWidth="1"/>
    <col min="13" max="13" width="9" bestFit="1" customWidth="1"/>
    <col min="14" max="14" width="9.453125" bestFit="1" customWidth="1"/>
    <col min="15" max="15" width="7.1796875" bestFit="1" customWidth="1"/>
    <col min="16" max="16" width="18.453125" bestFit="1" customWidth="1"/>
    <col min="17" max="17" width="9.36328125" bestFit="1" customWidth="1"/>
    <col min="18" max="18" width="10.36328125" bestFit="1" customWidth="1"/>
    <col min="19" max="19" width="7.26953125" bestFit="1" customWidth="1"/>
    <col min="20" max="20" width="9.36328125" bestFit="1" customWidth="1"/>
    <col min="22" max="22" width="20.26953125" customWidth="1"/>
    <col min="23" max="23" width="13.6328125" customWidth="1"/>
  </cols>
  <sheetData>
    <row r="1" spans="1:26" ht="72.5" x14ac:dyDescent="0.35">
      <c r="A1" s="4" t="s">
        <v>13</v>
      </c>
      <c r="B1" s="33" t="s">
        <v>70</v>
      </c>
      <c r="C1" s="5" t="s">
        <v>14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5</v>
      </c>
      <c r="J1" s="5" t="s">
        <v>6</v>
      </c>
      <c r="K1" s="5" t="s">
        <v>7</v>
      </c>
      <c r="L1" s="5" t="s">
        <v>18</v>
      </c>
      <c r="M1" s="5" t="s">
        <v>19</v>
      </c>
      <c r="N1" s="5" t="s">
        <v>15</v>
      </c>
      <c r="O1" s="5" t="s">
        <v>8</v>
      </c>
      <c r="P1" s="2" t="s">
        <v>9</v>
      </c>
      <c r="Q1" s="5" t="s">
        <v>24</v>
      </c>
      <c r="R1" s="5" t="s">
        <v>10</v>
      </c>
      <c r="S1" s="5" t="s">
        <v>11</v>
      </c>
      <c r="T1" s="3" t="s">
        <v>12</v>
      </c>
      <c r="V1" s="3" t="s">
        <v>106</v>
      </c>
      <c r="W1" s="3" t="s">
        <v>114</v>
      </c>
      <c r="X1" s="3"/>
      <c r="Y1" s="3"/>
      <c r="Z1" s="3"/>
    </row>
    <row r="2" spans="1:26" x14ac:dyDescent="0.35">
      <c r="A2" s="38" t="s">
        <v>23</v>
      </c>
      <c r="B2" s="39" t="s">
        <v>71</v>
      </c>
      <c r="C2" s="39" t="s">
        <v>93</v>
      </c>
      <c r="D2" s="40">
        <v>118857.63333333335</v>
      </c>
      <c r="E2" s="40">
        <v>3413.6000000000004</v>
      </c>
      <c r="F2" s="40">
        <v>122271.23333333334</v>
      </c>
      <c r="G2" s="40">
        <v>17526.366666666669</v>
      </c>
      <c r="H2" s="47">
        <v>0.15609999999999999</v>
      </c>
      <c r="I2" s="40">
        <v>-8867.6999999999989</v>
      </c>
      <c r="J2" s="47">
        <v>-4.24E-2</v>
      </c>
      <c r="K2" s="40">
        <v>3716.1666666666665</v>
      </c>
      <c r="L2" s="40">
        <v>204732.06666666668</v>
      </c>
      <c r="M2" s="40">
        <v>-1.0666666666666667</v>
      </c>
      <c r="N2" s="47">
        <v>-2.75E-2</v>
      </c>
      <c r="O2" s="48">
        <v>0.14000000000000001</v>
      </c>
      <c r="P2" s="48">
        <v>0.18</v>
      </c>
      <c r="Q2" s="40">
        <v>434791.23333333334</v>
      </c>
      <c r="R2" s="40">
        <v>719354.2666666666</v>
      </c>
      <c r="S2" s="48">
        <v>1.1499999999999999</v>
      </c>
      <c r="T2" s="40">
        <v>260000</v>
      </c>
      <c r="V2" s="54">
        <f>C5+SUMPRODUCT(D5:T5,D2:T2)</f>
        <v>13968638655668.605</v>
      </c>
      <c r="W2" s="65">
        <f>1/ (1 + EXP(-V2))</f>
        <v>1</v>
      </c>
      <c r="X2" s="26"/>
      <c r="Y2" s="26"/>
      <c r="Z2" s="26"/>
    </row>
    <row r="4" spans="1:26" x14ac:dyDescent="0.35">
      <c r="C4" s="52" t="s">
        <v>95</v>
      </c>
      <c r="D4" s="52" t="s">
        <v>96</v>
      </c>
      <c r="E4" s="52" t="s">
        <v>97</v>
      </c>
      <c r="F4" s="52" t="s">
        <v>98</v>
      </c>
      <c r="G4" s="52" t="s">
        <v>99</v>
      </c>
      <c r="H4" s="52" t="s">
        <v>100</v>
      </c>
      <c r="I4" s="52" t="s">
        <v>101</v>
      </c>
      <c r="J4" s="52" t="s">
        <v>102</v>
      </c>
      <c r="K4" s="52" t="s">
        <v>103</v>
      </c>
      <c r="L4" s="52" t="s">
        <v>104</v>
      </c>
      <c r="M4" s="52" t="s">
        <v>105</v>
      </c>
      <c r="N4" s="52" t="s">
        <v>107</v>
      </c>
      <c r="O4" s="52" t="s">
        <v>108</v>
      </c>
      <c r="P4" s="52" t="s">
        <v>109</v>
      </c>
      <c r="Q4" s="52" t="s">
        <v>110</v>
      </c>
      <c r="R4" s="52" t="s">
        <v>111</v>
      </c>
      <c r="S4" s="52" t="s">
        <v>112</v>
      </c>
      <c r="T4" s="52" t="s">
        <v>113</v>
      </c>
    </row>
    <row r="5" spans="1:26" x14ac:dyDescent="0.35">
      <c r="C5" s="52">
        <v>658.33002554306688</v>
      </c>
      <c r="D5" s="52">
        <v>0</v>
      </c>
      <c r="E5" s="52">
        <v>0</v>
      </c>
      <c r="F5" s="52">
        <v>0</v>
      </c>
      <c r="G5" s="52">
        <v>13826552.095262123</v>
      </c>
      <c r="H5" s="52">
        <v>107.95526024987046</v>
      </c>
      <c r="I5" s="52">
        <v>26200061.124015957</v>
      </c>
      <c r="J5" s="52">
        <v>23.475122175717871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8815.4685141442005</v>
      </c>
      <c r="Q5" s="52">
        <v>0</v>
      </c>
      <c r="R5" s="52">
        <v>0</v>
      </c>
      <c r="S5" s="52">
        <v>1460.641717327929</v>
      </c>
      <c r="T5" s="52">
        <v>53687091.200000003</v>
      </c>
    </row>
    <row r="6" spans="1:26" ht="15" thickBot="1" x14ac:dyDescent="0.4"/>
    <row r="7" spans="1:26" ht="58" x14ac:dyDescent="0.35">
      <c r="C7" s="52" t="s">
        <v>95</v>
      </c>
      <c r="D7" s="5" t="s">
        <v>0</v>
      </c>
      <c r="E7" s="5" t="s">
        <v>1</v>
      </c>
      <c r="F7" s="5" t="s">
        <v>2</v>
      </c>
      <c r="G7" s="5" t="s">
        <v>3</v>
      </c>
      <c r="H7" s="5" t="s">
        <v>4</v>
      </c>
      <c r="I7" s="6" t="s">
        <v>5</v>
      </c>
      <c r="J7" s="5" t="s">
        <v>6</v>
      </c>
      <c r="K7" s="5" t="s">
        <v>7</v>
      </c>
      <c r="L7" s="5" t="s">
        <v>18</v>
      </c>
      <c r="M7" s="5" t="s">
        <v>19</v>
      </c>
      <c r="N7" s="5" t="s">
        <v>15</v>
      </c>
      <c r="O7" s="5" t="s">
        <v>8</v>
      </c>
      <c r="P7" s="2" t="s">
        <v>9</v>
      </c>
      <c r="Q7" s="5" t="s">
        <v>24</v>
      </c>
      <c r="R7" s="5" t="s">
        <v>10</v>
      </c>
      <c r="S7" s="5" t="s">
        <v>11</v>
      </c>
      <c r="T7" s="3" t="s">
        <v>12</v>
      </c>
    </row>
    <row r="8" spans="1:26" x14ac:dyDescent="0.35">
      <c r="C8" s="52">
        <v>658.33002554306688</v>
      </c>
      <c r="D8" s="52">
        <v>0</v>
      </c>
      <c r="E8" s="52">
        <v>0</v>
      </c>
      <c r="F8" s="52">
        <v>0</v>
      </c>
      <c r="G8" s="52">
        <v>13826552.095262123</v>
      </c>
      <c r="H8" s="52">
        <v>107.95526024987046</v>
      </c>
      <c r="I8" s="52">
        <v>26200061.124015957</v>
      </c>
      <c r="J8" s="52">
        <v>23.475122175717871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8815.4685141442005</v>
      </c>
      <c r="Q8" s="52">
        <v>0</v>
      </c>
      <c r="R8" s="52">
        <v>0</v>
      </c>
      <c r="S8" s="52">
        <v>1460.641717327929</v>
      </c>
      <c r="T8" s="52">
        <v>53687091.200000003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9D50-6CF2-4114-ABA1-B1AA6A240E8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9B6C-520D-4E4B-9362-2B991D14A187}">
  <dimension ref="A1:J9"/>
  <sheetViews>
    <sheetView workbookViewId="0">
      <selection activeCell="A6" sqref="A6:I9"/>
    </sheetView>
  </sheetViews>
  <sheetFormatPr defaultRowHeight="14.5" x14ac:dyDescent="0.35"/>
  <sheetData>
    <row r="1" spans="1:10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24</v>
      </c>
      <c r="G1" t="s">
        <v>10</v>
      </c>
      <c r="H1" t="s">
        <v>11</v>
      </c>
      <c r="I1" t="s">
        <v>88</v>
      </c>
      <c r="J1" s="45"/>
    </row>
    <row r="2" spans="1:10" x14ac:dyDescent="0.35">
      <c r="A2">
        <v>337600</v>
      </c>
      <c r="B2">
        <v>0.15</v>
      </c>
      <c r="C2" s="21">
        <v>4.5699999999999998E-2</v>
      </c>
      <c r="D2">
        <v>0.02</v>
      </c>
      <c r="E2" t="s">
        <v>83</v>
      </c>
      <c r="F2">
        <v>59800</v>
      </c>
      <c r="G2">
        <v>521600</v>
      </c>
      <c r="H2" t="s">
        <v>86</v>
      </c>
      <c r="I2" s="23" t="s">
        <v>89</v>
      </c>
      <c r="J2" s="42"/>
    </row>
    <row r="3" spans="1:10" x14ac:dyDescent="0.35">
      <c r="A3">
        <v>304300</v>
      </c>
      <c r="B3">
        <v>0.14000000000000001</v>
      </c>
      <c r="C3" s="21">
        <v>4.3999999999999997E-2</v>
      </c>
      <c r="D3">
        <v>0.09</v>
      </c>
      <c r="E3" t="s">
        <v>84</v>
      </c>
      <c r="F3">
        <v>16700</v>
      </c>
      <c r="G3">
        <v>410400</v>
      </c>
      <c r="H3" t="s">
        <v>87</v>
      </c>
      <c r="I3" s="23"/>
      <c r="J3" s="42"/>
    </row>
    <row r="4" spans="1:10" x14ac:dyDescent="0.35">
      <c r="A4">
        <v>295800</v>
      </c>
      <c r="B4">
        <v>0.1</v>
      </c>
      <c r="C4" s="21">
        <v>2.92E-2</v>
      </c>
      <c r="D4">
        <v>0</v>
      </c>
      <c r="E4" t="s">
        <v>85</v>
      </c>
      <c r="F4">
        <v>10800</v>
      </c>
      <c r="G4">
        <v>385400</v>
      </c>
      <c r="H4" t="s">
        <v>86</v>
      </c>
      <c r="I4" s="23"/>
      <c r="J4" s="42"/>
    </row>
    <row r="6" spans="1:10" x14ac:dyDescent="0.35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24</v>
      </c>
      <c r="G6" t="s">
        <v>10</v>
      </c>
      <c r="H6" t="s">
        <v>11</v>
      </c>
      <c r="I6" t="s">
        <v>88</v>
      </c>
    </row>
    <row r="7" spans="1:10" x14ac:dyDescent="0.35">
      <c r="A7">
        <v>16300</v>
      </c>
      <c r="B7">
        <v>2.46</v>
      </c>
      <c r="C7" s="21">
        <v>8.6199999999999999E-2</v>
      </c>
      <c r="D7">
        <v>-1.4</v>
      </c>
      <c r="E7" s="22">
        <v>0.67</v>
      </c>
      <c r="F7">
        <v>93942</v>
      </c>
      <c r="G7">
        <v>139377</v>
      </c>
      <c r="H7">
        <v>1.08</v>
      </c>
      <c r="I7" s="23">
        <v>57200</v>
      </c>
    </row>
    <row r="8" spans="1:10" x14ac:dyDescent="0.35">
      <c r="A8">
        <v>14269</v>
      </c>
      <c r="B8">
        <v>-14.66</v>
      </c>
      <c r="C8" s="21">
        <v>-0.58179999999999998</v>
      </c>
      <c r="D8">
        <v>-1.3</v>
      </c>
      <c r="E8" s="22">
        <v>0.38</v>
      </c>
      <c r="F8">
        <v>33474</v>
      </c>
      <c r="G8">
        <v>86998</v>
      </c>
      <c r="H8">
        <v>1.03</v>
      </c>
      <c r="I8" s="23"/>
    </row>
    <row r="9" spans="1:10" x14ac:dyDescent="0.35">
      <c r="A9">
        <v>21650</v>
      </c>
      <c r="B9">
        <v>-23.04</v>
      </c>
      <c r="C9" s="21">
        <v>-0.59189999999999998</v>
      </c>
      <c r="D9">
        <v>-0.7</v>
      </c>
      <c r="E9" s="22">
        <v>0.4</v>
      </c>
      <c r="F9">
        <v>33757</v>
      </c>
      <c r="G9">
        <v>83613</v>
      </c>
      <c r="H9">
        <v>0.96</v>
      </c>
      <c r="I9" s="23"/>
    </row>
  </sheetData>
  <mergeCells count="2">
    <mergeCell ref="I2:I4"/>
    <mergeCell ref="I7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FAED-8048-48EA-8CE0-32AC863049A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628F-C566-49A2-AAEA-BF03F6D8A9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constraints</vt:lpstr>
      <vt:lpstr>Answer Report 1</vt:lpstr>
      <vt:lpstr>avg data_test</vt:lpstr>
      <vt:lpstr>predict</vt:lpstr>
      <vt:lpstr>Sheet19</vt:lpstr>
      <vt:lpstr>Sheet9</vt:lpstr>
      <vt:lpstr>Sheet11</vt:lpstr>
      <vt:lpstr>Sheet10</vt:lpstr>
      <vt:lpstr>Sheet8</vt:lpstr>
      <vt:lpstr>Sheet7</vt:lpstr>
      <vt:lpstr>Sheet6</vt:lpstr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Singh, Deepender</cp:lastModifiedBy>
  <dcterms:created xsi:type="dcterms:W3CDTF">2025-08-06T05:25:02Z</dcterms:created>
  <dcterms:modified xsi:type="dcterms:W3CDTF">2025-08-09T22:49:51Z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2025-08-09T07:04:05Z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9bf5bd3f-b4c8-41a0-bb4e-2e7c724ae284</vt:lpwstr>
  </property>
  <property fmtid="{D5CDD505-2E9C-101B-9397-08002B2CF9AE}" pid="8" name="MSIP_Label_831f0267-8575-4fc2-99cc-f6b7f9934be9_ContentBits">
    <vt:lpwstr>0</vt:lpwstr>
  </property>
  <property fmtid="{D5CDD505-2E9C-101B-9397-08002B2CF9AE}" pid="9" name="MSIP_Label_831f0267-8575-4fc2-99cc-f6b7f9934be9_Tag">
    <vt:lpwstr>10, 3, 0, 1</vt:lpwstr>
  </property>
</Properties>
</file>