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AD80D8B0-B4DD-4546-8CE0-5EF77F93C77A}" xr6:coauthVersionLast="47" xr6:coauthVersionMax="47" xr10:uidLastSave="{00000000-0000-0000-0000-000000000000}"/>
  <bookViews>
    <workbookView xWindow="-120" yWindow="-120" windowWidth="20730" windowHeight="11040" firstSheet="4" activeTab="5" xr2:uid="{7C36E9B2-FB6A-4E53-9DB2-51C57721A1BA}"/>
  </bookViews>
  <sheets>
    <sheet name="Free Cash Flow" sheetId="11" r:id="rId1"/>
    <sheet name="Fixed Assets" sheetId="10" r:id="rId2"/>
    <sheet name="Net Working Capital" sheetId="7" r:id="rId3"/>
    <sheet name="WACC" sheetId="13" r:id="rId4"/>
    <sheet name="DCF" sheetId="12" r:id="rId5"/>
    <sheet name="Data Source --&gt;" sheetId="8" r:id="rId6"/>
    <sheet name="Cash flow statement" sheetId="1" r:id="rId7"/>
    <sheet name="Income statement" sheetId="5" r:id="rId8"/>
    <sheet name="Balance sheet" sheetId="4" r:id="rId9"/>
  </sheets>
  <definedNames>
    <definedName name="A">'Free Cash Flow'!$XFD$12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DCF!$F$12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2" l="1"/>
  <c r="C16" i="12"/>
  <c r="C8" i="13"/>
  <c r="C6" i="13"/>
  <c r="C3" i="13"/>
  <c r="H15" i="7"/>
  <c r="H14" i="7"/>
  <c r="H13" i="7"/>
  <c r="H12" i="7"/>
  <c r="H11" i="7"/>
  <c r="H10" i="7"/>
  <c r="H7" i="7"/>
  <c r="H6" i="7"/>
  <c r="H5" i="7"/>
  <c r="H22" i="7"/>
  <c r="H21" i="7"/>
  <c r="H28" i="7"/>
  <c r="G5" i="11"/>
  <c r="G8" i="10"/>
  <c r="G14" i="11"/>
  <c r="G12" i="11"/>
  <c r="G9" i="11"/>
  <c r="G30" i="11" s="1"/>
  <c r="G8" i="11"/>
  <c r="G6" i="11"/>
  <c r="G20" i="5"/>
  <c r="G18" i="5"/>
  <c r="G13" i="5"/>
  <c r="G6" i="5"/>
  <c r="G22" i="4"/>
  <c r="G13" i="4"/>
  <c r="G6" i="1"/>
  <c r="C17" i="13"/>
  <c r="C4" i="13"/>
  <c r="C26" i="11"/>
  <c r="G28" i="11" l="1"/>
  <c r="G7" i="11"/>
  <c r="G29" i="11"/>
  <c r="G10" i="11"/>
  <c r="G6" i="10"/>
  <c r="G16" i="11"/>
  <c r="H24" i="7"/>
  <c r="H8" i="7"/>
  <c r="G20" i="11" s="1"/>
  <c r="H25" i="7"/>
  <c r="H26" i="7"/>
  <c r="C5" i="13"/>
  <c r="C10" i="13" s="1"/>
  <c r="C11" i="13"/>
  <c r="G11" i="11" l="1"/>
  <c r="G13" i="11" s="1"/>
  <c r="I12" i="12"/>
  <c r="C17" i="12"/>
  <c r="C16" i="13"/>
  <c r="C8" i="10"/>
  <c r="G22" i="7"/>
  <c r="F22" i="7"/>
  <c r="E22" i="7"/>
  <c r="D22" i="7"/>
  <c r="C22" i="7"/>
  <c r="F8" i="11"/>
  <c r="F8" i="10"/>
  <c r="G5" i="10" s="1"/>
  <c r="D8" i="10"/>
  <c r="E8" i="10"/>
  <c r="C5" i="10"/>
  <c r="D5" i="10"/>
  <c r="E5" i="10"/>
  <c r="F5" i="10"/>
  <c r="C6" i="11"/>
  <c r="C8" i="11"/>
  <c r="C9" i="11"/>
  <c r="C12" i="11"/>
  <c r="C6" i="10" s="1"/>
  <c r="C7" i="10" s="1"/>
  <c r="C13" i="10" s="1"/>
  <c r="C14" i="11"/>
  <c r="C16" i="11"/>
  <c r="D6" i="11"/>
  <c r="D14" i="11"/>
  <c r="E14" i="11"/>
  <c r="F14" i="11"/>
  <c r="D12" i="11"/>
  <c r="E12" i="11"/>
  <c r="E16" i="11" s="1"/>
  <c r="F12" i="11"/>
  <c r="D9" i="11"/>
  <c r="E9" i="11"/>
  <c r="F9" i="11"/>
  <c r="D8" i="11"/>
  <c r="E8" i="11"/>
  <c r="E6" i="11"/>
  <c r="F6" i="11"/>
  <c r="D5" i="11"/>
  <c r="D7" i="11" s="1"/>
  <c r="E5" i="11"/>
  <c r="F5" i="11"/>
  <c r="C5" i="11"/>
  <c r="D26" i="11" s="1"/>
  <c r="L25" i="11"/>
  <c r="K25" i="11"/>
  <c r="F25" i="11"/>
  <c r="E25" i="11"/>
  <c r="D25" i="11"/>
  <c r="C25" i="11"/>
  <c r="B25" i="11"/>
  <c r="C6" i="5"/>
  <c r="C13" i="5" s="1"/>
  <c r="C18" i="5" s="1"/>
  <c r="C20" i="5" s="1"/>
  <c r="D6" i="5"/>
  <c r="E6" i="5"/>
  <c r="F6" i="5"/>
  <c r="F13" i="5" s="1"/>
  <c r="B6" i="5"/>
  <c r="D21" i="7"/>
  <c r="E21" i="7"/>
  <c r="F21" i="7"/>
  <c r="G21" i="7"/>
  <c r="C21" i="7"/>
  <c r="D10" i="7"/>
  <c r="D26" i="7" s="1"/>
  <c r="E10" i="7"/>
  <c r="E26" i="7" s="1"/>
  <c r="F10" i="7"/>
  <c r="F26" i="7" s="1"/>
  <c r="G10" i="7"/>
  <c r="G26" i="7" s="1"/>
  <c r="D11" i="7"/>
  <c r="E11" i="7"/>
  <c r="F11" i="7"/>
  <c r="G11" i="7"/>
  <c r="D12" i="7"/>
  <c r="E12" i="7"/>
  <c r="E30" i="7" s="1"/>
  <c r="F12" i="7"/>
  <c r="G12" i="7"/>
  <c r="D13" i="7"/>
  <c r="E13" i="7"/>
  <c r="F13" i="7"/>
  <c r="G13" i="7"/>
  <c r="D14" i="7"/>
  <c r="E14" i="7"/>
  <c r="F14" i="7"/>
  <c r="G14" i="7"/>
  <c r="D15" i="7"/>
  <c r="E15" i="7"/>
  <c r="E32" i="7" s="1"/>
  <c r="F15" i="7"/>
  <c r="F32" i="7" s="1"/>
  <c r="G15" i="7"/>
  <c r="G32" i="7" s="1"/>
  <c r="C11" i="7"/>
  <c r="C12" i="7"/>
  <c r="C13" i="7"/>
  <c r="C14" i="7"/>
  <c r="C15" i="7"/>
  <c r="C10" i="7"/>
  <c r="C26" i="7" s="1"/>
  <c r="D7" i="7"/>
  <c r="E7" i="7"/>
  <c r="F7" i="7"/>
  <c r="G7" i="7"/>
  <c r="C7" i="7"/>
  <c r="D6" i="7"/>
  <c r="D25" i="7" s="1"/>
  <c r="E6" i="7"/>
  <c r="E25" i="7" s="1"/>
  <c r="F6" i="7"/>
  <c r="F25" i="7" s="1"/>
  <c r="G6" i="7"/>
  <c r="G25" i="7" s="1"/>
  <c r="C6" i="7"/>
  <c r="C25" i="7" s="1"/>
  <c r="G5" i="7"/>
  <c r="G24" i="7" s="1"/>
  <c r="F5" i="7"/>
  <c r="F24" i="7" s="1"/>
  <c r="E5" i="7"/>
  <c r="E24" i="7" s="1"/>
  <c r="D5" i="7"/>
  <c r="D24" i="7" s="1"/>
  <c r="C5" i="7"/>
  <c r="C24" i="7" s="1"/>
  <c r="F26" i="5"/>
  <c r="E26" i="5"/>
  <c r="D26" i="5"/>
  <c r="C26" i="5"/>
  <c r="B26" i="5"/>
  <c r="B55" i="4"/>
  <c r="B53" i="4"/>
  <c r="B40" i="4"/>
  <c r="B41" i="4"/>
  <c r="B31" i="4"/>
  <c r="B21" i="4"/>
  <c r="B22" i="4" s="1"/>
  <c r="B13" i="4"/>
  <c r="C55" i="4"/>
  <c r="C53" i="4"/>
  <c r="C40" i="4"/>
  <c r="C41" i="4"/>
  <c r="C42" i="4"/>
  <c r="C31" i="4"/>
  <c r="C21" i="4"/>
  <c r="C22" i="4" s="1"/>
  <c r="C13" i="4"/>
  <c r="D13" i="4"/>
  <c r="D55" i="4"/>
  <c r="D53" i="4"/>
  <c r="D40" i="4"/>
  <c r="D41" i="4"/>
  <c r="D31" i="4"/>
  <c r="D21" i="4"/>
  <c r="E53" i="4"/>
  <c r="E55" i="4"/>
  <c r="F55" i="4"/>
  <c r="E42" i="4"/>
  <c r="E41" i="4"/>
  <c r="E40" i="4"/>
  <c r="E31" i="4"/>
  <c r="E22" i="4"/>
  <c r="E21" i="4"/>
  <c r="E13" i="4"/>
  <c r="F40" i="4"/>
  <c r="F41" i="4" s="1"/>
  <c r="F21" i="4"/>
  <c r="F13" i="4"/>
  <c r="F40" i="1"/>
  <c r="F37" i="1"/>
  <c r="F35" i="1"/>
  <c r="F20" i="1"/>
  <c r="F6" i="1"/>
  <c r="B35" i="1"/>
  <c r="B20" i="1"/>
  <c r="B6" i="1"/>
  <c r="C34" i="1"/>
  <c r="C35" i="1" s="1"/>
  <c r="C20" i="1"/>
  <c r="C6" i="1"/>
  <c r="D35" i="1"/>
  <c r="D20" i="1"/>
  <c r="E35" i="1"/>
  <c r="E20" i="1"/>
  <c r="E6" i="1"/>
  <c r="F26" i="11" l="1"/>
  <c r="G26" i="11"/>
  <c r="G15" i="11"/>
  <c r="G31" i="11"/>
  <c r="G12" i="10"/>
  <c r="G7" i="10"/>
  <c r="C30" i="7"/>
  <c r="E33" i="7"/>
  <c r="B13" i="5"/>
  <c r="B18" i="5" s="1"/>
  <c r="B20" i="5" s="1"/>
  <c r="H32" i="7"/>
  <c r="F28" i="11"/>
  <c r="E28" i="11"/>
  <c r="H28" i="11" s="1"/>
  <c r="E29" i="11"/>
  <c r="D29" i="11"/>
  <c r="F30" i="11"/>
  <c r="E30" i="11"/>
  <c r="H30" i="11" s="1"/>
  <c r="D30" i="11"/>
  <c r="F16" i="11"/>
  <c r="F6" i="10"/>
  <c r="F12" i="10" s="1"/>
  <c r="D6" i="10"/>
  <c r="D16" i="11"/>
  <c r="D28" i="11"/>
  <c r="C10" i="11"/>
  <c r="C30" i="11"/>
  <c r="C29" i="11"/>
  <c r="C28" i="11"/>
  <c r="F29" i="11"/>
  <c r="C19" i="13"/>
  <c r="C12" i="12" s="1"/>
  <c r="C17" i="11"/>
  <c r="B42" i="4"/>
  <c r="E28" i="7"/>
  <c r="G33" i="7"/>
  <c r="D32" i="7"/>
  <c r="D28" i="7"/>
  <c r="F33" i="7"/>
  <c r="F8" i="7"/>
  <c r="E20" i="11" s="1"/>
  <c r="C32" i="7"/>
  <c r="G31" i="7"/>
  <c r="C31" i="7"/>
  <c r="F31" i="7"/>
  <c r="E31" i="7"/>
  <c r="H31" i="7" s="1"/>
  <c r="F28" i="7"/>
  <c r="G8" i="7"/>
  <c r="F20" i="11" s="1"/>
  <c r="D33" i="7"/>
  <c r="D29" i="7"/>
  <c r="C33" i="7"/>
  <c r="C29" i="7"/>
  <c r="D31" i="7"/>
  <c r="C28" i="7"/>
  <c r="F30" i="7"/>
  <c r="G29" i="7"/>
  <c r="D30" i="7"/>
  <c r="G28" i="7"/>
  <c r="F29" i="7"/>
  <c r="E29" i="7"/>
  <c r="H29" i="7" s="1"/>
  <c r="G30" i="7"/>
  <c r="E16" i="7"/>
  <c r="D21" i="11" s="1"/>
  <c r="D8" i="7"/>
  <c r="C20" i="11" s="1"/>
  <c r="G16" i="7"/>
  <c r="F21" i="11" s="1"/>
  <c r="D16" i="7"/>
  <c r="C21" i="11" s="1"/>
  <c r="F16" i="7"/>
  <c r="E21" i="11" s="1"/>
  <c r="E8" i="7"/>
  <c r="D20" i="11" s="1"/>
  <c r="D19" i="11" s="1"/>
  <c r="C16" i="7"/>
  <c r="C8" i="7"/>
  <c r="D7" i="10"/>
  <c r="D12" i="10"/>
  <c r="E6" i="10"/>
  <c r="E7" i="10" s="1"/>
  <c r="F7" i="10"/>
  <c r="C7" i="11"/>
  <c r="C11" i="11" s="1"/>
  <c r="C13" i="11" s="1"/>
  <c r="C12" i="10"/>
  <c r="E13" i="5"/>
  <c r="E18" i="5" s="1"/>
  <c r="E20" i="5" s="1"/>
  <c r="D13" i="5"/>
  <c r="D18" i="5" s="1"/>
  <c r="D20" i="5" s="1"/>
  <c r="D10" i="11"/>
  <c r="D11" i="11" s="1"/>
  <c r="D13" i="11" s="1"/>
  <c r="F7" i="11"/>
  <c r="E7" i="11"/>
  <c r="F10" i="11"/>
  <c r="F18" i="5"/>
  <c r="F20" i="5" s="1"/>
  <c r="E10" i="11"/>
  <c r="E26" i="11"/>
  <c r="H26" i="11" s="1"/>
  <c r="D22" i="4"/>
  <c r="D42" i="4" s="1"/>
  <c r="F22" i="4"/>
  <c r="F42" i="4" s="1"/>
  <c r="B37" i="1"/>
  <c r="B40" i="1" s="1"/>
  <c r="D37" i="1"/>
  <c r="D40" i="1" s="1"/>
  <c r="C37" i="1"/>
  <c r="C40" i="1" s="1"/>
  <c r="E37" i="1"/>
  <c r="E40" i="1" s="1"/>
  <c r="H5" i="11" l="1"/>
  <c r="H9" i="11"/>
  <c r="I30" i="11"/>
  <c r="H29" i="11"/>
  <c r="H6" i="11"/>
  <c r="I22" i="7" s="1"/>
  <c r="I28" i="11"/>
  <c r="I26" i="11"/>
  <c r="G17" i="11"/>
  <c r="G13" i="10"/>
  <c r="C19" i="11"/>
  <c r="D18" i="11" s="1"/>
  <c r="F19" i="11"/>
  <c r="E19" i="11"/>
  <c r="E18" i="11" s="1"/>
  <c r="F13" i="10"/>
  <c r="F17" i="11"/>
  <c r="E13" i="10"/>
  <c r="E17" i="11"/>
  <c r="D13" i="10"/>
  <c r="D17" i="11"/>
  <c r="I29" i="7"/>
  <c r="J29" i="7"/>
  <c r="H30" i="7"/>
  <c r="I26" i="7"/>
  <c r="I31" i="7"/>
  <c r="H33" i="7"/>
  <c r="I24" i="7"/>
  <c r="I32" i="7"/>
  <c r="C18" i="11"/>
  <c r="C31" i="11"/>
  <c r="C15" i="11"/>
  <c r="D15" i="11"/>
  <c r="D22" i="11" s="1"/>
  <c r="E4" i="12" s="1"/>
  <c r="D31" i="11"/>
  <c r="E12" i="10"/>
  <c r="F11" i="11"/>
  <c r="F13" i="11" s="1"/>
  <c r="E11" i="11"/>
  <c r="E13" i="11" s="1"/>
  <c r="J26" i="11" l="1"/>
  <c r="J28" i="11"/>
  <c r="H8" i="11"/>
  <c r="H10" i="11" s="1"/>
  <c r="I29" i="11"/>
  <c r="J30" i="11"/>
  <c r="I21" i="7"/>
  <c r="H7" i="11"/>
  <c r="H11" i="11" s="1"/>
  <c r="I5" i="11"/>
  <c r="F18" i="11"/>
  <c r="J26" i="7"/>
  <c r="J24" i="7"/>
  <c r="C22" i="11"/>
  <c r="D4" i="12" s="1"/>
  <c r="J32" i="7"/>
  <c r="I28" i="7"/>
  <c r="I33" i="7"/>
  <c r="J31" i="7"/>
  <c r="K31" i="7"/>
  <c r="I30" i="7"/>
  <c r="K29" i="7"/>
  <c r="I25" i="7"/>
  <c r="H13" i="10"/>
  <c r="F15" i="12"/>
  <c r="I10" i="7"/>
  <c r="I7" i="7"/>
  <c r="E15" i="11"/>
  <c r="E22" i="11" s="1"/>
  <c r="F4" i="12" s="1"/>
  <c r="E31" i="11"/>
  <c r="F15" i="11"/>
  <c r="F22" i="11" s="1"/>
  <c r="G4" i="12" s="1"/>
  <c r="F31" i="11"/>
  <c r="H31" i="11" l="1"/>
  <c r="J21" i="7"/>
  <c r="J5" i="11"/>
  <c r="I6" i="11"/>
  <c r="I9" i="11"/>
  <c r="J9" i="11"/>
  <c r="K30" i="11"/>
  <c r="I8" i="11"/>
  <c r="I10" i="11" s="1"/>
  <c r="J29" i="11"/>
  <c r="J6" i="11"/>
  <c r="K22" i="7" s="1"/>
  <c r="K28" i="11"/>
  <c r="K26" i="11"/>
  <c r="L26" i="11" s="1"/>
  <c r="I13" i="10"/>
  <c r="J13" i="10"/>
  <c r="L29" i="7"/>
  <c r="L31" i="7"/>
  <c r="J28" i="7"/>
  <c r="K32" i="7"/>
  <c r="L32" i="7"/>
  <c r="K26" i="7"/>
  <c r="L26" i="7" s="1"/>
  <c r="M26" i="7"/>
  <c r="J25" i="7"/>
  <c r="K24" i="7"/>
  <c r="L24" i="7" s="1"/>
  <c r="M24" i="7"/>
  <c r="J30" i="7"/>
  <c r="K30" i="7"/>
  <c r="J33" i="7"/>
  <c r="K33" i="7"/>
  <c r="H12" i="10"/>
  <c r="H16" i="7"/>
  <c r="G21" i="11" s="1"/>
  <c r="G19" i="11" s="1"/>
  <c r="G18" i="11" s="1"/>
  <c r="G22" i="11" s="1"/>
  <c r="H4" i="12" s="1"/>
  <c r="J5" i="7"/>
  <c r="I13" i="7"/>
  <c r="I12" i="7"/>
  <c r="I14" i="7"/>
  <c r="I11" i="7"/>
  <c r="I15" i="7"/>
  <c r="I6" i="7"/>
  <c r="J7" i="11"/>
  <c r="I5" i="7"/>
  <c r="L28" i="11" l="1"/>
  <c r="J8" i="11"/>
  <c r="J10" i="11" s="1"/>
  <c r="J11" i="11" s="1"/>
  <c r="K29" i="11"/>
  <c r="L30" i="11"/>
  <c r="J22" i="7"/>
  <c r="J6" i="7" s="1"/>
  <c r="I7" i="11"/>
  <c r="I11" i="11" s="1"/>
  <c r="K21" i="7"/>
  <c r="K5" i="11"/>
  <c r="I31" i="11"/>
  <c r="I12" i="10"/>
  <c r="J12" i="10"/>
  <c r="K13" i="10"/>
  <c r="L33" i="7"/>
  <c r="L30" i="7"/>
  <c r="M32" i="7"/>
  <c r="K28" i="7"/>
  <c r="L28" i="7" s="1"/>
  <c r="M28" i="7"/>
  <c r="M31" i="7"/>
  <c r="M29" i="7"/>
  <c r="K25" i="7"/>
  <c r="L25" i="7" s="1"/>
  <c r="M25" i="7"/>
  <c r="J10" i="7"/>
  <c r="I16" i="7"/>
  <c r="H21" i="11" s="1"/>
  <c r="I8" i="7"/>
  <c r="H20" i="11" s="1"/>
  <c r="H19" i="11" s="1"/>
  <c r="H18" i="11" s="1"/>
  <c r="K10" i="7"/>
  <c r="K7" i="7"/>
  <c r="J13" i="7"/>
  <c r="J12" i="7"/>
  <c r="J14" i="7"/>
  <c r="J11" i="7"/>
  <c r="J15" i="7"/>
  <c r="J7" i="7"/>
  <c r="J8" i="7" s="1"/>
  <c r="I20" i="11" s="1"/>
  <c r="J31" i="11" l="1"/>
  <c r="L21" i="7"/>
  <c r="L5" i="11"/>
  <c r="M21" i="7" s="1"/>
  <c r="K6" i="11"/>
  <c r="K9" i="11"/>
  <c r="L9" i="11"/>
  <c r="K8" i="11"/>
  <c r="K10" i="11" s="1"/>
  <c r="L29" i="11"/>
  <c r="L8" i="11" s="1"/>
  <c r="L10" i="11" s="1"/>
  <c r="L6" i="11"/>
  <c r="M22" i="7" s="1"/>
  <c r="L13" i="10"/>
  <c r="K12" i="10"/>
  <c r="L12" i="7"/>
  <c r="M30" i="7"/>
  <c r="M12" i="7" s="1"/>
  <c r="L14" i="7"/>
  <c r="M33" i="7"/>
  <c r="M14" i="7" s="1"/>
  <c r="J16" i="7"/>
  <c r="I21" i="11" s="1"/>
  <c r="I19" i="11" s="1"/>
  <c r="I18" i="11" s="1"/>
  <c r="L7" i="11"/>
  <c r="L11" i="11" s="1"/>
  <c r="K6" i="7"/>
  <c r="K13" i="7"/>
  <c r="K12" i="7"/>
  <c r="K14" i="7"/>
  <c r="K11" i="7"/>
  <c r="K15" i="7"/>
  <c r="K5" i="7"/>
  <c r="M10" i="7" l="1"/>
  <c r="M6" i="7"/>
  <c r="L22" i="7"/>
  <c r="K7" i="11"/>
  <c r="K11" i="11" s="1"/>
  <c r="M5" i="7"/>
  <c r="M11" i="7"/>
  <c r="M13" i="7"/>
  <c r="M7" i="7"/>
  <c r="M15" i="7"/>
  <c r="L5" i="7"/>
  <c r="L15" i="7"/>
  <c r="L13" i="7"/>
  <c r="L11" i="7"/>
  <c r="L7" i="7"/>
  <c r="K31" i="11"/>
  <c r="L31" i="11" s="1"/>
  <c r="L12" i="10"/>
  <c r="M16" i="7"/>
  <c r="L21" i="11" s="1"/>
  <c r="K8" i="7"/>
  <c r="J20" i="11" s="1"/>
  <c r="K16" i="7"/>
  <c r="J21" i="11" s="1"/>
  <c r="L10" i="7" l="1"/>
  <c r="L16" i="7" s="1"/>
  <c r="K21" i="11" s="1"/>
  <c r="L6" i="7"/>
  <c r="L8" i="7" s="1"/>
  <c r="K20" i="11" s="1"/>
  <c r="M8" i="7"/>
  <c r="L20" i="11" s="1"/>
  <c r="L19" i="11" s="1"/>
  <c r="J19" i="11"/>
  <c r="J18" i="11"/>
  <c r="K19" i="11" l="1"/>
  <c r="H7" i="12"/>
  <c r="H5" i="10"/>
  <c r="L18" i="11" l="1"/>
  <c r="K18" i="11"/>
  <c r="H7" i="10"/>
  <c r="H17" i="11" s="1"/>
  <c r="H6" i="10"/>
  <c r="H12" i="11" s="1"/>
  <c r="H16" i="11" l="1"/>
  <c r="H13" i="11"/>
  <c r="H8" i="10"/>
  <c r="I5" i="10" s="1"/>
  <c r="I6" i="10" s="1"/>
  <c r="I12" i="11" s="1"/>
  <c r="I16" i="11" l="1"/>
  <c r="I13" i="11"/>
  <c r="H14" i="11"/>
  <c r="H15" i="11" s="1"/>
  <c r="H22" i="11" s="1"/>
  <c r="I4" i="12" s="1"/>
  <c r="I7" i="10"/>
  <c r="I17" i="11" s="1"/>
  <c r="I8" i="10"/>
  <c r="J5" i="10" s="1"/>
  <c r="J6" i="10" s="1"/>
  <c r="J12" i="11" s="1"/>
  <c r="J16" i="11"/>
  <c r="J13" i="11"/>
  <c r="I14" i="11" l="1"/>
  <c r="I15" i="11"/>
  <c r="I22" i="11" s="1"/>
  <c r="J4" i="12" s="1"/>
  <c r="J7" i="12" s="1"/>
  <c r="J14" i="11"/>
  <c r="J15" i="11" s="1"/>
  <c r="J7" i="10"/>
  <c r="J17" i="11" s="1"/>
  <c r="I7" i="12" l="1"/>
  <c r="J22" i="11"/>
  <c r="K4" i="12" s="1"/>
  <c r="K7" i="12" s="1"/>
  <c r="J8" i="10"/>
  <c r="K5" i="10" s="1"/>
  <c r="K7" i="10" l="1"/>
  <c r="K17" i="11" s="1"/>
  <c r="K6" i="10"/>
  <c r="K12" i="11" l="1"/>
  <c r="K8" i="10"/>
  <c r="L5" i="10" s="1"/>
  <c r="L7" i="10" l="1"/>
  <c r="L17" i="11" s="1"/>
  <c r="L6" i="10"/>
  <c r="K16" i="11"/>
  <c r="K13" i="11"/>
  <c r="K14" i="11" s="1"/>
  <c r="K15" i="11" s="1"/>
  <c r="K22" i="11" s="1"/>
  <c r="L4" i="12" s="1"/>
  <c r="C10" i="12"/>
  <c r="C13" i="12" l="1"/>
  <c r="C14" i="12" s="1"/>
  <c r="L7" i="12"/>
  <c r="L12" i="11"/>
  <c r="L8" i="10"/>
  <c r="C15" i="12"/>
  <c r="C19" i="12" s="1"/>
  <c r="L16" i="11" l="1"/>
  <c r="L13" i="11"/>
  <c r="C21" i="12"/>
  <c r="F12" i="12" s="1"/>
  <c r="L14" i="11" l="1"/>
  <c r="L15" i="11"/>
  <c r="L22" i="11" s="1"/>
  <c r="M4" i="12" s="1"/>
  <c r="M7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CC4E5D1-F0AE-471F-ABB5-7486DF812FBC}">
      <text>
        <r>
          <rPr>
            <sz val="9"/>
            <color indexed="81"/>
            <rFont val="Tahoma"/>
            <family val="2"/>
          </rPr>
          <t xml:space="preserve">Previous revenue*(1 + growth rate)
</t>
        </r>
      </text>
    </comment>
    <comment ref="H12" authorId="0" shapeId="0" xr:uid="{44F2EAB3-6E70-4115-9F27-EB48C20DA46A}">
      <text>
        <r>
          <rPr>
            <b/>
            <sz val="9"/>
            <color indexed="81"/>
            <rFont val="Tahoma"/>
            <family val="2"/>
          </rPr>
          <t>Calculated in 'Fixed Assets'</t>
        </r>
      </text>
    </comment>
    <comment ref="H20" authorId="0" shapeId="0" xr:uid="{AEF21232-4857-4F54-AF91-BDF5172749B8}">
      <text>
        <r>
          <rPr>
            <b/>
            <sz val="9"/>
            <color indexed="81"/>
            <rFont val="Tahoma"/>
            <family val="2"/>
          </rPr>
          <t>Calculated in 'Net Working Capital'</t>
        </r>
      </text>
    </comment>
    <comment ref="H21" authorId="0" shapeId="0" xr:uid="{6D862016-00B8-429F-91CB-34498FC6C477}">
      <text>
        <r>
          <rPr>
            <b/>
            <sz val="9"/>
            <color indexed="81"/>
            <rFont val="Tahoma"/>
            <family val="2"/>
          </rPr>
          <t>Calculated in Net Working Capital''</t>
        </r>
      </text>
    </comment>
    <comment ref="G26" authorId="0" shapeId="0" xr:uid="{582546E2-6EBD-4DCD-BA4B-624086506419}">
      <text>
        <r>
          <rPr>
            <sz val="9"/>
            <color indexed="81"/>
            <rFont val="Tahoma"/>
            <family val="2"/>
          </rPr>
          <t xml:space="preserve">current revenue/(previous revenue -1)
</t>
        </r>
      </text>
    </comment>
    <comment ref="H26" authorId="0" shapeId="0" xr:uid="{CBC2ADB5-9C18-408C-A479-FAE8086D45D0}">
      <text>
        <r>
          <rPr>
            <b/>
            <sz val="9"/>
            <color indexed="81"/>
            <rFont val="Tahoma"/>
            <family val="2"/>
          </rPr>
          <t>calculated on a 3 year moving average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0" shapeId="0" xr:uid="{CD376228-D325-4161-BE75-9005AF91B76D}">
      <text>
        <r>
          <rPr>
            <b/>
            <sz val="9"/>
            <color indexed="81"/>
            <rFont val="Tahoma"/>
            <family val="2"/>
          </rPr>
          <t>Calculated on a 3 year moving average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2" authorId="0" shapeId="0" xr:uid="{33E5A31E-38BF-4E99-82B3-8A6374A511E4}">
      <text>
        <r>
          <rPr>
            <sz val="9"/>
            <color indexed="81"/>
            <rFont val="Tahoma"/>
            <family val="2"/>
          </rPr>
          <t xml:space="preserve">Calculated on a 3 year moving average.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2EEC495D-9EEA-474A-BD6C-C914AF0A1FB2}">
      <text>
        <r>
          <rPr>
            <b/>
            <sz val="9"/>
            <color indexed="81"/>
            <rFont val="Tahoma"/>
            <family val="2"/>
          </rPr>
          <t>All figures are obtained from 'Balance Sheet'</t>
        </r>
      </text>
    </comment>
    <comment ref="C24" authorId="0" shapeId="0" xr:uid="{C04A8AE0-EC10-4111-9BD2-80E1FFA5E609}">
      <text>
        <r>
          <rPr>
            <b/>
            <sz val="9"/>
            <color indexed="81"/>
            <rFont val="Tahoma"/>
            <family val="2"/>
          </rPr>
          <t>Acc Receivables/Revenue x 365 days</t>
        </r>
      </text>
    </comment>
    <comment ref="I24" authorId="0" shapeId="0" xr:uid="{1285C37B-CA61-46CE-8BF9-747CBEA8F7BE}">
      <text>
        <r>
          <rPr>
            <b/>
            <sz val="9"/>
            <color indexed="81"/>
            <rFont val="Tahoma"/>
            <family val="2"/>
          </rPr>
          <t>Calculated on a 3 year moving average.</t>
        </r>
      </text>
    </comment>
    <comment ref="C25" authorId="0" shapeId="0" xr:uid="{6A20D644-8E9B-46FB-A99F-BA1AEA5B2F06}">
      <text>
        <r>
          <rPr>
            <b/>
            <sz val="9"/>
            <color indexed="81"/>
            <rFont val="Tahoma"/>
            <family val="2"/>
          </rPr>
          <t>(Inventory/COGS)*365 days</t>
        </r>
      </text>
    </comment>
    <comment ref="C26" authorId="0" shapeId="0" xr:uid="{32530F56-C2A6-438B-9FA2-4429F722F3D9}">
      <text>
        <r>
          <rPr>
            <b/>
            <sz val="9"/>
            <color indexed="81"/>
            <rFont val="Tahoma"/>
            <family val="2"/>
          </rPr>
          <t>(Payables/COGS)*365 days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8B8C6290-CF88-4A33-B54D-E68508D5D9F0}">
      <text>
        <r>
          <rPr>
            <sz val="9"/>
            <color indexed="81"/>
            <rFont val="Tahoma"/>
            <family val="2"/>
          </rPr>
          <t>https://uk.finance.yahoo.com/quote/MKS.L/key-statistics/</t>
        </r>
      </text>
    </comment>
    <comment ref="C4" authorId="0" shapeId="0" xr:uid="{4D3E8A48-19F5-4D9F-85F0-3C0861D34351}">
      <text>
        <r>
          <rPr>
            <b/>
            <sz val="9"/>
            <color indexed="81"/>
            <rFont val="Tahoma"/>
            <family val="2"/>
          </rPr>
          <t>https://uk.finance.yahoo.com/quote/MKS.L/key-statistics/</t>
        </r>
      </text>
    </comment>
    <comment ref="C6" authorId="0" shapeId="0" xr:uid="{0B294C41-E7D7-486F-82FE-F38AEC3DAAAC}">
      <text>
        <r>
          <rPr>
            <sz val="9"/>
            <color indexed="81"/>
            <rFont val="Tahoma"/>
            <family val="2"/>
          </rPr>
          <t>Debt is based of long-term and short-term borrowing and trade payables.</t>
        </r>
      </text>
    </comment>
    <comment ref="C9" authorId="0" shapeId="0" xr:uid="{81DC4481-FDD8-4FC9-A561-3F18156EE16B}">
      <text>
        <r>
          <rPr>
            <sz val="11"/>
            <color theme="1"/>
            <rFont val="Calibri"/>
            <family val="2"/>
            <scheme val="minor"/>
          </rPr>
          <t>======
https://www.gov.uk/government/publications/rates-and-allowances-corporation-tax/rates-and-allowances-corporation-tax</t>
        </r>
      </text>
    </comment>
    <comment ref="C13" authorId="0" shapeId="0" xr:uid="{8A8E0F7E-6880-45E7-9441-0AE7F935EE07}">
      <text>
        <r>
          <rPr>
            <sz val="11"/>
            <color theme="1"/>
            <rFont val="Calibri"/>
            <family val="2"/>
            <scheme val="minor"/>
          </rPr>
          <t>https://www.worldgovernmentbonds.com/country/united-kingdom/</t>
        </r>
      </text>
    </comment>
    <comment ref="C14" authorId="0" shapeId="0" xr:uid="{1862CE1D-F3BA-4967-94F3-9D99733D4CE8}">
      <text>
        <r>
          <rPr>
            <b/>
            <sz val="9"/>
            <color indexed="81"/>
            <rFont val="Tahoma"/>
            <family val="2"/>
          </rPr>
          <t>https://www.statista.com/statistics/664833/average-market-risk-premium-united-kingdom/</t>
        </r>
      </text>
    </comment>
    <comment ref="C15" authorId="0" shapeId="0" xr:uid="{E744232D-0EF4-4F04-9F18-09FFCECAA9D0}">
      <text>
        <r>
          <rPr>
            <sz val="11"/>
            <color theme="1"/>
            <rFont val="Calibri"/>
            <family val="2"/>
            <scheme val="minor"/>
          </rPr>
          <t>=====
https://markets.ft.com/data/equities/tearsheet/summary?s=MKS:LSE</t>
        </r>
      </text>
    </comment>
    <comment ref="C17" authorId="0" shapeId="0" xr:uid="{FF8452C4-AD39-4445-942C-908CD5B175C9}">
      <text>
        <r>
          <rPr>
            <sz val="9"/>
            <color indexed="81"/>
            <rFont val="Tahoma"/>
            <family val="2"/>
          </rPr>
          <t>CAPM formula to find the cost of equity.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3C2D330E-8AD9-4D1E-8B6E-208D511F39E3}">
      <text>
        <r>
          <rPr>
            <b/>
            <sz val="9"/>
            <color indexed="81"/>
            <rFont val="Tahoma"/>
            <family val="2"/>
          </rPr>
          <t>FCF is discounted by WACC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583F31A-E90D-45F9-9231-EA82FA185812}">
      <text>
        <r>
          <rPr>
            <sz val="11"/>
            <color theme="1"/>
            <rFont val="Calibri"/>
            <family val="2"/>
            <scheme val="minor"/>
          </rPr>
          <t>======
https://www.ceicdata.com/en/indicator/united-kingdom/retail-sales-growth#:~:text=United%20Kingdom%20Retail%20Sales%20Growth,-1997%20%2D%202022%20%7C%20Monthly&amp;text=United%20Kingdom%20Retail%20Sales%20dropped,average%20growth%20rate%20of%202.5%20%25.</t>
        </r>
      </text>
    </comment>
    <comment ref="C13" authorId="0" shapeId="0" xr:uid="{6378D206-C4C3-46BD-920B-67A75E69CEE8}">
      <text>
        <r>
          <rPr>
            <sz val="9"/>
            <color indexed="81"/>
            <rFont val="Tahoma"/>
            <family val="2"/>
          </rPr>
          <t>Using the TV formula after the 4th year of forecasting.</t>
        </r>
      </text>
    </comment>
    <comment ref="C15" authorId="0" shapeId="0" xr:uid="{1DB76967-5DCD-44DC-8219-48281A468CF5}">
      <text>
        <r>
          <rPr>
            <sz val="9"/>
            <color indexed="81"/>
            <rFont val="Tahoma"/>
            <family val="2"/>
          </rPr>
          <t>PV of the FCF + PV of the terminal value</t>
        </r>
      </text>
    </comment>
    <comment ref="C16" authorId="0" shapeId="0" xr:uid="{665E46DC-50BC-439B-B573-AA11FC1D2BAC}">
      <text>
        <r>
          <rPr>
            <sz val="9"/>
            <color indexed="81"/>
            <rFont val="Tahoma"/>
            <family val="2"/>
          </rPr>
          <t>The cash debt and minority interest are all taken from the balance sheet.</t>
        </r>
      </text>
    </comment>
    <comment ref="C20" authorId="0" shapeId="0" xr:uid="{3DAEEE05-0734-4A43-91B6-EDE769F683BE}">
      <text>
        <r>
          <rPr>
            <sz val="11"/>
            <color theme="1"/>
            <rFont val="Calibri"/>
            <family val="2"/>
            <scheme val="minor"/>
          </rPr>
          <t>======
https://uk.finance.yahoo.com/quote/MKS.L/key-statistics/</t>
        </r>
      </text>
    </comment>
    <comment ref="C23" authorId="0" shapeId="0" xr:uid="{5ADD6C47-7D13-4B22-802E-9C4F3F662167}">
      <text>
        <r>
          <rPr>
            <b/>
            <sz val="9"/>
            <color indexed="81"/>
            <rFont val="Tahoma"/>
            <family val="2"/>
          </rPr>
          <t>Obtained from Yahoo Finance as of 19/1/24</t>
        </r>
      </text>
    </comment>
  </commentList>
</comments>
</file>

<file path=xl/sharedStrings.xml><?xml version="1.0" encoding="utf-8"?>
<sst xmlns="http://schemas.openxmlformats.org/spreadsheetml/2006/main" count="290" uniqueCount="190">
  <si>
    <t>Cash flows from operating activities</t>
  </si>
  <si>
    <t>Cash generated from operations</t>
  </si>
  <si>
    <t>Income tax paid</t>
  </si>
  <si>
    <t>Net cash inflow from operating activities</t>
  </si>
  <si>
    <t>Cash flows from investing activities</t>
  </si>
  <si>
    <t xml:space="preserve">Proceeds on property disposals </t>
  </si>
  <si>
    <t>Purchase of property, plant and equipment</t>
  </si>
  <si>
    <t>Purchase of intangible assets</t>
  </si>
  <si>
    <t xml:space="preserve">(Purchase)/sale of current financial assets </t>
  </si>
  <si>
    <t>Purchase of investment in associates and joint ventures</t>
  </si>
  <si>
    <t xml:space="preserve">Interest received </t>
  </si>
  <si>
    <t>Net cash used in investing activities</t>
  </si>
  <si>
    <t>Cash flows from financing activities</t>
  </si>
  <si>
    <t>interest paid</t>
  </si>
  <si>
    <t>Issuance of medium term notes</t>
  </si>
  <si>
    <t>repayment of lease liabilities</t>
  </si>
  <si>
    <t>payment of liability to the marks &amp; spencer UK pension scheme</t>
  </si>
  <si>
    <t xml:space="preserve">equity dividends paid </t>
  </si>
  <si>
    <t>shares issued on exercise of employee share options</t>
  </si>
  <si>
    <t>proceeds from rights issue net of issue costs</t>
  </si>
  <si>
    <t xml:space="preserve">Purchase of own shares by employee trust </t>
  </si>
  <si>
    <t>Cash received from settlement of derivatives</t>
  </si>
  <si>
    <t>Net cash used in financing activities</t>
  </si>
  <si>
    <t>Net cash inflow/(outflow) from activities</t>
  </si>
  <si>
    <t>Effects of exchange rate changes</t>
  </si>
  <si>
    <t xml:space="preserve">opening net cash </t>
  </si>
  <si>
    <t xml:space="preserve">Closing net cash </t>
  </si>
  <si>
    <t>2018A (£m)</t>
  </si>
  <si>
    <t>2019A (£m)</t>
  </si>
  <si>
    <t>2020A (£m)</t>
  </si>
  <si>
    <t>2021A (£m)</t>
  </si>
  <si>
    <t>2022A (£m)</t>
  </si>
  <si>
    <t>Proceeds on disposal of Hong Kong business</t>
  </si>
  <si>
    <t>Cash inflow/(outflow) from borrowings</t>
  </si>
  <si>
    <t xml:space="preserve">Movement in parent company loan </t>
  </si>
  <si>
    <t xml:space="preserve">Purchase of non-current financial assets </t>
  </si>
  <si>
    <t>Proceeds on disposal of non-current financial assets</t>
  </si>
  <si>
    <t xml:space="preserve">Acquisition of subsidiary, net of cash aquired </t>
  </si>
  <si>
    <t xml:space="preserve">Loans to related parties </t>
  </si>
  <si>
    <t>Assets</t>
  </si>
  <si>
    <t xml:space="preserve">Non-current assets </t>
  </si>
  <si>
    <t xml:space="preserve">Intangible assets </t>
  </si>
  <si>
    <t xml:space="preserve">Property, plant equipment </t>
  </si>
  <si>
    <t xml:space="preserve">Investment property </t>
  </si>
  <si>
    <t xml:space="preserve">Investment in joint ventures and associates </t>
  </si>
  <si>
    <t>Other financial assets</t>
  </si>
  <si>
    <t>Retirement benefit asset</t>
  </si>
  <si>
    <t>Trade and other recievables</t>
  </si>
  <si>
    <t xml:space="preserve">Derivative financial instruments </t>
  </si>
  <si>
    <t>Current Assets</t>
  </si>
  <si>
    <t>Current assets</t>
  </si>
  <si>
    <t xml:space="preserve">Inventories </t>
  </si>
  <si>
    <t xml:space="preserve">Trade and other recievables </t>
  </si>
  <si>
    <t>Current tax assets</t>
  </si>
  <si>
    <t>Cash and cash equivanelts</t>
  </si>
  <si>
    <t>Liabilities</t>
  </si>
  <si>
    <t>Current liabilities</t>
  </si>
  <si>
    <t>Total assets</t>
  </si>
  <si>
    <t xml:space="preserve">Trade and other payables </t>
  </si>
  <si>
    <t>Partnership liability to the Marks &amp; Spencer UK Pension Scheme</t>
  </si>
  <si>
    <t>Borrowings and other financial liabilities</t>
  </si>
  <si>
    <t>Provision</t>
  </si>
  <si>
    <t>Current tax liabilities</t>
  </si>
  <si>
    <t>Non-current liabilities</t>
  </si>
  <si>
    <t xml:space="preserve">Net assets </t>
  </si>
  <si>
    <t>Equity</t>
  </si>
  <si>
    <t xml:space="preserve">Issued share capial </t>
  </si>
  <si>
    <t xml:space="preserve">Share premium account </t>
  </si>
  <si>
    <t xml:space="preserve">Capital redemption reserve </t>
  </si>
  <si>
    <t xml:space="preserve">Hedging reserve </t>
  </si>
  <si>
    <t xml:space="preserve">Cost of hedging reserve </t>
  </si>
  <si>
    <t>Other reserve</t>
  </si>
  <si>
    <t>Foreign exchange reserve</t>
  </si>
  <si>
    <t>Retained earnings</t>
  </si>
  <si>
    <t>Equity attributable to owners of the parent</t>
  </si>
  <si>
    <t xml:space="preserve">Non-controlling interests </t>
  </si>
  <si>
    <t>Total equity</t>
  </si>
  <si>
    <t xml:space="preserve">Retirement benefit deficit </t>
  </si>
  <si>
    <t>Partership liability to the Marks&amp;Spencer UK Pension Scheme</t>
  </si>
  <si>
    <t xml:space="preserve">Derivative financial instrument </t>
  </si>
  <si>
    <t>Deferred tax liabilities</t>
  </si>
  <si>
    <t>Total liabilities</t>
  </si>
  <si>
    <t>Profit/(loss) for the year</t>
  </si>
  <si>
    <t>Attributable to:</t>
  </si>
  <si>
    <t>Non-controlling interests</t>
  </si>
  <si>
    <t xml:space="preserve">Revenue </t>
  </si>
  <si>
    <t>Share of result in associate - Ocado Retail Limited</t>
  </si>
  <si>
    <t>Operating profit/(loss)</t>
  </si>
  <si>
    <t>Finance income</t>
  </si>
  <si>
    <t>Finance costs</t>
  </si>
  <si>
    <t>Profit/(loss) before tax</t>
  </si>
  <si>
    <t>Income tax (expense)/credit</t>
  </si>
  <si>
    <t xml:space="preserve">Owners of the parent </t>
  </si>
  <si>
    <t>Adjusting items</t>
  </si>
  <si>
    <t>Net profit for the year</t>
  </si>
  <si>
    <t>Net Working Capital</t>
  </si>
  <si>
    <t>Fiscal Year</t>
  </si>
  <si>
    <t>Accounts Receivables</t>
  </si>
  <si>
    <t>Merchandise Inventory</t>
  </si>
  <si>
    <t>Other Current Assets</t>
  </si>
  <si>
    <t>Current Liabilities</t>
  </si>
  <si>
    <t>Assumptions</t>
  </si>
  <si>
    <t>Revenue</t>
  </si>
  <si>
    <t>COGS</t>
  </si>
  <si>
    <t>Days Sales Outstanding (DSO)</t>
  </si>
  <si>
    <t>Days Inventory Outstanding (DIO)</t>
  </si>
  <si>
    <t>Days Payable Outstanding (DPO)</t>
  </si>
  <si>
    <t>Other Current Assets as a % of Revenue</t>
  </si>
  <si>
    <t xml:space="preserve">Gross Profit </t>
  </si>
  <si>
    <t>Unlevered Free Cash Flow (mm)</t>
  </si>
  <si>
    <t>Gross Profit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</si>
  <si>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</si>
  <si>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</si>
  <si>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</si>
  <si>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</si>
  <si>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</si>
  <si>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</si>
  <si>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</si>
  <si>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</si>
  <si>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</si>
  <si>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</si>
  <si>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</si>
  <si>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Liabilitites</t>
  </si>
  <si>
    <t>Unlevered Free Cash Flow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</si>
  <si>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</si>
  <si>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</si>
  <si>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</si>
  <si>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</si>
  <si>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</si>
  <si>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</si>
  <si>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</si>
  <si>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</si>
  <si>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</si>
  <si>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</si>
  <si>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</si>
  <si>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Selling and administrative expenses</t>
  </si>
  <si>
    <t>Other operating income</t>
  </si>
  <si>
    <t>Add back Depreciation, amortization and asset impairments and write-offs from SG&amp;A</t>
  </si>
  <si>
    <t>Operating Expenses/Income</t>
  </si>
  <si>
    <t>Operating Expenses/Income % of Revenue</t>
  </si>
  <si>
    <t>UK Pension Scheme as a % of Revenue</t>
  </si>
  <si>
    <t>Borrowings and other financial liabilities as a % of Revenue</t>
  </si>
  <si>
    <t>Derivative financial instruments as a % of Revenue</t>
  </si>
  <si>
    <t>Provision as a % of Revenue</t>
  </si>
  <si>
    <t>Current tax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</si>
  <si>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</si>
  <si>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</si>
  <si>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</si>
  <si>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</si>
  <si>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</si>
  <si>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</si>
  <si>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</si>
  <si>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</si>
  <si>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</si>
  <si>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</si>
  <si>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</si>
  <si>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</si>
  <si>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</si>
  <si>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</si>
  <si>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Weighted Average Cost of Capital (WACC)</t>
  </si>
  <si>
    <t>Cost of Debt</t>
  </si>
  <si>
    <t>Tax Rate</t>
  </si>
  <si>
    <t>D/(D+E)</t>
  </si>
  <si>
    <t>After Tax Cost of Debt</t>
  </si>
  <si>
    <t>Market Risk Premium</t>
  </si>
  <si>
    <t>Levered Beta</t>
  </si>
  <si>
    <t>E/(D+E)</t>
  </si>
  <si>
    <t>Cost of Equity</t>
  </si>
  <si>
    <t>`</t>
  </si>
  <si>
    <t>Risk Free Rate (10-Yrs Government Bond Rate)</t>
  </si>
  <si>
    <t>Implied Share Value</t>
  </si>
  <si>
    <t>Share price M&amp;S</t>
  </si>
  <si>
    <t>2023A (£m)</t>
  </si>
  <si>
    <t>2023A</t>
  </si>
  <si>
    <t>2027E</t>
  </si>
  <si>
    <t>2028E</t>
  </si>
  <si>
    <t>2024E</t>
  </si>
  <si>
    <t>-</t>
  </si>
  <si>
    <t>2025E</t>
  </si>
  <si>
    <t>2026E</t>
  </si>
  <si>
    <t>Shares outstanding (£m)</t>
  </si>
  <si>
    <t>redemption of medium term notes</t>
  </si>
  <si>
    <t>CONSOLIDATED INCOME STATEMENT OF MARKS AND SPENCER</t>
  </si>
  <si>
    <t>CONSOLIDATED STATEMENT OF CASH FLOWS OF MARKS AND SPENCER</t>
  </si>
  <si>
    <t>CONSOLIDATED STATEMENT OF FINANCIAL POSITION OF MARKS AND SPENCER</t>
  </si>
  <si>
    <t>Equity (£m)</t>
  </si>
  <si>
    <t>Debt (£m)</t>
  </si>
  <si>
    <t>Diluted Shares Outstanding £m)</t>
  </si>
  <si>
    <t>£m</t>
  </si>
  <si>
    <t>Market Share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</si>
</sst>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£-809]* #,##0.00_-;\-[$£-809]* #,##0.00_-;_-[$£-809]* &quot;-&quot;??_-;_-@_-"/>
    <numFmt numFmtId="165" formatCode="yyyy\A"/>
    <numFmt numFmtId="166" formatCode="yyyy\E"/>
    <numFmt numFmtId="167" formatCode="0.0"/>
    <numFmt numFmtId="168" formatCode="0.0%"/>
    <numFmt numFmtId="169" formatCode="#,##0.0"/>
    <numFmt numFmtId="170" formatCode="[$£-809]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168" fontId="3" fillId="0" borderId="0" xfId="0" applyNumberFormat="1" applyFont="1"/>
    <xf numFmtId="0" fontId="4" fillId="0" borderId="0" xfId="0" applyFont="1"/>
    <xf numFmtId="4" fontId="0" fillId="0" borderId="0" xfId="0" applyNumberFormat="1"/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170" fontId="7" fillId="0" borderId="0" xfId="0" applyNumberFormat="1" applyFont="1"/>
    <xf numFmtId="164" fontId="8" fillId="0" borderId="0" xfId="0" applyNumberFormat="1" applyFont="1"/>
    <xf numFmtId="0" fontId="9" fillId="0" borderId="0" xfId="0" applyFont="1"/>
    <xf numFmtId="2" fontId="7" fillId="0" borderId="0" xfId="0" applyNumberFormat="1" applyFont="1"/>
    <xf numFmtId="2" fontId="9" fillId="0" borderId="0" xfId="0" applyNumberFormat="1" applyFont="1"/>
    <xf numFmtId="0" fontId="10" fillId="2" borderId="0" xfId="0" applyFont="1" applyFill="1"/>
    <xf numFmtId="0" fontId="7" fillId="3" borderId="1" xfId="0" applyFont="1" applyFill="1" applyBorder="1"/>
    <xf numFmtId="165" fontId="7" fillId="3" borderId="1" xfId="0" applyNumberFormat="1" applyFont="1" applyFill="1" applyBorder="1"/>
    <xf numFmtId="166" fontId="7" fillId="3" borderId="1" xfId="0" applyNumberFormat="1" applyFont="1" applyFill="1" applyBorder="1" applyAlignment="1">
      <alignment horizontal="right"/>
    </xf>
    <xf numFmtId="0" fontId="8" fillId="0" borderId="2" xfId="0" applyFont="1" applyBorder="1"/>
    <xf numFmtId="2" fontId="8" fillId="0" borderId="2" xfId="0" applyNumberFormat="1" applyFont="1" applyBorder="1"/>
    <xf numFmtId="165" fontId="7" fillId="3" borderId="1" xfId="0" applyNumberFormat="1" applyFont="1" applyFill="1" applyBorder="1" applyAlignment="1">
      <alignment horizontal="right"/>
    </xf>
    <xf numFmtId="0" fontId="7" fillId="4" borderId="0" xfId="0" applyFont="1" applyFill="1"/>
    <xf numFmtId="4" fontId="7" fillId="4" borderId="0" xfId="0" applyNumberFormat="1" applyFont="1" applyFill="1"/>
    <xf numFmtId="167" fontId="7" fillId="4" borderId="0" xfId="0" applyNumberFormat="1" applyFont="1" applyFill="1"/>
    <xf numFmtId="168" fontId="7" fillId="4" borderId="0" xfId="0" applyNumberFormat="1" applyFont="1" applyFill="1"/>
    <xf numFmtId="166" fontId="7" fillId="3" borderId="1" xfId="0" applyNumberFormat="1" applyFont="1" applyFill="1" applyBorder="1"/>
    <xf numFmtId="4" fontId="7" fillId="0" borderId="0" xfId="0" applyNumberFormat="1" applyFont="1"/>
    <xf numFmtId="4" fontId="8" fillId="0" borderId="2" xfId="0" applyNumberFormat="1" applyFont="1" applyBorder="1"/>
    <xf numFmtId="3" fontId="7" fillId="0" borderId="0" xfId="0" applyNumberFormat="1" applyFont="1"/>
    <xf numFmtId="168" fontId="7" fillId="0" borderId="0" xfId="0" applyNumberFormat="1" applyFont="1"/>
    <xf numFmtId="2" fontId="7" fillId="0" borderId="1" xfId="0" applyNumberFormat="1" applyFont="1" applyBorder="1"/>
    <xf numFmtId="2" fontId="8" fillId="0" borderId="0" xfId="0" applyNumberFormat="1" applyFont="1"/>
    <xf numFmtId="2" fontId="7" fillId="0" borderId="0" xfId="0" applyNumberFormat="1" applyFont="1" applyAlignment="1">
      <alignment horizontal="left"/>
    </xf>
    <xf numFmtId="2" fontId="8" fillId="5" borderId="2" xfId="0" applyNumberFormat="1" applyFont="1" applyFill="1" applyBorder="1"/>
    <xf numFmtId="10" fontId="7" fillId="4" borderId="0" xfId="1" applyNumberFormat="1" applyFont="1" applyFill="1"/>
    <xf numFmtId="0" fontId="11" fillId="4" borderId="0" xfId="0" applyFont="1" applyFill="1"/>
    <xf numFmtId="9" fontId="7" fillId="0" borderId="0" xfId="1" applyFont="1"/>
    <xf numFmtId="168" fontId="13" fillId="0" borderId="0" xfId="0" applyNumberFormat="1" applyFont="1"/>
    <xf numFmtId="168" fontId="8" fillId="0" borderId="2" xfId="0" applyNumberFormat="1" applyFont="1" applyBorder="1"/>
    <xf numFmtId="168" fontId="8" fillId="0" borderId="0" xfId="0" applyNumberFormat="1" applyFont="1"/>
    <xf numFmtId="0" fontId="14" fillId="0" borderId="0" xfId="0" applyFont="1"/>
    <xf numFmtId="0" fontId="8" fillId="5" borderId="2" xfId="0" applyFont="1" applyFill="1" applyBorder="1"/>
    <xf numFmtId="10" fontId="8" fillId="5" borderId="2" xfId="0" applyNumberFormat="1" applyFont="1" applyFill="1" applyBorder="1"/>
    <xf numFmtId="10" fontId="13" fillId="0" borderId="0" xfId="0" applyNumberFormat="1" applyFont="1"/>
    <xf numFmtId="10" fontId="7" fillId="3" borderId="0" xfId="0" applyNumberFormat="1" applyFont="1" applyFill="1"/>
    <xf numFmtId="4" fontId="7" fillId="3" borderId="0" xfId="0" applyNumberFormat="1" applyFont="1" applyFill="1"/>
    <xf numFmtId="4" fontId="10" fillId="2" borderId="0" xfId="0" applyNumberFormat="1" applyFont="1" applyFill="1"/>
    <xf numFmtId="0" fontId="7" fillId="0" borderId="0" xfId="0" applyFont="1" applyAlignment="1">
      <alignment horizontal="left"/>
    </xf>
    <xf numFmtId="169" fontId="7" fillId="0" borderId="0" xfId="0" applyNumberFormat="1" applyFont="1"/>
    <xf numFmtId="0" fontId="7" fillId="0" borderId="2" xfId="0" applyFont="1" applyBorder="1"/>
    <xf numFmtId="3" fontId="7" fillId="0" borderId="2" xfId="0" applyNumberFormat="1" applyFont="1" applyBorder="1"/>
    <xf numFmtId="2" fontId="13" fillId="0" borderId="0" xfId="0" applyNumberFormat="1" applyFont="1"/>
    <xf numFmtId="4" fontId="8" fillId="5" borderId="2" xfId="0" applyNumberFormat="1" applyFont="1" applyFill="1" applyBorder="1"/>
    <xf numFmtId="1" fontId="7" fillId="0" borderId="0" xfId="0" applyNumberFormat="1" applyFont="1"/>
    <xf numFmtId="0" fontId="7" fillId="3" borderId="0" xfId="0" applyFont="1" applyFill="1"/>
    <xf numFmtId="165" fontId="7" fillId="3" borderId="0" xfId="0" applyNumberFormat="1" applyFont="1" applyFill="1" applyAlignment="1">
      <alignment horizontal="right"/>
    </xf>
    <xf numFmtId="166" fontId="7" fillId="3" borderId="0" xfId="0" applyNumberFormat="1" applyFont="1" applyFill="1" applyAlignment="1">
      <alignment horizontal="right"/>
    </xf>
    <xf numFmtId="10" fontId="0" fillId="0" borderId="0" xfId="0" applyNumberFormat="1"/>
    <xf numFmtId="0" fontId="10" fillId="2" borderId="0" xfId="0" applyFont="1" applyFill="1" applyAlignment="1">
      <alignment horizontal="center"/>
    </xf>
    <xf numFmtId="0" fontId="12" fillId="0" borderId="0" xfId="0" applyFont="1"/>
    <xf numFmtId="0" fontId="10" fillId="2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C5D5-5A94-4C46-AED6-BB12D3E9A29D}">
  <dimension ref="A1:N1002"/>
  <sheetViews>
    <sheetView zoomScale="56" zoomScaleNormal="67" workbookViewId="0">
      <selection activeCell="M10" sqref="M10"/>
    </sheetView>
  </sheetViews>
  <sheetFormatPr defaultColWidth="14.42578125" defaultRowHeight="15" x14ac:dyDescent="0.25"/>
  <cols>
    <col min="1" max="1" width="8.85546875" customWidth="1"/>
    <col min="2" max="2" width="45.42578125" customWidth="1"/>
    <col min="3" max="9" width="10.42578125" customWidth="1"/>
    <col min="10" max="10" width="13.42578125" customWidth="1"/>
    <col min="11" max="11" width="12.28515625" customWidth="1"/>
    <col min="12" max="12" width="13" customWidth="1"/>
    <col min="13" max="28" width="8.85546875" customWidth="1"/>
  </cols>
  <sheetData>
    <row r="1" spans="1:14" ht="14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25" customHeight="1" x14ac:dyDescent="0.25">
      <c r="A2" s="5"/>
      <c r="B2" s="13" t="s">
        <v>109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5"/>
      <c r="N2" s="5"/>
    </row>
    <row r="3" spans="1:14" ht="14.25" customHeight="1" x14ac:dyDescent="0.25">
      <c r="A3" s="5"/>
      <c r="B3" s="14" t="s">
        <v>96</v>
      </c>
      <c r="C3" s="19">
        <v>43830</v>
      </c>
      <c r="D3" s="19">
        <v>44196</v>
      </c>
      <c r="E3" s="19">
        <v>44561</v>
      </c>
      <c r="F3" s="19">
        <v>44926</v>
      </c>
      <c r="G3" s="19" t="s">
        <v>173</v>
      </c>
      <c r="H3" s="19" t="s">
        <v>176</v>
      </c>
      <c r="I3" s="16">
        <v>46022</v>
      </c>
      <c r="J3" s="16">
        <v>46387</v>
      </c>
      <c r="K3" s="16">
        <v>46752</v>
      </c>
      <c r="L3" s="16">
        <v>47118</v>
      </c>
      <c r="M3" s="5"/>
      <c r="N3" s="5"/>
    </row>
    <row r="4" spans="1:14" ht="14.25" customHeight="1" x14ac:dyDescent="0.25">
      <c r="A4" s="5"/>
      <c r="B4" s="53"/>
      <c r="C4" s="54" t="s">
        <v>188</v>
      </c>
      <c r="D4" s="54" t="s">
        <v>188</v>
      </c>
      <c r="E4" s="54" t="s">
        <v>188</v>
      </c>
      <c r="F4" s="54" t="s">
        <v>188</v>
      </c>
      <c r="G4" s="54" t="s">
        <v>188</v>
      </c>
      <c r="H4" s="54" t="s">
        <v>188</v>
      </c>
      <c r="I4" s="54" t="s">
        <v>188</v>
      </c>
      <c r="J4" s="54" t="s">
        <v>188</v>
      </c>
      <c r="K4" s="54" t="s">
        <v>188</v>
      </c>
      <c r="L4" s="54" t="s">
        <v>188</v>
      </c>
      <c r="M4" s="5"/>
      <c r="N4" s="5"/>
    </row>
    <row r="5" spans="1:14" ht="14.25" customHeight="1" x14ac:dyDescent="0.25">
      <c r="A5" s="5"/>
      <c r="B5" s="11" t="s">
        <v>102</v>
      </c>
      <c r="C5" s="11">
        <f>'Income statement'!C3</f>
        <v>10377.299999999999</v>
      </c>
      <c r="D5" s="11">
        <f>'Income statement'!D3</f>
        <v>10181.9</v>
      </c>
      <c r="E5" s="11">
        <f>'Income statement'!E3</f>
        <v>9155.7000000000007</v>
      </c>
      <c r="F5" s="11">
        <f>'Income statement'!F3</f>
        <v>10855.1</v>
      </c>
      <c r="G5" s="11">
        <f>'Income statement'!G3</f>
        <v>11931.3</v>
      </c>
      <c r="H5" s="11">
        <f>G5*(1+H26)</f>
        <v>12662.954351752896</v>
      </c>
      <c r="I5" s="11">
        <f t="shared" ref="I5:L5" si="0">H5*(1+I26)</f>
        <v>14123.73484311046</v>
      </c>
      <c r="J5" s="11">
        <f t="shared" si="0"/>
        <v>15422.286039126117</v>
      </c>
      <c r="K5" s="11">
        <f t="shared" si="0"/>
        <v>16803.207368749281</v>
      </c>
      <c r="L5" s="11">
        <f t="shared" si="0"/>
        <v>18465.830326844691</v>
      </c>
      <c r="M5" s="11"/>
      <c r="N5" s="5"/>
    </row>
    <row r="6" spans="1:14" ht="14.25" customHeight="1" x14ac:dyDescent="0.25">
      <c r="A6" s="5"/>
      <c r="B6" s="29" t="s">
        <v>103</v>
      </c>
      <c r="C6" s="29">
        <f>'Income statement'!C4</f>
        <v>-6547.2</v>
      </c>
      <c r="D6" s="29">
        <f>'Income statement'!D4</f>
        <v>-6746.5</v>
      </c>
      <c r="E6" s="29">
        <f>'Income statement'!E4</f>
        <v>-6244.1</v>
      </c>
      <c r="F6" s="29">
        <f>'Income statement'!F4</f>
        <v>-7130.3</v>
      </c>
      <c r="G6" s="29">
        <f>'Income statement'!G4</f>
        <v>-7786.7</v>
      </c>
      <c r="H6" s="29">
        <f>-H28*H5</f>
        <v>-8406.0074840726247</v>
      </c>
      <c r="I6" s="29">
        <f t="shared" ref="I6:L6" si="1">-I28*I5</f>
        <v>-9290.199367088846</v>
      </c>
      <c r="J6" s="29">
        <f t="shared" si="1"/>
        <v>-10149.030290183486</v>
      </c>
      <c r="K6" s="29">
        <f t="shared" si="1"/>
        <v>-11088.293589774772</v>
      </c>
      <c r="L6" s="29">
        <f t="shared" si="1"/>
        <v>-12161.221905632077</v>
      </c>
      <c r="M6" s="11"/>
      <c r="N6" s="5"/>
    </row>
    <row r="7" spans="1:14" ht="14.25" customHeight="1" x14ac:dyDescent="0.25">
      <c r="A7" s="5"/>
      <c r="B7" s="30" t="s">
        <v>110</v>
      </c>
      <c r="C7" s="30">
        <f>C5+C6</f>
        <v>3830.0999999999995</v>
      </c>
      <c r="D7" s="30">
        <f t="shared" ref="D7:H7" si="2">D5+D6</f>
        <v>3435.3999999999996</v>
      </c>
      <c r="E7" s="30">
        <f t="shared" si="2"/>
        <v>2911.6000000000004</v>
      </c>
      <c r="F7" s="30">
        <f t="shared" si="2"/>
        <v>3724.8</v>
      </c>
      <c r="G7" s="30">
        <f t="shared" si="2"/>
        <v>4144.5999999999995</v>
      </c>
      <c r="H7" s="30">
        <f t="shared" si="2"/>
        <v>4256.9468676802717</v>
      </c>
      <c r="I7" s="30">
        <f t="shared" ref="I7" si="3">I5+I6</f>
        <v>4833.5354760216142</v>
      </c>
      <c r="J7" s="30">
        <f t="shared" ref="J7" si="4">J5+J6</f>
        <v>5273.2557489426308</v>
      </c>
      <c r="K7" s="30">
        <f t="shared" ref="K7" si="5">K5+K6</f>
        <v>5714.9137789745091</v>
      </c>
      <c r="L7" s="30">
        <f t="shared" ref="L7" si="6">L5+L6</f>
        <v>6304.6084212126134</v>
      </c>
      <c r="M7" s="11"/>
      <c r="N7" s="5"/>
    </row>
    <row r="8" spans="1:14" ht="14.25" customHeight="1" x14ac:dyDescent="0.25">
      <c r="A8" s="5"/>
      <c r="B8" s="11" t="s">
        <v>138</v>
      </c>
      <c r="C8" s="11">
        <f>SUM('Income statement'!C9:C11)</f>
        <v>-372.5</v>
      </c>
      <c r="D8" s="11">
        <f>SUM('Income statement'!D9:D11)</f>
        <v>44.599999999999994</v>
      </c>
      <c r="E8" s="11">
        <f>SUM('Income statement'!E9:E11)</f>
        <v>76.600000000000009</v>
      </c>
      <c r="F8" s="11">
        <f>SUM('Income statement'!F9:F11)</f>
        <v>61.499999999999993</v>
      </c>
      <c r="G8" s="11">
        <f>SUM('Income statement'!G9:G11)</f>
        <v>-20.3</v>
      </c>
      <c r="H8" s="11">
        <f>H29*H5</f>
        <v>52.046875409024977</v>
      </c>
      <c r="I8" s="11">
        <f t="shared" ref="I8:L8" si="7">I29*I5</f>
        <v>38.013095094065918</v>
      </c>
      <c r="J8" s="11">
        <f t="shared" si="7"/>
        <v>26.218888015863747</v>
      </c>
      <c r="K8" s="11">
        <f t="shared" si="7"/>
        <v>47.618424760354102</v>
      </c>
      <c r="L8" s="11">
        <f t="shared" si="7"/>
        <v>44.474260548186933</v>
      </c>
      <c r="M8" s="11"/>
      <c r="N8" s="5"/>
    </row>
    <row r="9" spans="1:14" ht="14.25" customHeight="1" x14ac:dyDescent="0.25">
      <c r="A9" s="5"/>
      <c r="B9" s="11" t="s">
        <v>111</v>
      </c>
      <c r="C9" s="11">
        <f>SUM('Income statement'!C7:C8)</f>
        <v>-2726.2</v>
      </c>
      <c r="D9" s="11">
        <f>SUM('Income statement'!D7:D8)</f>
        <v>-2452.7999999999997</v>
      </c>
      <c r="E9" s="11">
        <f>SUM('Income statement'!E7:E8)</f>
        <v>-2227.1999999999998</v>
      </c>
      <c r="F9" s="11">
        <f>SUM('Income statement'!F7:F8)</f>
        <v>-2657.7</v>
      </c>
      <c r="G9" s="11">
        <f>SUM('Income statement'!G7:G8)</f>
        <v>-3030.7999999999997</v>
      </c>
      <c r="H9" s="11">
        <f>-H30*H5</f>
        <v>-3132.4496227051918</v>
      </c>
      <c r="I9" s="11">
        <f t="shared" ref="I9:L9" si="8">-I30*I5</f>
        <v>-3513.1675365472615</v>
      </c>
      <c r="J9" s="11">
        <f t="shared" si="8"/>
        <v>-3856.2613741114887</v>
      </c>
      <c r="K9" s="11">
        <f t="shared" si="8"/>
        <v>-4179.2824790496625</v>
      </c>
      <c r="L9" s="11">
        <f t="shared" si="8"/>
        <v>-4601.1073479108645</v>
      </c>
      <c r="M9" s="11"/>
      <c r="N9" s="5"/>
    </row>
    <row r="10" spans="1:14" ht="14.25" customHeight="1" x14ac:dyDescent="0.25">
      <c r="A10" s="5"/>
      <c r="B10" s="29" t="s">
        <v>112</v>
      </c>
      <c r="C10" s="29">
        <f>SUM(C8:C9)</f>
        <v>-3098.7</v>
      </c>
      <c r="D10" s="29">
        <f t="shared" ref="D10:L10" si="9">SUM(D8:D9)</f>
        <v>-2408.1999999999998</v>
      </c>
      <c r="E10" s="29">
        <f t="shared" si="9"/>
        <v>-2150.6</v>
      </c>
      <c r="F10" s="29">
        <f t="shared" si="9"/>
        <v>-2596.1999999999998</v>
      </c>
      <c r="G10" s="29">
        <f t="shared" si="9"/>
        <v>-3051.1</v>
      </c>
      <c r="H10" s="29">
        <f t="shared" si="9"/>
        <v>-3080.402747296167</v>
      </c>
      <c r="I10" s="29">
        <f t="shared" si="9"/>
        <v>-3475.1544414531954</v>
      </c>
      <c r="J10" s="29">
        <f t="shared" si="9"/>
        <v>-3830.042486095625</v>
      </c>
      <c r="K10" s="29">
        <f t="shared" si="9"/>
        <v>-4131.6640542893083</v>
      </c>
      <c r="L10" s="29">
        <f t="shared" si="9"/>
        <v>-4556.6330873626775</v>
      </c>
      <c r="M10" s="11"/>
      <c r="N10" s="5"/>
    </row>
    <row r="11" spans="1:14" ht="14.25" customHeight="1" x14ac:dyDescent="0.25">
      <c r="A11" s="5"/>
      <c r="B11" s="30" t="s">
        <v>113</v>
      </c>
      <c r="C11" s="30">
        <f>C7+C10</f>
        <v>731.39999999999964</v>
      </c>
      <c r="D11" s="30">
        <f t="shared" ref="D11:L11" si="10">D7+D10</f>
        <v>1027.1999999999998</v>
      </c>
      <c r="E11" s="30">
        <f t="shared" si="10"/>
        <v>761.00000000000045</v>
      </c>
      <c r="F11" s="30">
        <f t="shared" si="10"/>
        <v>1128.6000000000004</v>
      </c>
      <c r="G11" s="30">
        <f t="shared" si="10"/>
        <v>1093.4999999999995</v>
      </c>
      <c r="H11" s="30">
        <f t="shared" si="10"/>
        <v>1176.5441203841046</v>
      </c>
      <c r="I11" s="30">
        <f t="shared" si="10"/>
        <v>1358.3810345684187</v>
      </c>
      <c r="J11" s="30">
        <f t="shared" si="10"/>
        <v>1443.2132628470058</v>
      </c>
      <c r="K11" s="30">
        <f t="shared" si="10"/>
        <v>1583.2497246852008</v>
      </c>
      <c r="L11" s="30">
        <f t="shared" si="10"/>
        <v>1747.9753338499359</v>
      </c>
      <c r="M11" s="11"/>
      <c r="N11" s="5"/>
    </row>
    <row r="12" spans="1:14" ht="14.25" customHeight="1" x14ac:dyDescent="0.25">
      <c r="A12" s="5"/>
      <c r="B12" s="29" t="s">
        <v>114</v>
      </c>
      <c r="C12" s="29">
        <f>-'Income statement'!C8</f>
        <v>-544.9</v>
      </c>
      <c r="D12" s="29">
        <f>-'Income statement'!D8</f>
        <v>-772.4</v>
      </c>
      <c r="E12" s="29">
        <f>-'Income statement'!E8</f>
        <v>-791.7</v>
      </c>
      <c r="F12" s="29">
        <f>-'Income statement'!F8</f>
        <v>-586.4</v>
      </c>
      <c r="G12" s="29">
        <f>-'Income statement'!G8</f>
        <v>-578.4</v>
      </c>
      <c r="H12" s="29">
        <f>-'Fixed Assets'!H6</f>
        <v>-655.67356913677042</v>
      </c>
      <c r="I12" s="29">
        <f>-'Fixed Assets'!I6</f>
        <v>-614.15060498614048</v>
      </c>
      <c r="J12" s="29">
        <f>-'Fixed Assets'!J6</f>
        <v>-624.02892238094807</v>
      </c>
      <c r="K12" s="29">
        <f>-'Fixed Assets'!K6</f>
        <v>-640.24645033558193</v>
      </c>
      <c r="L12" s="29">
        <f>-'Fixed Assets'!L6</f>
        <v>-635.12533851665205</v>
      </c>
      <c r="M12" s="11"/>
      <c r="N12" s="5"/>
    </row>
    <row r="13" spans="1:14" ht="14.25" customHeight="1" x14ac:dyDescent="0.25">
      <c r="A13" s="5"/>
      <c r="B13" s="30" t="s">
        <v>115</v>
      </c>
      <c r="C13" s="30">
        <f>C11+C12</f>
        <v>186.49999999999966</v>
      </c>
      <c r="D13" s="30">
        <f t="shared" ref="D13:I13" si="11">D11+D12</f>
        <v>254.79999999999984</v>
      </c>
      <c r="E13" s="30">
        <f t="shared" si="11"/>
        <v>-30.699999999999591</v>
      </c>
      <c r="F13" s="30">
        <f t="shared" si="11"/>
        <v>542.20000000000039</v>
      </c>
      <c r="G13" s="30">
        <f t="shared" si="11"/>
        <v>515.09999999999957</v>
      </c>
      <c r="H13" s="30">
        <f t="shared" si="11"/>
        <v>520.87055124733422</v>
      </c>
      <c r="I13" s="30">
        <f t="shared" si="11"/>
        <v>744.23042958227825</v>
      </c>
      <c r="J13" s="30">
        <f t="shared" ref="J13" si="12">J11+J12</f>
        <v>819.18434046605773</v>
      </c>
      <c r="K13" s="30">
        <f t="shared" ref="K13" si="13">K11+K12</f>
        <v>943.00327434961889</v>
      </c>
      <c r="L13" s="30">
        <f t="shared" ref="L13" si="14">L11+L12</f>
        <v>1112.8499953332839</v>
      </c>
      <c r="M13" s="11"/>
      <c r="N13" s="5"/>
    </row>
    <row r="14" spans="1:14" ht="14.25" customHeight="1" x14ac:dyDescent="0.25">
      <c r="A14" s="5"/>
      <c r="B14" s="29" t="s">
        <v>116</v>
      </c>
      <c r="C14" s="29">
        <f>'Income statement'!C19</f>
        <v>-50.6</v>
      </c>
      <c r="D14" s="29">
        <f>'Income statement'!D19</f>
        <v>-39.799999999999997</v>
      </c>
      <c r="E14" s="29">
        <f>'Income statement'!E19</f>
        <v>8.1999999999999993</v>
      </c>
      <c r="F14" s="29">
        <f>'Income statement'!F19</f>
        <v>-82.7</v>
      </c>
      <c r="G14" s="29">
        <f>'Income statement'!G19</f>
        <v>-111.2</v>
      </c>
      <c r="H14" s="29">
        <f>-H31*H13</f>
        <v>-110.33915695479028</v>
      </c>
      <c r="I14" s="29">
        <f>-I31*I13</f>
        <v>-143.94488159240154</v>
      </c>
      <c r="J14" s="29">
        <f t="shared" ref="J14:L14" si="15">-J31*J13</f>
        <v>-169.60688990840217</v>
      </c>
      <c r="K14" s="29">
        <f t="shared" si="15"/>
        <v>-192.46510166600189</v>
      </c>
      <c r="L14" s="29">
        <f t="shared" si="15"/>
        <v>-224.26006146938724</v>
      </c>
      <c r="M14" s="11"/>
      <c r="N14" s="5"/>
    </row>
    <row r="15" spans="1:14" ht="14.25" customHeight="1" x14ac:dyDescent="0.25">
      <c r="A15" s="5"/>
      <c r="B15" s="30" t="s">
        <v>117</v>
      </c>
      <c r="C15" s="30">
        <f>C13+C14</f>
        <v>135.89999999999966</v>
      </c>
      <c r="D15" s="30">
        <f t="shared" ref="D15:H15" si="16">D13+D14</f>
        <v>214.99999999999983</v>
      </c>
      <c r="E15" s="30">
        <f t="shared" si="16"/>
        <v>-22.499999999999591</v>
      </c>
      <c r="F15" s="30">
        <f t="shared" si="16"/>
        <v>459.5000000000004</v>
      </c>
      <c r="G15" s="30">
        <f t="shared" si="16"/>
        <v>403.89999999999958</v>
      </c>
      <c r="H15" s="30">
        <f t="shared" si="16"/>
        <v>410.53139429254395</v>
      </c>
      <c r="I15" s="30">
        <f t="shared" ref="I15" si="17">I13+I14</f>
        <v>600.2855479898767</v>
      </c>
      <c r="J15" s="30">
        <f t="shared" ref="J15" si="18">J13+J14</f>
        <v>649.57745055765554</v>
      </c>
      <c r="K15" s="30">
        <f t="shared" ref="K15" si="19">K13+K14</f>
        <v>750.53817268361695</v>
      </c>
      <c r="L15" s="30">
        <f t="shared" ref="L15" si="20">L13+L14</f>
        <v>888.5899338638967</v>
      </c>
      <c r="M15" s="11"/>
      <c r="N15" s="5"/>
    </row>
    <row r="16" spans="1:14" ht="14.25" customHeight="1" x14ac:dyDescent="0.25">
      <c r="A16" s="5"/>
      <c r="B16" s="11" t="s">
        <v>118</v>
      </c>
      <c r="C16" s="11">
        <f>-C12</f>
        <v>544.9</v>
      </c>
      <c r="D16" s="11">
        <f>-D12</f>
        <v>772.4</v>
      </c>
      <c r="E16" s="11">
        <f t="shared" ref="E16:L16" si="21">-E12</f>
        <v>791.7</v>
      </c>
      <c r="F16" s="11">
        <f t="shared" si="21"/>
        <v>586.4</v>
      </c>
      <c r="G16" s="11">
        <f t="shared" si="21"/>
        <v>578.4</v>
      </c>
      <c r="H16" s="11">
        <f>-H12</f>
        <v>655.67356913677042</v>
      </c>
      <c r="I16" s="11">
        <f t="shared" si="21"/>
        <v>614.15060498614048</v>
      </c>
      <c r="J16" s="11">
        <f t="shared" si="21"/>
        <v>624.02892238094807</v>
      </c>
      <c r="K16" s="11">
        <f t="shared" si="21"/>
        <v>640.24645033558193</v>
      </c>
      <c r="L16" s="11">
        <f t="shared" si="21"/>
        <v>635.12533851665205</v>
      </c>
      <c r="M16" s="11"/>
      <c r="N16" s="5"/>
    </row>
    <row r="17" spans="1:14" ht="14.25" customHeight="1" x14ac:dyDescent="0.25">
      <c r="A17" s="5"/>
      <c r="B17" s="11" t="s">
        <v>119</v>
      </c>
      <c r="C17" s="11">
        <f>-'Fixed Assets'!C7</f>
        <v>-1813.3000000000006</v>
      </c>
      <c r="D17" s="11">
        <f>-'Fixed Assets'!D7</f>
        <v>-604.29999999999961</v>
      </c>
      <c r="E17" s="11">
        <f>-'Fixed Assets'!E7</f>
        <v>-356.10000000000059</v>
      </c>
      <c r="F17" s="11">
        <f>-'Fixed Assets'!F7</f>
        <v>-430.0999999999998</v>
      </c>
      <c r="G17" s="11">
        <f>-'Fixed Assets'!G7</f>
        <v>-879.79999999999961</v>
      </c>
      <c r="H17" s="11">
        <f>-'Fixed Assets'!H7</f>
        <v>-571.19993039284498</v>
      </c>
      <c r="I17" s="11">
        <f>-'Fixed Assets'!I7</f>
        <v>-638.63772253211789</v>
      </c>
      <c r="J17" s="11">
        <f>-'Fixed Assets'!J7</f>
        <v>-709.81119539867461</v>
      </c>
      <c r="K17" s="11">
        <f>-'Fixed Assets'!K7</f>
        <v>-649.35813648810517</v>
      </c>
      <c r="L17" s="11">
        <f>-'Fixed Assets'!L7</f>
        <v>-675.6421893690341</v>
      </c>
      <c r="M17" s="11"/>
      <c r="N17" s="5"/>
    </row>
    <row r="18" spans="1:14" ht="14.25" customHeight="1" x14ac:dyDescent="0.25">
      <c r="A18" s="5"/>
      <c r="B18" s="11" t="s">
        <v>120</v>
      </c>
      <c r="C18" s="11">
        <f>C19-('Net Working Capital'!C8-'Net Working Capital'!C16)</f>
        <v>-381.70000000000027</v>
      </c>
      <c r="D18" s="11">
        <f>D19-C19</f>
        <v>255.40000000000009</v>
      </c>
      <c r="E18" s="11">
        <f t="shared" ref="E18:F18" si="22">E19-D19</f>
        <v>-66.200000000000045</v>
      </c>
      <c r="F18" s="11">
        <f t="shared" si="22"/>
        <v>512.10000000000059</v>
      </c>
      <c r="G18" s="11">
        <f t="shared" ref="G18" si="23">G19-F19</f>
        <v>-362.90000000000055</v>
      </c>
      <c r="H18" s="11">
        <f t="shared" ref="H18" si="24">H19-G19</f>
        <v>-32.928742024135317</v>
      </c>
      <c r="I18" s="11">
        <f t="shared" ref="I18" si="25">I19-H19</f>
        <v>82.172506620609965</v>
      </c>
      <c r="J18" s="11">
        <f t="shared" ref="J18" si="26">J19-I19</f>
        <v>-132.80337501998474</v>
      </c>
      <c r="K18" s="11">
        <f t="shared" ref="K18" si="27">K19-J19</f>
        <v>-53.292942516905896</v>
      </c>
      <c r="L18" s="11">
        <f t="shared" ref="L18" si="28">L19-K19</f>
        <v>-36.140327847956087</v>
      </c>
      <c r="M18" s="11"/>
      <c r="N18" s="5"/>
    </row>
    <row r="19" spans="1:14" ht="14.25" customHeight="1" x14ac:dyDescent="0.25">
      <c r="A19" s="5"/>
      <c r="B19" s="31" t="s">
        <v>121</v>
      </c>
      <c r="C19" s="11">
        <f>C20-C21</f>
        <v>-889.80000000000018</v>
      </c>
      <c r="D19" s="11">
        <f t="shared" ref="D19:L19" si="29">D20-D21</f>
        <v>-634.40000000000009</v>
      </c>
      <c r="E19" s="11">
        <f t="shared" si="29"/>
        <v>-700.60000000000014</v>
      </c>
      <c r="F19" s="11">
        <f t="shared" si="29"/>
        <v>-188.49999999999955</v>
      </c>
      <c r="G19" s="11">
        <f t="shared" si="29"/>
        <v>-551.40000000000009</v>
      </c>
      <c r="H19" s="11">
        <f t="shared" si="29"/>
        <v>-584.32874202413541</v>
      </c>
      <c r="I19" s="11">
        <f t="shared" si="29"/>
        <v>-502.15623540352544</v>
      </c>
      <c r="J19" s="11">
        <f t="shared" si="29"/>
        <v>-634.95961042351018</v>
      </c>
      <c r="K19" s="11">
        <f t="shared" si="29"/>
        <v>-688.25255294041608</v>
      </c>
      <c r="L19" s="11">
        <f t="shared" si="29"/>
        <v>-724.39288078837217</v>
      </c>
      <c r="M19" s="11"/>
      <c r="N19" s="5"/>
    </row>
    <row r="20" spans="1:14" ht="14.25" customHeight="1" x14ac:dyDescent="0.25">
      <c r="A20" s="5"/>
      <c r="B20" s="31" t="s">
        <v>49</v>
      </c>
      <c r="C20" s="11">
        <f>'Net Working Capital'!D8</f>
        <v>1460.1</v>
      </c>
      <c r="D20" s="11">
        <f>'Net Working Capital'!E8</f>
        <v>1220.8</v>
      </c>
      <c r="E20" s="11">
        <f>'Net Working Capital'!F8</f>
        <v>1595.2</v>
      </c>
      <c r="F20" s="11">
        <f>'Net Working Capital'!G8</f>
        <v>2182.3000000000002</v>
      </c>
      <c r="G20" s="11">
        <f>'Net Working Capital'!H8</f>
        <v>2155</v>
      </c>
      <c r="H20" s="11">
        <f>'Net Working Capital'!I8</f>
        <v>2361.732432297315</v>
      </c>
      <c r="I20" s="11">
        <f>'Net Working Capital'!J8</f>
        <v>2686.130159589522</v>
      </c>
      <c r="J20" s="11">
        <f>'Net Working Capital'!K8</f>
        <v>2871.225972394172</v>
      </c>
      <c r="K20" s="11">
        <f>'Net Working Capital'!L8</f>
        <v>3152.6466160518385</v>
      </c>
      <c r="L20" s="11">
        <f>'Net Working Capital'!M8</f>
        <v>3471.458754374853</v>
      </c>
      <c r="M20" s="11"/>
      <c r="N20" s="5"/>
    </row>
    <row r="21" spans="1:14" ht="14.25" customHeight="1" x14ac:dyDescent="0.25">
      <c r="A21" s="5"/>
      <c r="B21" s="31" t="s">
        <v>122</v>
      </c>
      <c r="C21" s="11">
        <f>'Net Working Capital'!D16</f>
        <v>2349.9</v>
      </c>
      <c r="D21" s="11">
        <f>'Net Working Capital'!E16</f>
        <v>1855.2</v>
      </c>
      <c r="E21" s="11">
        <f>'Net Working Capital'!F16</f>
        <v>2295.8000000000002</v>
      </c>
      <c r="F21" s="11">
        <f>'Net Working Capital'!G16</f>
        <v>2370.7999999999997</v>
      </c>
      <c r="G21" s="11">
        <f>'Net Working Capital'!H16</f>
        <v>2706.4</v>
      </c>
      <c r="H21" s="11">
        <f>'Net Working Capital'!I16</f>
        <v>2946.0611743214504</v>
      </c>
      <c r="I21" s="11">
        <f>'Net Working Capital'!J16</f>
        <v>3188.2863949930475</v>
      </c>
      <c r="J21" s="11">
        <f>'Net Working Capital'!K16</f>
        <v>3506.1855828176822</v>
      </c>
      <c r="K21" s="11">
        <f>'Net Working Capital'!L16</f>
        <v>3840.8991689922545</v>
      </c>
      <c r="L21" s="11">
        <f>'Net Working Capital'!M16</f>
        <v>4195.8516351632252</v>
      </c>
      <c r="M21" s="11"/>
      <c r="N21" s="5"/>
    </row>
    <row r="22" spans="1:14" ht="14.25" customHeight="1" x14ac:dyDescent="0.25">
      <c r="A22" s="5"/>
      <c r="B22" s="32" t="s">
        <v>123</v>
      </c>
      <c r="C22" s="32">
        <f>C15+C16+C17+C18</f>
        <v>-1514.2000000000012</v>
      </c>
      <c r="D22" s="32">
        <f t="shared" ref="D22:L22" si="30">D15+D16+D17+D18</f>
        <v>638.50000000000034</v>
      </c>
      <c r="E22" s="32">
        <f t="shared" si="30"/>
        <v>346.89999999999986</v>
      </c>
      <c r="F22" s="32">
        <f t="shared" si="30"/>
        <v>1127.900000000001</v>
      </c>
      <c r="G22" s="32">
        <f t="shared" si="30"/>
        <v>-260.40000000000066</v>
      </c>
      <c r="H22" s="32">
        <f t="shared" si="30"/>
        <v>462.07629101233408</v>
      </c>
      <c r="I22" s="32">
        <f t="shared" si="30"/>
        <v>657.97093706450926</v>
      </c>
      <c r="J22" s="32">
        <f t="shared" si="30"/>
        <v>430.99180251994437</v>
      </c>
      <c r="K22" s="32">
        <f t="shared" si="30"/>
        <v>688.13354401418792</v>
      </c>
      <c r="L22" s="32">
        <f t="shared" si="30"/>
        <v>811.93275516355868</v>
      </c>
      <c r="M22" s="11"/>
      <c r="N22" s="5"/>
    </row>
    <row r="23" spans="1:14" ht="14.25" customHeight="1" x14ac:dyDescent="0.25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5"/>
    </row>
    <row r="24" spans="1:14" ht="14.25" customHeight="1" x14ac:dyDescent="0.25">
      <c r="A24" s="5"/>
      <c r="B24" s="13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5"/>
      <c r="N24" s="5"/>
    </row>
    <row r="25" spans="1:14" ht="14.25" customHeight="1" x14ac:dyDescent="0.25">
      <c r="A25" s="5"/>
      <c r="B25" s="14" t="str">
        <f t="shared" ref="B25:L25" si="31">B3</f>
        <v>Fiscal Year</v>
      </c>
      <c r="C25" s="19">
        <f t="shared" si="31"/>
        <v>43830</v>
      </c>
      <c r="D25" s="19">
        <f t="shared" si="31"/>
        <v>44196</v>
      </c>
      <c r="E25" s="19">
        <f t="shared" si="31"/>
        <v>44561</v>
      </c>
      <c r="F25" s="19">
        <f t="shared" si="31"/>
        <v>44926</v>
      </c>
      <c r="G25" s="19" t="s">
        <v>173</v>
      </c>
      <c r="H25" s="19" t="s">
        <v>176</v>
      </c>
      <c r="I25" s="16" t="s">
        <v>178</v>
      </c>
      <c r="J25" s="16" t="s">
        <v>179</v>
      </c>
      <c r="K25" s="16">
        <f t="shared" si="31"/>
        <v>46752</v>
      </c>
      <c r="L25" s="16">
        <f t="shared" si="31"/>
        <v>47118</v>
      </c>
      <c r="M25" s="5"/>
      <c r="N25" s="5"/>
    </row>
    <row r="26" spans="1:14" ht="14.25" customHeight="1" x14ac:dyDescent="0.25">
      <c r="A26" s="5"/>
      <c r="B26" s="20" t="s">
        <v>124</v>
      </c>
      <c r="C26" s="33">
        <f>'Income statement'!C3/'Income statement'!B3-1</f>
        <v>-2.9995700211250642E-2</v>
      </c>
      <c r="D26" s="23">
        <f>D5/C5-1</f>
        <v>-1.8829560675705626E-2</v>
      </c>
      <c r="E26" s="23">
        <f t="shared" ref="E26:G26" si="32">E5/D5-1</f>
        <v>-0.1007866901069544</v>
      </c>
      <c r="F26" s="23">
        <f t="shared" si="32"/>
        <v>0.18561114933866318</v>
      </c>
      <c r="G26" s="23">
        <f t="shared" si="32"/>
        <v>9.9142338624240933E-2</v>
      </c>
      <c r="H26" s="23">
        <f>AVERAGE(E26:G26)</f>
        <v>6.1322265951983236E-2</v>
      </c>
      <c r="I26" s="23">
        <f t="shared" ref="I26:L26" si="33">AVERAGE(F26:H26)</f>
        <v>0.11535858463829579</v>
      </c>
      <c r="J26" s="23">
        <f t="shared" si="33"/>
        <v>9.1941063071506665E-2</v>
      </c>
      <c r="K26" s="23">
        <f t="shared" si="33"/>
        <v>8.9540637887261895E-2</v>
      </c>
      <c r="L26" s="23">
        <f t="shared" si="33"/>
        <v>9.8946761865688126E-2</v>
      </c>
      <c r="M26" s="5"/>
      <c r="N26" s="5"/>
    </row>
    <row r="27" spans="1:14" ht="14.25" customHeight="1" x14ac:dyDescent="0.25">
      <c r="A27" s="5"/>
      <c r="B27" s="20"/>
      <c r="C27" s="20"/>
      <c r="D27" s="20"/>
      <c r="E27" s="20"/>
      <c r="F27" s="20"/>
      <c r="G27" s="20"/>
      <c r="H27" s="20"/>
      <c r="I27" s="34"/>
      <c r="J27" s="34"/>
      <c r="K27" s="34"/>
      <c r="L27" s="34"/>
      <c r="M27" s="5"/>
      <c r="N27" s="5"/>
    </row>
    <row r="28" spans="1:14" ht="14.25" customHeight="1" x14ac:dyDescent="0.25">
      <c r="A28" s="5"/>
      <c r="B28" s="20" t="s">
        <v>125</v>
      </c>
      <c r="C28" s="23">
        <f>-C6/C5</f>
        <v>0.6309155560694979</v>
      </c>
      <c r="D28" s="23">
        <f t="shared" ref="D28:G28" si="34">-D6/D5</f>
        <v>0.66259735412840437</v>
      </c>
      <c r="E28" s="23">
        <f t="shared" si="34"/>
        <v>0.68199045403409897</v>
      </c>
      <c r="F28" s="23">
        <f t="shared" si="34"/>
        <v>0.65686175161905458</v>
      </c>
      <c r="G28" s="23">
        <f t="shared" si="34"/>
        <v>0.65262796174767213</v>
      </c>
      <c r="H28" s="23">
        <f>AVERAGE(E28:G28)</f>
        <v>0.66382672246694197</v>
      </c>
      <c r="I28" s="23">
        <f t="shared" ref="I28:L31" si="35">AVERAGE(F28:H28)</f>
        <v>0.65777214527788963</v>
      </c>
      <c r="J28" s="23">
        <f t="shared" si="35"/>
        <v>0.65807560983083457</v>
      </c>
      <c r="K28" s="23">
        <f t="shared" si="35"/>
        <v>0.65989149252522206</v>
      </c>
      <c r="L28" s="23">
        <f t="shared" si="35"/>
        <v>0.65857974921131535</v>
      </c>
      <c r="M28" s="5"/>
      <c r="N28" s="5"/>
    </row>
    <row r="29" spans="1:14" ht="14.25" customHeight="1" x14ac:dyDescent="0.25">
      <c r="A29" s="5"/>
      <c r="B29" s="20" t="s">
        <v>139</v>
      </c>
      <c r="C29" s="23">
        <f>C8/C5</f>
        <v>-3.5895656866429614E-2</v>
      </c>
      <c r="D29" s="23">
        <f t="shared" ref="D29:G29" si="36">D8/D5</f>
        <v>4.3803219438415227E-3</v>
      </c>
      <c r="E29" s="23">
        <f t="shared" si="36"/>
        <v>8.3663728606223446E-3</v>
      </c>
      <c r="F29" s="23">
        <f t="shared" si="36"/>
        <v>5.6655397002330693E-3</v>
      </c>
      <c r="G29" s="23">
        <f t="shared" si="36"/>
        <v>-1.7014072230184475E-3</v>
      </c>
      <c r="H29" s="23">
        <f t="shared" ref="H29:H31" si="37">AVERAGE(E29:G29)</f>
        <v>4.1101684459456554E-3</v>
      </c>
      <c r="I29" s="23">
        <f t="shared" si="35"/>
        <v>2.6914336410534256E-3</v>
      </c>
      <c r="J29" s="23">
        <f t="shared" si="35"/>
        <v>1.7000649546602112E-3</v>
      </c>
      <c r="K29" s="23">
        <f t="shared" si="35"/>
        <v>2.8338890138864307E-3</v>
      </c>
      <c r="L29" s="23">
        <f t="shared" si="35"/>
        <v>2.408462536533356E-3</v>
      </c>
      <c r="M29" s="5"/>
      <c r="N29" s="5"/>
    </row>
    <row r="30" spans="1:14" ht="14.25" customHeight="1" x14ac:dyDescent="0.25">
      <c r="A30" s="5"/>
      <c r="B30" s="20" t="s">
        <v>126</v>
      </c>
      <c r="C30" s="23">
        <f>-C9/C5</f>
        <v>0.26270802617251116</v>
      </c>
      <c r="D30" s="23">
        <f t="shared" ref="D30:G30" si="38">-D9/D5</f>
        <v>0.24089806421198398</v>
      </c>
      <c r="E30" s="23">
        <f t="shared" si="38"/>
        <v>0.24325829810937444</v>
      </c>
      <c r="F30" s="23">
        <f t="shared" si="38"/>
        <v>0.24483422538714519</v>
      </c>
      <c r="G30" s="23">
        <f t="shared" si="38"/>
        <v>0.25402093652829111</v>
      </c>
      <c r="H30" s="23">
        <f t="shared" si="37"/>
        <v>0.24737115334160356</v>
      </c>
      <c r="I30" s="23">
        <f t="shared" si="35"/>
        <v>0.24874210508567995</v>
      </c>
      <c r="J30" s="23">
        <f t="shared" si="35"/>
        <v>0.2500447316518582</v>
      </c>
      <c r="K30" s="23">
        <f t="shared" si="35"/>
        <v>0.24871933002638058</v>
      </c>
      <c r="L30" s="23">
        <f t="shared" si="35"/>
        <v>0.24916872225463957</v>
      </c>
      <c r="M30" s="5"/>
      <c r="N30" s="5"/>
    </row>
    <row r="31" spans="1:14" ht="14.25" customHeight="1" x14ac:dyDescent="0.25">
      <c r="A31" s="5"/>
      <c r="B31" s="20" t="s">
        <v>127</v>
      </c>
      <c r="C31" s="23">
        <f>-C14/C13</f>
        <v>0.2713136729222525</v>
      </c>
      <c r="D31" s="23">
        <f t="shared" ref="D31:G31" si="39">-D14/D13</f>
        <v>0.15620094191522771</v>
      </c>
      <c r="E31" s="23">
        <f t="shared" si="39"/>
        <v>0.26710097719870063</v>
      </c>
      <c r="F31" s="23">
        <f t="shared" si="39"/>
        <v>0.15252674289929904</v>
      </c>
      <c r="G31" s="23">
        <f t="shared" si="39"/>
        <v>0.215880411570569</v>
      </c>
      <c r="H31" s="23">
        <f t="shared" si="37"/>
        <v>0.2118360438895229</v>
      </c>
      <c r="I31" s="23">
        <f t="shared" si="35"/>
        <v>0.19341439945313033</v>
      </c>
      <c r="J31" s="23">
        <f t="shared" si="35"/>
        <v>0.2070436183044074</v>
      </c>
      <c r="K31" s="23">
        <f t="shared" si="35"/>
        <v>0.20409802054902024</v>
      </c>
      <c r="L31" s="23">
        <f t="shared" si="35"/>
        <v>0.20151867943551935</v>
      </c>
      <c r="M31" s="5"/>
      <c r="N31" s="5"/>
    </row>
    <row r="32" spans="1:14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4.25" customHeight="1" x14ac:dyDescent="0.25"/>
    <row r="37" spans="1:14" ht="14.25" customHeight="1" x14ac:dyDescent="0.25"/>
    <row r="38" spans="1:14" ht="14.25" customHeight="1" x14ac:dyDescent="0.25"/>
    <row r="39" spans="1:14" ht="14.25" customHeight="1" x14ac:dyDescent="0.25"/>
    <row r="40" spans="1:14" ht="14.25" customHeight="1" x14ac:dyDescent="0.25"/>
    <row r="41" spans="1:14" ht="14.25" customHeight="1" x14ac:dyDescent="0.25"/>
    <row r="42" spans="1:14" ht="14.25" customHeight="1" x14ac:dyDescent="0.25"/>
    <row r="43" spans="1:14" ht="14.25" customHeight="1" x14ac:dyDescent="0.25"/>
    <row r="44" spans="1:14" ht="14.25" customHeight="1" x14ac:dyDescent="0.25"/>
    <row r="45" spans="1:14" ht="14.25" customHeight="1" x14ac:dyDescent="0.25"/>
    <row r="46" spans="1:14" ht="14.25" customHeight="1" x14ac:dyDescent="0.25"/>
    <row r="47" spans="1:14" ht="14.25" customHeight="1" x14ac:dyDescent="0.25"/>
    <row r="48" spans="1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FBF6-784D-402C-A101-C0CE8D479DEE}">
  <dimension ref="A1:M1001"/>
  <sheetViews>
    <sheetView zoomScale="111" workbookViewId="0">
      <selection activeCell="G15" sqref="G15"/>
    </sheetView>
  </sheetViews>
  <sheetFormatPr defaultColWidth="14.42578125" defaultRowHeight="15" x14ac:dyDescent="0.25"/>
  <cols>
    <col min="1" max="1" width="8.85546875" customWidth="1"/>
    <col min="2" max="2" width="35" customWidth="1"/>
    <col min="3" max="3" width="10.85546875" customWidth="1"/>
    <col min="4" max="4" width="11.28515625" customWidth="1"/>
    <col min="5" max="5" width="11.85546875" customWidth="1"/>
    <col min="6" max="6" width="12.7109375" customWidth="1"/>
    <col min="7" max="7" width="10.42578125" customWidth="1"/>
    <col min="8" max="8" width="10.7109375" customWidth="1"/>
    <col min="9" max="10" width="10" customWidth="1"/>
    <col min="11" max="11" width="10.28515625" customWidth="1"/>
    <col min="12" max="12" width="12" customWidth="1"/>
    <col min="13" max="26" width="8.85546875" customWidth="1"/>
  </cols>
  <sheetData>
    <row r="1" spans="1:13" ht="14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.25" customHeight="1" x14ac:dyDescent="0.25">
      <c r="A2" s="5"/>
      <c r="B2" s="13" t="s">
        <v>128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5"/>
    </row>
    <row r="3" spans="1:13" ht="14.25" customHeight="1" x14ac:dyDescent="0.25">
      <c r="A3" s="5"/>
      <c r="B3" s="14" t="s">
        <v>96</v>
      </c>
      <c r="C3" s="15">
        <v>43830</v>
      </c>
      <c r="D3" s="15">
        <v>44196</v>
      </c>
      <c r="E3" s="15">
        <v>44561</v>
      </c>
      <c r="F3" s="15">
        <v>44926</v>
      </c>
      <c r="G3" s="16" t="s">
        <v>173</v>
      </c>
      <c r="H3" s="24">
        <v>45657</v>
      </c>
      <c r="I3" s="24">
        <v>46022</v>
      </c>
      <c r="J3" s="24">
        <v>46387</v>
      </c>
      <c r="K3" s="16" t="s">
        <v>174</v>
      </c>
      <c r="L3" s="16" t="s">
        <v>175</v>
      </c>
      <c r="M3" s="5"/>
    </row>
    <row r="4" spans="1:13" ht="14.25" customHeight="1" x14ac:dyDescent="0.25">
      <c r="A4" s="5"/>
      <c r="B4" s="53"/>
      <c r="C4" s="54" t="s">
        <v>188</v>
      </c>
      <c r="D4" s="54" t="s">
        <v>188</v>
      </c>
      <c r="E4" s="54" t="s">
        <v>188</v>
      </c>
      <c r="F4" s="54" t="s">
        <v>188</v>
      </c>
      <c r="G4" s="54" t="s">
        <v>188</v>
      </c>
      <c r="H4" s="55" t="s">
        <v>188</v>
      </c>
      <c r="I4" s="55" t="s">
        <v>188</v>
      </c>
      <c r="J4" s="55" t="s">
        <v>188</v>
      </c>
      <c r="K4" s="55" t="s">
        <v>188</v>
      </c>
      <c r="L4" s="55" t="s">
        <v>188</v>
      </c>
    </row>
    <row r="5" spans="1:13" ht="14.25" customHeight="1" x14ac:dyDescent="0.25">
      <c r="A5" s="5"/>
      <c r="B5" s="5" t="s">
        <v>129</v>
      </c>
      <c r="C5" s="25">
        <f>'Balance sheet'!B6</f>
        <v>4393.8999999999996</v>
      </c>
      <c r="D5" s="25">
        <f>'Balance sheet'!C6</f>
        <v>5662.3</v>
      </c>
      <c r="E5" s="25">
        <f>'Balance sheet'!D6</f>
        <v>5494.2</v>
      </c>
      <c r="F5" s="25">
        <f>'Balance sheet'!E6</f>
        <v>5058.6000000000004</v>
      </c>
      <c r="G5" s="25">
        <f>F8</f>
        <v>4902.3</v>
      </c>
      <c r="H5" s="25">
        <f t="shared" ref="H5:L5" si="0">G8</f>
        <v>5203.7</v>
      </c>
      <c r="I5" s="25">
        <f t="shared" si="0"/>
        <v>5119.2263612560746</v>
      </c>
      <c r="J5" s="25">
        <f t="shared" si="0"/>
        <v>5143.7134788020521</v>
      </c>
      <c r="K5" s="25">
        <f t="shared" si="0"/>
        <v>5229.4957518197789</v>
      </c>
      <c r="L5" s="25">
        <f t="shared" si="0"/>
        <v>5238.6074379723013</v>
      </c>
      <c r="M5" s="5"/>
    </row>
    <row r="6" spans="1:13" ht="14.25" customHeight="1" x14ac:dyDescent="0.25">
      <c r="A6" s="5"/>
      <c r="B6" s="5" t="s">
        <v>130</v>
      </c>
      <c r="C6" s="25">
        <f>-'Free Cash Flow'!C12</f>
        <v>544.9</v>
      </c>
      <c r="D6" s="25">
        <f>-'Free Cash Flow'!D12</f>
        <v>772.4</v>
      </c>
      <c r="E6" s="25">
        <f>-'Free Cash Flow'!E12</f>
        <v>791.7</v>
      </c>
      <c r="F6" s="25">
        <f>-'Free Cash Flow'!F12</f>
        <v>586.4</v>
      </c>
      <c r="G6" s="25">
        <f>-'Free Cash Flow'!G12</f>
        <v>578.4</v>
      </c>
      <c r="H6" s="25">
        <f t="shared" ref="H6:L6" si="1">H12*H5</f>
        <v>655.67356913677042</v>
      </c>
      <c r="I6" s="25">
        <f t="shared" si="1"/>
        <v>614.15060498614048</v>
      </c>
      <c r="J6" s="25">
        <f t="shared" si="1"/>
        <v>624.02892238094807</v>
      </c>
      <c r="K6" s="25">
        <f t="shared" si="1"/>
        <v>640.24645033558193</v>
      </c>
      <c r="L6" s="25">
        <f t="shared" si="1"/>
        <v>635.12533851665205</v>
      </c>
      <c r="M6" s="5"/>
    </row>
    <row r="7" spans="1:13" ht="14.25" customHeight="1" x14ac:dyDescent="0.25">
      <c r="A7" s="5"/>
      <c r="B7" s="5" t="s">
        <v>131</v>
      </c>
      <c r="C7" s="25">
        <f>C8-C5+C6</f>
        <v>1813.3000000000006</v>
      </c>
      <c r="D7" s="25">
        <f t="shared" ref="D7:E7" si="2">D8-D5+D6</f>
        <v>604.29999999999961</v>
      </c>
      <c r="E7" s="25">
        <f t="shared" si="2"/>
        <v>356.10000000000059</v>
      </c>
      <c r="F7" s="25">
        <f>F8-F5+F6</f>
        <v>430.0999999999998</v>
      </c>
      <c r="G7" s="25">
        <f>G8-G5+G6</f>
        <v>879.79999999999961</v>
      </c>
      <c r="H7" s="25">
        <f t="shared" ref="H7:L7" si="3">H13*H5</f>
        <v>571.19993039284498</v>
      </c>
      <c r="I7" s="25">
        <f t="shared" si="3"/>
        <v>638.63772253211789</v>
      </c>
      <c r="J7" s="25">
        <f t="shared" si="3"/>
        <v>709.81119539867461</v>
      </c>
      <c r="K7" s="25">
        <f t="shared" si="3"/>
        <v>649.35813648810517</v>
      </c>
      <c r="L7" s="25">
        <f t="shared" si="3"/>
        <v>675.6421893690341</v>
      </c>
      <c r="M7" s="5"/>
    </row>
    <row r="8" spans="1:13" ht="14.25" customHeight="1" x14ac:dyDescent="0.25">
      <c r="A8" s="5"/>
      <c r="B8" s="17" t="s">
        <v>132</v>
      </c>
      <c r="C8" s="26">
        <f>'Balance sheet'!C6</f>
        <v>5662.3</v>
      </c>
      <c r="D8" s="26">
        <f>'Balance sheet'!D6</f>
        <v>5494.2</v>
      </c>
      <c r="E8" s="26">
        <f>'Balance sheet'!E6</f>
        <v>5058.6000000000004</v>
      </c>
      <c r="F8" s="26">
        <f>'Balance sheet'!F6</f>
        <v>4902.3</v>
      </c>
      <c r="G8" s="26">
        <f>'Balance sheet'!G6</f>
        <v>5203.7</v>
      </c>
      <c r="H8" s="26">
        <f t="shared" ref="H8:L8" si="4">H5-H6+H7</f>
        <v>5119.2263612560746</v>
      </c>
      <c r="I8" s="26">
        <f t="shared" si="4"/>
        <v>5143.7134788020521</v>
      </c>
      <c r="J8" s="26">
        <f t="shared" si="4"/>
        <v>5229.4957518197789</v>
      </c>
      <c r="K8" s="26">
        <f t="shared" si="4"/>
        <v>5238.6074379723013</v>
      </c>
      <c r="L8" s="26">
        <f t="shared" si="4"/>
        <v>5279.1242888246834</v>
      </c>
      <c r="M8" s="5"/>
    </row>
    <row r="9" spans="1:13" ht="14.25" customHeight="1" x14ac:dyDescent="0.25">
      <c r="A9" s="5"/>
      <c r="B9" s="5"/>
      <c r="C9" s="5"/>
      <c r="D9" s="5"/>
      <c r="E9" s="27"/>
      <c r="F9" s="5"/>
      <c r="G9" s="5"/>
      <c r="H9" s="5"/>
      <c r="I9" s="5"/>
      <c r="J9" s="5"/>
      <c r="K9" s="5"/>
      <c r="L9" s="5"/>
      <c r="M9" s="5"/>
    </row>
    <row r="10" spans="1:13" ht="14.25" customHeight="1" x14ac:dyDescent="0.25">
      <c r="A10" s="5"/>
      <c r="B10" s="13" t="s">
        <v>101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5"/>
    </row>
    <row r="11" spans="1:13" ht="14.25" customHeight="1" x14ac:dyDescent="0.25">
      <c r="A11" s="5"/>
      <c r="B11" s="14" t="s">
        <v>96</v>
      </c>
      <c r="C11" s="15">
        <v>43830</v>
      </c>
      <c r="D11" s="15">
        <v>44196</v>
      </c>
      <c r="E11" s="15">
        <v>44561</v>
      </c>
      <c r="F11" s="15">
        <v>44926</v>
      </c>
      <c r="G11" s="16" t="s">
        <v>173</v>
      </c>
      <c r="H11" s="24">
        <v>45657</v>
      </c>
      <c r="I11" s="24">
        <v>46022</v>
      </c>
      <c r="J11" s="24">
        <v>46387</v>
      </c>
      <c r="K11" s="16" t="s">
        <v>174</v>
      </c>
      <c r="L11" s="16" t="s">
        <v>175</v>
      </c>
      <c r="M11" s="5"/>
    </row>
    <row r="12" spans="1:13" ht="14.25" customHeight="1" x14ac:dyDescent="0.25">
      <c r="A12" s="5"/>
      <c r="B12" s="20" t="s">
        <v>133</v>
      </c>
      <c r="C12" s="23">
        <f t="shared" ref="C12:G12" si="5">C6/C5</f>
        <v>0.12401283597715014</v>
      </c>
      <c r="D12" s="23">
        <f t="shared" si="5"/>
        <v>0.1364109990639846</v>
      </c>
      <c r="E12" s="23">
        <f t="shared" si="5"/>
        <v>0.14409741181609698</v>
      </c>
      <c r="F12" s="23">
        <f t="shared" si="5"/>
        <v>0.11592140117819158</v>
      </c>
      <c r="G12" s="23">
        <f t="shared" si="5"/>
        <v>0.11798543540786977</v>
      </c>
      <c r="H12" s="23">
        <f t="shared" ref="H12" si="6">AVERAGE(E12:G12)</f>
        <v>0.12600141613405277</v>
      </c>
      <c r="I12" s="23">
        <f t="shared" ref="I12:I13" si="7">AVERAGE(F12:H12)</f>
        <v>0.11996941757337137</v>
      </c>
      <c r="J12" s="23">
        <f t="shared" ref="J12:J13" si="8">AVERAGE(G12:I12)</f>
        <v>0.12131875637176463</v>
      </c>
      <c r="K12" s="23">
        <f t="shared" ref="K12:K13" si="9">AVERAGE(H12:J12)</f>
        <v>0.12242986335972959</v>
      </c>
      <c r="L12" s="23">
        <f t="shared" ref="L12:L13" si="10">AVERAGE(I12:K12)</f>
        <v>0.12123934576828854</v>
      </c>
      <c r="M12" s="5"/>
    </row>
    <row r="13" spans="1:13" ht="14.25" customHeight="1" x14ac:dyDescent="0.25">
      <c r="A13" s="5"/>
      <c r="B13" s="20" t="s">
        <v>134</v>
      </c>
      <c r="C13" s="23">
        <f>C7/C5</f>
        <v>0.41268576890689385</v>
      </c>
      <c r="D13" s="23">
        <f t="shared" ref="D13:G13" si="11">D7/D5</f>
        <v>0.10672341627960362</v>
      </c>
      <c r="E13" s="23">
        <f t="shared" si="11"/>
        <v>6.4813803647482904E-2</v>
      </c>
      <c r="F13" s="23">
        <f t="shared" si="11"/>
        <v>8.5023524295259514E-2</v>
      </c>
      <c r="G13" s="23">
        <f t="shared" si="11"/>
        <v>0.17946678089876172</v>
      </c>
      <c r="H13" s="23">
        <f t="shared" ref="H13" si="12">AVERAGE(E13:G13)</f>
        <v>0.10976803628050137</v>
      </c>
      <c r="I13" s="23">
        <f t="shared" si="7"/>
        <v>0.12475278049150752</v>
      </c>
      <c r="J13" s="23">
        <f t="shared" si="8"/>
        <v>0.13799586589025686</v>
      </c>
      <c r="K13" s="23">
        <f t="shared" si="9"/>
        <v>0.12417222755408859</v>
      </c>
      <c r="L13" s="23">
        <f t="shared" si="10"/>
        <v>0.12897362464528431</v>
      </c>
      <c r="M13" s="5"/>
    </row>
    <row r="14" spans="1:13" ht="14.25" customHeight="1" x14ac:dyDescent="0.25">
      <c r="A14" s="5"/>
      <c r="B14" s="5"/>
      <c r="C14" s="28"/>
      <c r="D14" s="28"/>
      <c r="E14" s="28"/>
      <c r="F14" s="28"/>
      <c r="G14" s="28"/>
      <c r="H14" s="28"/>
      <c r="I14" s="28"/>
      <c r="J14" s="28"/>
      <c r="K14" s="5"/>
      <c r="L14" s="5"/>
      <c r="M14" s="5"/>
    </row>
    <row r="15" spans="1:13" ht="14.25" customHeight="1" x14ac:dyDescent="0.25">
      <c r="A15" s="5"/>
      <c r="B15" s="5"/>
      <c r="C15" s="28"/>
      <c r="D15" s="28"/>
      <c r="E15" s="28"/>
      <c r="F15" s="28"/>
      <c r="G15" s="28"/>
      <c r="H15" s="28"/>
      <c r="I15" s="28"/>
      <c r="J15" s="28"/>
      <c r="K15" s="5"/>
      <c r="L15" s="5"/>
      <c r="M15" s="5"/>
    </row>
    <row r="16" spans="1:13" ht="14.25" customHeight="1" x14ac:dyDescent="0.25">
      <c r="C16" s="2"/>
      <c r="D16" s="2"/>
      <c r="E16" s="2"/>
      <c r="F16" s="2"/>
      <c r="G16" s="2"/>
      <c r="H16" s="2"/>
      <c r="I16" s="2"/>
      <c r="J16" s="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C18-8EAC-46B2-BCF1-331925C55B15}">
  <dimension ref="A1:P1004"/>
  <sheetViews>
    <sheetView topLeftCell="A9" zoomScale="91" workbookViewId="0">
      <selection activeCell="O12" sqref="O12"/>
    </sheetView>
  </sheetViews>
  <sheetFormatPr defaultColWidth="14.42578125" defaultRowHeight="15" x14ac:dyDescent="0.25"/>
  <cols>
    <col min="1" max="1" width="8.85546875" customWidth="1"/>
    <col min="2" max="2" width="51.140625" bestFit="1" customWidth="1"/>
    <col min="3" max="3" width="11.7109375" customWidth="1"/>
    <col min="4" max="4" width="10.28515625" customWidth="1"/>
    <col min="5" max="5" width="11" customWidth="1"/>
    <col min="6" max="6" width="10.140625" customWidth="1"/>
    <col min="7" max="7" width="12.28515625" customWidth="1"/>
    <col min="8" max="8" width="12.85546875" customWidth="1"/>
    <col min="9" max="9" width="12.7109375" customWidth="1"/>
    <col min="10" max="11" width="10.7109375" customWidth="1"/>
    <col min="12" max="12" width="11.42578125" customWidth="1"/>
    <col min="13" max="13" width="11.7109375" customWidth="1"/>
    <col min="14" max="26" width="8.85546875" customWidth="1"/>
  </cols>
  <sheetData>
    <row r="1" spans="1:14" ht="14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25" customHeight="1" x14ac:dyDescent="0.25">
      <c r="A2" s="5"/>
      <c r="B2" s="13" t="s">
        <v>95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5"/>
    </row>
    <row r="3" spans="1:14" ht="14.25" customHeight="1" x14ac:dyDescent="0.25">
      <c r="A3" s="5"/>
      <c r="B3" s="14" t="s">
        <v>96</v>
      </c>
      <c r="C3" s="15">
        <v>43465</v>
      </c>
      <c r="D3" s="15">
        <v>43830</v>
      </c>
      <c r="E3" s="15">
        <v>44196</v>
      </c>
      <c r="F3" s="15">
        <v>44561</v>
      </c>
      <c r="G3" s="15">
        <v>44926</v>
      </c>
      <c r="H3" s="16" t="s">
        <v>173</v>
      </c>
      <c r="I3" s="16">
        <v>45657</v>
      </c>
      <c r="J3" s="16">
        <v>46022</v>
      </c>
      <c r="K3" s="16">
        <v>46387</v>
      </c>
      <c r="L3" s="16" t="s">
        <v>174</v>
      </c>
      <c r="M3" s="16" t="s">
        <v>175</v>
      </c>
      <c r="N3" s="5"/>
    </row>
    <row r="4" spans="1:14" ht="14.25" customHeight="1" x14ac:dyDescent="0.25">
      <c r="A4" s="5"/>
      <c r="B4" s="53"/>
      <c r="C4" s="54" t="s">
        <v>188</v>
      </c>
      <c r="D4" s="54" t="s">
        <v>188</v>
      </c>
      <c r="E4" s="54" t="s">
        <v>188</v>
      </c>
      <c r="F4" s="54" t="s">
        <v>188</v>
      </c>
      <c r="G4" s="54" t="s">
        <v>188</v>
      </c>
      <c r="H4" s="55" t="s">
        <v>188</v>
      </c>
      <c r="I4" s="55" t="s">
        <v>188</v>
      </c>
      <c r="J4" s="55" t="s">
        <v>188</v>
      </c>
      <c r="K4" s="55" t="s">
        <v>188</v>
      </c>
      <c r="L4" s="55" t="s">
        <v>188</v>
      </c>
      <c r="M4" s="55" t="s">
        <v>188</v>
      </c>
      <c r="N4" s="5"/>
    </row>
    <row r="5" spans="1:14" ht="14.25" customHeight="1" x14ac:dyDescent="0.25">
      <c r="A5" s="5"/>
      <c r="B5" s="5" t="s">
        <v>97</v>
      </c>
      <c r="C5" s="11">
        <f>'Balance sheet'!B17</f>
        <v>308.39999999999998</v>
      </c>
      <c r="D5" s="11">
        <f>'Balance sheet'!C17</f>
        <v>267.2</v>
      </c>
      <c r="E5" s="11">
        <f>'Balance sheet'!D17</f>
        <v>298</v>
      </c>
      <c r="F5" s="11">
        <f>'Balance sheet'!E17</f>
        <v>209.6</v>
      </c>
      <c r="G5" s="11">
        <f>'Balance sheet'!F17</f>
        <v>217.1</v>
      </c>
      <c r="H5" s="11">
        <f>'Balance sheet'!G17</f>
        <v>280.60000000000002</v>
      </c>
      <c r="I5" s="11">
        <f t="shared" ref="I5:M5" si="0">I24*I21/360</f>
        <v>284.21157727486178</v>
      </c>
      <c r="J5" s="11">
        <f t="shared" si="0"/>
        <v>313.38937389686379</v>
      </c>
      <c r="K5" s="11">
        <f t="shared" si="0"/>
        <v>352.0280320578006</v>
      </c>
      <c r="L5" s="11">
        <f t="shared" si="0"/>
        <v>377.84314067587684</v>
      </c>
      <c r="M5" s="11">
        <f t="shared" si="0"/>
        <v>415.48823992077928</v>
      </c>
      <c r="N5" s="5"/>
    </row>
    <row r="6" spans="1:14" ht="14.25" customHeight="1" x14ac:dyDescent="0.25">
      <c r="A6" s="5"/>
      <c r="B6" s="5" t="s">
        <v>98</v>
      </c>
      <c r="C6" s="11">
        <f>'Balance sheet'!B15</f>
        <v>781</v>
      </c>
      <c r="D6" s="11">
        <f>'Balance sheet'!C15</f>
        <v>700.4</v>
      </c>
      <c r="E6" s="11">
        <f>'Balance sheet'!D15</f>
        <v>564.1</v>
      </c>
      <c r="F6" s="11">
        <f>'Balance sheet'!E15</f>
        <v>624.6</v>
      </c>
      <c r="G6" s="11">
        <f>'Balance sheet'!F15</f>
        <v>706.1</v>
      </c>
      <c r="H6" s="11">
        <f>'Balance sheet'!G15</f>
        <v>764.4</v>
      </c>
      <c r="I6" s="11">
        <f t="shared" ref="I6:M6" si="1">I25*I22/360</f>
        <v>844.39478784730136</v>
      </c>
      <c r="J6" s="11">
        <f t="shared" si="1"/>
        <v>930.21420433898277</v>
      </c>
      <c r="K6" s="11">
        <f t="shared" si="1"/>
        <v>1015.2776088865759</v>
      </c>
      <c r="L6" s="11">
        <f t="shared" si="1"/>
        <v>1111.1091411916971</v>
      </c>
      <c r="M6" s="11">
        <f t="shared" si="1"/>
        <v>1217.6263793155174</v>
      </c>
      <c r="N6" s="5"/>
    </row>
    <row r="7" spans="1:14" ht="14.25" customHeight="1" x14ac:dyDescent="0.25">
      <c r="A7" s="5"/>
      <c r="B7" s="5" t="s">
        <v>99</v>
      </c>
      <c r="C7" s="11">
        <f>'Balance sheet'!B16+'Balance sheet'!B18+'Balance sheet'!B19+'Balance sheet'!B20</f>
        <v>228.5</v>
      </c>
      <c r="D7" s="11">
        <f>'Balance sheet'!C16+'Balance sheet'!C18+'Balance sheet'!C19+'Balance sheet'!C20</f>
        <v>492.5</v>
      </c>
      <c r="E7" s="11">
        <f>'Balance sheet'!D16+'Balance sheet'!D18+'Balance sheet'!D19+'Balance sheet'!D20</f>
        <v>358.7</v>
      </c>
      <c r="F7" s="11">
        <f>'Balance sheet'!E16+'Balance sheet'!E18+'Balance sheet'!E19+'Balance sheet'!E20</f>
        <v>761</v>
      </c>
      <c r="G7" s="11">
        <f>'Balance sheet'!F16+'Balance sheet'!F18+'Balance sheet'!F19+'Balance sheet'!F20</f>
        <v>1259.1000000000001</v>
      </c>
      <c r="H7" s="11">
        <f>'Balance sheet'!G16+'Balance sheet'!G18+'Balance sheet'!G19+'Balance sheet'!G20</f>
        <v>1110</v>
      </c>
      <c r="I7" s="11">
        <f t="shared" ref="I7:M7" si="2">I28*I21</f>
        <v>1233.1260671751518</v>
      </c>
      <c r="J7" s="11">
        <f t="shared" si="2"/>
        <v>1442.5265813536757</v>
      </c>
      <c r="K7" s="11">
        <f t="shared" si="2"/>
        <v>1503.9203314497954</v>
      </c>
      <c r="L7" s="11">
        <f t="shared" si="2"/>
        <v>1663.6943341842648</v>
      </c>
      <c r="M7" s="11">
        <f t="shared" si="2"/>
        <v>1838.3441351385563</v>
      </c>
      <c r="N7" s="5"/>
    </row>
    <row r="8" spans="1:14" ht="14.25" customHeight="1" x14ac:dyDescent="0.25">
      <c r="A8" s="5"/>
      <c r="B8" s="17" t="s">
        <v>49</v>
      </c>
      <c r="C8" s="18">
        <f>SUM(C5:C7)</f>
        <v>1317.9</v>
      </c>
      <c r="D8" s="18">
        <f t="shared" ref="D8:H8" si="3">SUM(D5:D7)</f>
        <v>1460.1</v>
      </c>
      <c r="E8" s="18">
        <f t="shared" si="3"/>
        <v>1220.8</v>
      </c>
      <c r="F8" s="18">
        <f t="shared" si="3"/>
        <v>1595.2</v>
      </c>
      <c r="G8" s="18">
        <f t="shared" si="3"/>
        <v>2182.3000000000002</v>
      </c>
      <c r="H8" s="18">
        <f t="shared" si="3"/>
        <v>2155</v>
      </c>
      <c r="I8" s="18">
        <f t="shared" ref="I8" si="4">SUM(I5:I7)</f>
        <v>2361.732432297315</v>
      </c>
      <c r="J8" s="18">
        <f t="shared" ref="J8" si="5">SUM(J5:J7)</f>
        <v>2686.130159589522</v>
      </c>
      <c r="K8" s="18">
        <f t="shared" ref="K8:M8" si="6">SUM(K5:K7)</f>
        <v>2871.225972394172</v>
      </c>
      <c r="L8" s="18">
        <f t="shared" si="6"/>
        <v>3152.6466160518385</v>
      </c>
      <c r="M8" s="18">
        <f t="shared" si="6"/>
        <v>3471.458754374853</v>
      </c>
      <c r="N8" s="5"/>
    </row>
    <row r="9" spans="1:14" ht="14.25" customHeight="1" x14ac:dyDescent="0.25">
      <c r="A9" s="5"/>
      <c r="B9" s="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5"/>
    </row>
    <row r="10" spans="1:14" ht="14.25" customHeight="1" x14ac:dyDescent="0.25">
      <c r="A10" s="5"/>
      <c r="B10" s="5" t="s">
        <v>58</v>
      </c>
      <c r="C10" s="11">
        <f>'Balance sheet'!B25</f>
        <v>1405.9</v>
      </c>
      <c r="D10" s="11">
        <f>'Balance sheet'!C25</f>
        <v>1518.2</v>
      </c>
      <c r="E10" s="11">
        <f>'Balance sheet'!D25</f>
        <v>1501</v>
      </c>
      <c r="F10" s="11">
        <f>'Balance sheet'!E25</f>
        <v>1599</v>
      </c>
      <c r="G10" s="11">
        <f>'Balance sheet'!F25</f>
        <v>1960.9</v>
      </c>
      <c r="H10" s="11">
        <f>'Balance sheet'!G25</f>
        <v>2048.8000000000002</v>
      </c>
      <c r="I10" s="11">
        <f t="shared" ref="I10:M10" si="7">I26*I22/360</f>
        <v>2256.2765477281464</v>
      </c>
      <c r="J10" s="11">
        <f t="shared" si="7"/>
        <v>2520.7752051663429</v>
      </c>
      <c r="K10" s="11">
        <f t="shared" si="7"/>
        <v>2728.4623289700244</v>
      </c>
      <c r="L10" s="11">
        <f t="shared" si="7"/>
        <v>2988.6245794230608</v>
      </c>
      <c r="M10" s="11">
        <f t="shared" si="7"/>
        <v>3282.3399792382074</v>
      </c>
      <c r="N10" s="5"/>
    </row>
    <row r="11" spans="1:14" ht="14.25" customHeight="1" x14ac:dyDescent="0.25">
      <c r="A11" s="5"/>
      <c r="B11" s="5" t="s">
        <v>59</v>
      </c>
      <c r="C11" s="11">
        <f>'Balance sheet'!B26</f>
        <v>71.900000000000006</v>
      </c>
      <c r="D11" s="11">
        <f>'Balance sheet'!C26</f>
        <v>71.900000000000006</v>
      </c>
      <c r="E11" s="11">
        <f>'Balance sheet'!D26</f>
        <v>71.900000000000006</v>
      </c>
      <c r="F11" s="11">
        <f>'Balance sheet'!E26</f>
        <v>124.9</v>
      </c>
      <c r="G11" s="11">
        <f>'Balance sheet'!F26</f>
        <v>71.900000000000006</v>
      </c>
      <c r="H11" s="11">
        <f>'Balance sheet'!G26</f>
        <v>73</v>
      </c>
      <c r="I11" s="11">
        <f t="shared" ref="I11:M11" si="8">I29*I21</f>
        <v>123.98876810422023</v>
      </c>
      <c r="J11" s="11">
        <f t="shared" si="8"/>
        <v>120.16497791666589</v>
      </c>
      <c r="K11" s="11">
        <f t="shared" si="8"/>
        <v>140.90033810176601</v>
      </c>
      <c r="L11" s="11">
        <f t="shared" si="8"/>
        <v>153.66883206150601</v>
      </c>
      <c r="M11" s="11">
        <f t="shared" si="8"/>
        <v>164.89602838015128</v>
      </c>
      <c r="N11" s="5"/>
    </row>
    <row r="12" spans="1:14" ht="14.25" customHeight="1" x14ac:dyDescent="0.25">
      <c r="A12" s="5"/>
      <c r="B12" s="5" t="s">
        <v>60</v>
      </c>
      <c r="C12" s="11">
        <f>'Balance sheet'!B27</f>
        <v>125.6</v>
      </c>
      <c r="D12" s="11">
        <f>'Balance sheet'!C27</f>
        <v>625.6</v>
      </c>
      <c r="E12" s="11">
        <f>'Balance sheet'!D27</f>
        <v>247.8</v>
      </c>
      <c r="F12" s="11">
        <f>'Balance sheet'!E27</f>
        <v>432.8</v>
      </c>
      <c r="G12" s="11">
        <f>'Balance sheet'!F27</f>
        <v>247.2</v>
      </c>
      <c r="H12" s="11">
        <f>'Balance sheet'!G27</f>
        <v>444</v>
      </c>
      <c r="I12" s="11">
        <f t="shared" ref="I12:M12" si="9">I30*I21</f>
        <v>428.44757622858168</v>
      </c>
      <c r="J12" s="11">
        <f t="shared" si="9"/>
        <v>414.61542085219691</v>
      </c>
      <c r="K12" s="11">
        <f t="shared" si="9"/>
        <v>486.57840970244933</v>
      </c>
      <c r="L12" s="11">
        <f t="shared" si="9"/>
        <v>530.65089562520325</v>
      </c>
      <c r="M12" s="11">
        <f t="shared" si="9"/>
        <v>569.28068185090001</v>
      </c>
      <c r="N12" s="5"/>
    </row>
    <row r="13" spans="1:14" ht="14.25" customHeight="1" x14ac:dyDescent="0.25">
      <c r="A13" s="5"/>
      <c r="B13" s="5" t="s">
        <v>48</v>
      </c>
      <c r="C13" s="11">
        <f>'Balance sheet'!B28</f>
        <v>73.8</v>
      </c>
      <c r="D13" s="11">
        <f>'Balance sheet'!C28</f>
        <v>7.3</v>
      </c>
      <c r="E13" s="11">
        <f>'Balance sheet'!D28</f>
        <v>13</v>
      </c>
      <c r="F13" s="11">
        <f>'Balance sheet'!E28</f>
        <v>96</v>
      </c>
      <c r="G13" s="11">
        <f>'Balance sheet'!F28</f>
        <v>3.2</v>
      </c>
      <c r="H13" s="11">
        <f>'Balance sheet'!G28</f>
        <v>58.1</v>
      </c>
      <c r="I13" s="11">
        <f t="shared" ref="I13:M13" si="10">I31*I21</f>
        <v>62.466396834423705</v>
      </c>
      <c r="J13" s="11">
        <f t="shared" si="10"/>
        <v>43.532844613068292</v>
      </c>
      <c r="K13" s="11">
        <f t="shared" si="10"/>
        <v>61.864943726803176</v>
      </c>
      <c r="L13" s="11">
        <f t="shared" si="10"/>
        <v>67.362097016174772</v>
      </c>
      <c r="M13" s="11">
        <f t="shared" si="10"/>
        <v>68.339143273724218</v>
      </c>
      <c r="N13" s="5"/>
    </row>
    <row r="14" spans="1:14" ht="14.25" customHeight="1" x14ac:dyDescent="0.25">
      <c r="A14" s="5"/>
      <c r="B14" s="5" t="s">
        <v>61</v>
      </c>
      <c r="C14" s="11">
        <f>'Balance sheet'!B29</f>
        <v>98.8</v>
      </c>
      <c r="D14" s="11">
        <f>'Balance sheet'!C29</f>
        <v>100.7</v>
      </c>
      <c r="E14" s="11">
        <f>'Balance sheet'!D29</f>
        <v>21.5</v>
      </c>
      <c r="F14" s="11">
        <f>'Balance sheet'!E29</f>
        <v>43.1</v>
      </c>
      <c r="G14" s="11">
        <f>'Balance sheet'!F29</f>
        <v>53.6</v>
      </c>
      <c r="H14" s="11">
        <f>'Balance sheet'!G29</f>
        <v>44</v>
      </c>
      <c r="I14" s="11">
        <f t="shared" ref="I14:M14" si="11">I33*I21</f>
        <v>57.254105838210421</v>
      </c>
      <c r="J14" s="11">
        <f t="shared" si="11"/>
        <v>62.982886056186132</v>
      </c>
      <c r="K14" s="11">
        <f t="shared" si="11"/>
        <v>66.314226199132889</v>
      </c>
      <c r="L14" s="11">
        <f t="shared" si="11"/>
        <v>74.385821379567616</v>
      </c>
      <c r="M14" s="11">
        <f t="shared" si="11"/>
        <v>81.164360500503165</v>
      </c>
      <c r="N14" s="5"/>
    </row>
    <row r="15" spans="1:14" ht="14.25" customHeight="1" x14ac:dyDescent="0.25">
      <c r="A15" s="5"/>
      <c r="B15" s="5" t="s">
        <v>62</v>
      </c>
      <c r="C15" s="11">
        <f>'Balance sheet'!B30</f>
        <v>50</v>
      </c>
      <c r="D15" s="11">
        <f>'Balance sheet'!C30</f>
        <v>26.2</v>
      </c>
      <c r="E15" s="11">
        <f>'Balance sheet'!D30</f>
        <v>0</v>
      </c>
      <c r="F15" s="11">
        <f>'Balance sheet'!E30</f>
        <v>0</v>
      </c>
      <c r="G15" s="11">
        <f>'Balance sheet'!F30</f>
        <v>34</v>
      </c>
      <c r="H15" s="11">
        <f>'Balance sheet'!G30</f>
        <v>38.5</v>
      </c>
      <c r="I15" s="11">
        <f t="shared" ref="I15:M15" si="12">I32*I21</f>
        <v>17.627779587868005</v>
      </c>
      <c r="J15" s="11">
        <f t="shared" si="12"/>
        <v>26.215060388587069</v>
      </c>
      <c r="K15" s="11">
        <f t="shared" si="12"/>
        <v>22.065336117506416</v>
      </c>
      <c r="L15" s="11">
        <f t="shared" si="12"/>
        <v>26.206943486742688</v>
      </c>
      <c r="M15" s="11">
        <f t="shared" si="12"/>
        <v>29.831441919739706</v>
      </c>
      <c r="N15" s="5"/>
    </row>
    <row r="16" spans="1:14" ht="14.25" customHeight="1" x14ac:dyDescent="0.25">
      <c r="A16" s="5"/>
      <c r="B16" s="17" t="s">
        <v>100</v>
      </c>
      <c r="C16" s="18">
        <f>SUM(C10:C15)</f>
        <v>1826</v>
      </c>
      <c r="D16" s="18">
        <f t="shared" ref="D16:G16" si="13">SUM(D10:D15)</f>
        <v>2349.9</v>
      </c>
      <c r="E16" s="18">
        <f t="shared" si="13"/>
        <v>1855.2</v>
      </c>
      <c r="F16" s="18">
        <f t="shared" si="13"/>
        <v>2295.8000000000002</v>
      </c>
      <c r="G16" s="18">
        <f t="shared" si="13"/>
        <v>2370.7999999999997</v>
      </c>
      <c r="H16" s="18">
        <f t="shared" ref="H16" si="14">SUM(H10:H15)</f>
        <v>2706.4</v>
      </c>
      <c r="I16" s="18">
        <f t="shared" ref="I16" si="15">SUM(I10:I15)</f>
        <v>2946.0611743214504</v>
      </c>
      <c r="J16" s="18">
        <f t="shared" ref="J16" si="16">SUM(J10:J15)</f>
        <v>3188.2863949930475</v>
      </c>
      <c r="K16" s="18">
        <f t="shared" ref="K16:M16" si="17">SUM(K10:K15)</f>
        <v>3506.1855828176822</v>
      </c>
      <c r="L16" s="18">
        <f t="shared" si="17"/>
        <v>3840.8991689922545</v>
      </c>
      <c r="M16" s="18">
        <f t="shared" si="17"/>
        <v>4195.8516351632252</v>
      </c>
      <c r="N16" s="5"/>
    </row>
    <row r="17" spans="1:16" ht="14.2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6" ht="14.25" customHeight="1" x14ac:dyDescent="0.25">
      <c r="A18" s="5"/>
      <c r="B18" s="13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5"/>
    </row>
    <row r="19" spans="1:16" ht="14.25" customHeight="1" x14ac:dyDescent="0.25">
      <c r="A19" s="5"/>
      <c r="B19" s="14" t="s">
        <v>96</v>
      </c>
      <c r="C19" s="19">
        <v>43465</v>
      </c>
      <c r="D19" s="19">
        <v>43830</v>
      </c>
      <c r="E19" s="19">
        <v>44196</v>
      </c>
      <c r="F19" s="19">
        <v>44561</v>
      </c>
      <c r="G19" s="19">
        <v>44926</v>
      </c>
      <c r="H19" s="16" t="s">
        <v>173</v>
      </c>
      <c r="I19" s="16">
        <v>45657</v>
      </c>
      <c r="J19" s="16">
        <v>46022</v>
      </c>
      <c r="K19" s="16">
        <v>46387</v>
      </c>
      <c r="L19" s="16" t="s">
        <v>174</v>
      </c>
      <c r="M19" s="16" t="s">
        <v>175</v>
      </c>
      <c r="N19" s="5"/>
    </row>
    <row r="20" spans="1:16" ht="14.25" customHeight="1" x14ac:dyDescent="0.25">
      <c r="A20" s="5"/>
      <c r="B20" s="53"/>
      <c r="C20" s="54" t="s">
        <v>188</v>
      </c>
      <c r="D20" s="54" t="s">
        <v>188</v>
      </c>
      <c r="E20" s="54" t="s">
        <v>188</v>
      </c>
      <c r="F20" s="54" t="s">
        <v>188</v>
      </c>
      <c r="G20" s="54" t="s">
        <v>188</v>
      </c>
      <c r="H20" s="55" t="s">
        <v>188</v>
      </c>
      <c r="I20" s="55" t="s">
        <v>188</v>
      </c>
      <c r="J20" s="55" t="s">
        <v>188</v>
      </c>
      <c r="K20" s="55" t="s">
        <v>188</v>
      </c>
      <c r="L20" s="55" t="s">
        <v>188</v>
      </c>
      <c r="M20" s="55" t="s">
        <v>188</v>
      </c>
      <c r="N20" s="5"/>
    </row>
    <row r="21" spans="1:16" ht="14.25" customHeight="1" x14ac:dyDescent="0.25">
      <c r="A21" s="5"/>
      <c r="B21" s="20" t="s">
        <v>102</v>
      </c>
      <c r="C21" s="21">
        <f>'Income statement'!B3</f>
        <v>10698.2</v>
      </c>
      <c r="D21" s="21">
        <f>'Income statement'!C3</f>
        <v>10377.299999999999</v>
      </c>
      <c r="E21" s="21">
        <f>'Income statement'!D3</f>
        <v>10181.9</v>
      </c>
      <c r="F21" s="21">
        <f>'Income statement'!E3</f>
        <v>9155.7000000000007</v>
      </c>
      <c r="G21" s="21">
        <f>'Income statement'!F3</f>
        <v>10855.1</v>
      </c>
      <c r="H21" s="21">
        <f>'Income statement'!G3</f>
        <v>11931.3</v>
      </c>
      <c r="I21" s="21">
        <f>'Free Cash Flow'!H5</f>
        <v>12662.954351752896</v>
      </c>
      <c r="J21" s="21">
        <f>'Free Cash Flow'!I5</f>
        <v>14123.73484311046</v>
      </c>
      <c r="K21" s="21">
        <f>'Free Cash Flow'!J5</f>
        <v>15422.286039126117</v>
      </c>
      <c r="L21" s="21">
        <f>'Free Cash Flow'!K5</f>
        <v>16803.207368749281</v>
      </c>
      <c r="M21" s="21">
        <f>'Free Cash Flow'!L5</f>
        <v>18465.830326844691</v>
      </c>
      <c r="N21" s="5"/>
    </row>
    <row r="22" spans="1:16" ht="14.25" customHeight="1" x14ac:dyDescent="0.25">
      <c r="A22" s="5"/>
      <c r="B22" s="20" t="s">
        <v>103</v>
      </c>
      <c r="C22" s="21">
        <f>-'Income statement'!B4</f>
        <v>6650.9</v>
      </c>
      <c r="D22" s="21">
        <f>-'Income statement'!C4</f>
        <v>6547.2</v>
      </c>
      <c r="E22" s="21">
        <f>-'Income statement'!D4</f>
        <v>6746.5</v>
      </c>
      <c r="F22" s="21">
        <f>-'Income statement'!E4</f>
        <v>6244.1</v>
      </c>
      <c r="G22" s="21">
        <f>-'Income statement'!F4</f>
        <v>7130.3</v>
      </c>
      <c r="H22" s="21">
        <f>-'Income statement'!G4</f>
        <v>7786.7</v>
      </c>
      <c r="I22" s="21">
        <f>-'Free Cash Flow'!H6</f>
        <v>8406.0074840726247</v>
      </c>
      <c r="J22" s="21">
        <f>-'Free Cash Flow'!I6</f>
        <v>9290.199367088846</v>
      </c>
      <c r="K22" s="21">
        <f>-'Free Cash Flow'!J6</f>
        <v>10149.030290183486</v>
      </c>
      <c r="L22" s="21">
        <f>-'Free Cash Flow'!K6</f>
        <v>11088.293589774772</v>
      </c>
      <c r="M22" s="21">
        <f>-'Free Cash Flow'!L6</f>
        <v>12161.221905632077</v>
      </c>
      <c r="N22" s="5"/>
    </row>
    <row r="23" spans="1:16" ht="14.25" customHeight="1" x14ac:dyDescent="0.25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5"/>
    </row>
    <row r="24" spans="1:16" ht="14.25" customHeight="1" x14ac:dyDescent="0.25">
      <c r="A24" s="5"/>
      <c r="B24" s="20" t="s">
        <v>104</v>
      </c>
      <c r="C24" s="22">
        <f>C5/C21*365</f>
        <v>10.521956964723035</v>
      </c>
      <c r="D24" s="22">
        <f t="shared" ref="D24:H24" si="18">D5/D21*365</f>
        <v>9.3982056989775753</v>
      </c>
      <c r="E24" s="22">
        <f t="shared" si="18"/>
        <v>10.682682014162387</v>
      </c>
      <c r="F24" s="22">
        <f t="shared" si="18"/>
        <v>8.3558875891521129</v>
      </c>
      <c r="G24" s="22">
        <f t="shared" si="18"/>
        <v>7.2999327505043707</v>
      </c>
      <c r="H24" s="22">
        <f t="shared" si="18"/>
        <v>8.5840604125283928</v>
      </c>
      <c r="I24" s="22">
        <f t="shared" ref="I24:K24" si="19">AVERAGE(F24:H24)</f>
        <v>8.0799602507282913</v>
      </c>
      <c r="J24" s="22">
        <f t="shared" si="19"/>
        <v>7.9879844712536849</v>
      </c>
      <c r="K24" s="22">
        <f t="shared" si="19"/>
        <v>8.2173350448367906</v>
      </c>
      <c r="L24" s="22">
        <f t="shared" ref="L24:L26" si="20">AVERAGE(I24:K24)</f>
        <v>8.0950932556062565</v>
      </c>
      <c r="M24" s="22">
        <f t="shared" ref="M24:M26" si="21">AVERAGE(J24:L24)</f>
        <v>8.1001375905655788</v>
      </c>
      <c r="N24" s="5"/>
      <c r="P24" t="s">
        <v>168</v>
      </c>
    </row>
    <row r="25" spans="1:16" ht="14.25" customHeight="1" x14ac:dyDescent="0.25">
      <c r="A25" s="5"/>
      <c r="B25" s="20" t="s">
        <v>105</v>
      </c>
      <c r="C25" s="22">
        <f>C6/C22*365</f>
        <v>42.861116540618568</v>
      </c>
      <c r="D25" s="22">
        <f t="shared" ref="D25:H25" si="22">D6/D22*365</f>
        <v>39.046615347018573</v>
      </c>
      <c r="E25" s="22">
        <f t="shared" si="22"/>
        <v>30.519009856962871</v>
      </c>
      <c r="F25" s="22">
        <f t="shared" si="22"/>
        <v>36.511106484521385</v>
      </c>
      <c r="G25" s="22">
        <f t="shared" si="22"/>
        <v>36.145253355398793</v>
      </c>
      <c r="H25" s="22">
        <f t="shared" si="22"/>
        <v>35.831096613456275</v>
      </c>
      <c r="I25" s="22">
        <f t="shared" ref="I25:K25" si="23">AVERAGE(F25:H25)</f>
        <v>36.16248548445882</v>
      </c>
      <c r="J25" s="22">
        <f t="shared" si="23"/>
        <v>36.046278484437956</v>
      </c>
      <c r="K25" s="22">
        <f t="shared" si="23"/>
        <v>36.013286860784348</v>
      </c>
      <c r="L25" s="22">
        <f t="shared" si="20"/>
        <v>36.074016943227043</v>
      </c>
      <c r="M25" s="22">
        <f t="shared" si="21"/>
        <v>36.044527429483111</v>
      </c>
      <c r="N25" s="5"/>
    </row>
    <row r="26" spans="1:16" ht="14.25" customHeight="1" x14ac:dyDescent="0.25">
      <c r="A26" s="5"/>
      <c r="B26" s="20" t="s">
        <v>106</v>
      </c>
      <c r="C26" s="22">
        <f>C10/C22*365</f>
        <v>77.155497752183919</v>
      </c>
      <c r="D26" s="22">
        <f t="shared" ref="D26:H26" si="24">D10/D22*365</f>
        <v>84.638165933528839</v>
      </c>
      <c r="E26" s="22">
        <f t="shared" si="24"/>
        <v>81.207292670273475</v>
      </c>
      <c r="F26" s="22">
        <f t="shared" si="24"/>
        <v>93.469835524735359</v>
      </c>
      <c r="G26" s="22">
        <f t="shared" si="24"/>
        <v>100.3784553244604</v>
      </c>
      <c r="H26" s="22">
        <f t="shared" si="24"/>
        <v>96.037088882324994</v>
      </c>
      <c r="I26" s="22">
        <f t="shared" ref="I26:K26" si="25">AVERAGE(F26:H26)</f>
        <v>96.628459910506919</v>
      </c>
      <c r="J26" s="22">
        <f t="shared" si="25"/>
        <v>97.681334705764115</v>
      </c>
      <c r="K26" s="22">
        <f t="shared" si="25"/>
        <v>96.782294499532</v>
      </c>
      <c r="L26" s="22">
        <f t="shared" si="20"/>
        <v>97.030696371934354</v>
      </c>
      <c r="M26" s="22">
        <f t="shared" si="21"/>
        <v>97.164775192410161</v>
      </c>
      <c r="N26" s="5"/>
    </row>
    <row r="27" spans="1:16" ht="14.25" customHeight="1" x14ac:dyDescent="0.25">
      <c r="A27" s="5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5"/>
    </row>
    <row r="28" spans="1:16" ht="14.25" customHeight="1" x14ac:dyDescent="0.25">
      <c r="A28" s="5"/>
      <c r="B28" s="20" t="s">
        <v>107</v>
      </c>
      <c r="C28" s="23">
        <f>C7/C21</f>
        <v>2.1358733244844927E-2</v>
      </c>
      <c r="D28" s="23">
        <f t="shared" ref="D28:H28" si="26">D7/D21</f>
        <v>4.7459358407292845E-2</v>
      </c>
      <c r="E28" s="23">
        <f t="shared" si="26"/>
        <v>3.5229181194079688E-2</v>
      </c>
      <c r="F28" s="23">
        <f t="shared" si="26"/>
        <v>8.3117620717148871E-2</v>
      </c>
      <c r="G28" s="23">
        <f t="shared" si="26"/>
        <v>0.11599156157013754</v>
      </c>
      <c r="H28" s="23">
        <f t="shared" si="26"/>
        <v>9.3032611701993922E-2</v>
      </c>
      <c r="I28" s="23">
        <f t="shared" ref="I28:K28" si="27">AVERAGE(F28:H28)</f>
        <v>9.7380597996426774E-2</v>
      </c>
      <c r="J28" s="23">
        <f t="shared" si="27"/>
        <v>0.10213492375618609</v>
      </c>
      <c r="K28" s="23">
        <f t="shared" si="27"/>
        <v>9.7516044484868933E-2</v>
      </c>
      <c r="L28" s="23">
        <f t="shared" ref="L28:L33" si="28">AVERAGE(I28:K28)</f>
        <v>9.9010522079160598E-2</v>
      </c>
      <c r="M28" s="23">
        <f t="shared" ref="M28:M33" si="29">AVERAGE(J28:L28)</f>
        <v>9.9553830106738531E-2</v>
      </c>
      <c r="N28" s="5"/>
    </row>
    <row r="29" spans="1:16" ht="14.25" customHeight="1" x14ac:dyDescent="0.25">
      <c r="A29" s="5"/>
      <c r="B29" s="20" t="s">
        <v>140</v>
      </c>
      <c r="C29" s="23">
        <f>C11/C21</f>
        <v>6.7207567628199136E-3</v>
      </c>
      <c r="D29" s="23">
        <f>D11/D21</f>
        <v>6.9285845065672202E-3</v>
      </c>
      <c r="E29" s="23">
        <f>E11/E21</f>
        <v>7.0615503982557294E-3</v>
      </c>
      <c r="F29" s="23">
        <f>F11/F21</f>
        <v>1.3641775069082648E-2</v>
      </c>
      <c r="G29" s="23">
        <f>G11/G21</f>
        <v>6.6236147064513461E-3</v>
      </c>
      <c r="H29" s="23">
        <f t="shared" ref="H29:H33" si="30">AVERAGE(E29:G29)</f>
        <v>9.1089800579299083E-3</v>
      </c>
      <c r="I29" s="23">
        <f t="shared" ref="I29:K29" si="31">AVERAGE(F29:H29)</f>
        <v>9.7914566111546326E-3</v>
      </c>
      <c r="J29" s="23">
        <f t="shared" si="31"/>
        <v>8.5080171251786293E-3</v>
      </c>
      <c r="K29" s="23">
        <f t="shared" si="31"/>
        <v>9.1361512647543889E-3</v>
      </c>
      <c r="L29" s="23">
        <f t="shared" si="28"/>
        <v>9.1452083336958836E-3</v>
      </c>
      <c r="M29" s="23">
        <f t="shared" si="29"/>
        <v>8.9297922412096345E-3</v>
      </c>
      <c r="N29" s="5"/>
    </row>
    <row r="30" spans="1:16" ht="14.25" customHeight="1" x14ac:dyDescent="0.25">
      <c r="A30" s="5"/>
      <c r="B30" s="20" t="s">
        <v>141</v>
      </c>
      <c r="C30" s="23">
        <f>C12/C21</f>
        <v>1.174029275952964E-2</v>
      </c>
      <c r="D30" s="23">
        <f>D12/D21</f>
        <v>6.0285430699700313E-2</v>
      </c>
      <c r="E30" s="23">
        <f>E12/E21</f>
        <v>2.4337304432375098E-2</v>
      </c>
      <c r="F30" s="23">
        <f>F12/F21</f>
        <v>4.7271098878294393E-2</v>
      </c>
      <c r="G30" s="23">
        <f>G12/G21</f>
        <v>2.2772705917034387E-2</v>
      </c>
      <c r="H30" s="23">
        <f t="shared" si="30"/>
        <v>3.146036974256796E-2</v>
      </c>
      <c r="I30" s="23">
        <f t="shared" ref="I30:K30" si="32">AVERAGE(F30:H30)</f>
        <v>3.3834724845965579E-2</v>
      </c>
      <c r="J30" s="23">
        <f t="shared" si="32"/>
        <v>2.9355933501855974E-2</v>
      </c>
      <c r="K30" s="23">
        <f t="shared" si="32"/>
        <v>3.1550342696796504E-2</v>
      </c>
      <c r="L30" s="23">
        <f t="shared" si="28"/>
        <v>3.1580333681539355E-2</v>
      </c>
      <c r="M30" s="23">
        <f t="shared" si="29"/>
        <v>3.0828869960063943E-2</v>
      </c>
      <c r="N30" s="5"/>
    </row>
    <row r="31" spans="1:16" ht="14.25" customHeight="1" x14ac:dyDescent="0.25">
      <c r="A31" s="5"/>
      <c r="B31" s="20" t="s">
        <v>142</v>
      </c>
      <c r="C31" s="23">
        <f>C13/C21</f>
        <v>6.8983567329083386E-3</v>
      </c>
      <c r="D31" s="23">
        <f>D13/D21</f>
        <v>7.0345851040251324E-4</v>
      </c>
      <c r="E31" s="23">
        <f>E13/E21</f>
        <v>1.2767754544829551E-3</v>
      </c>
      <c r="F31" s="23">
        <f>F13/F21</f>
        <v>1.0485271470231658E-2</v>
      </c>
      <c r="G31" s="23">
        <f>G13/G21</f>
        <v>2.947923096056232E-4</v>
      </c>
      <c r="H31" s="23">
        <f t="shared" si="30"/>
        <v>4.0189464114400789E-3</v>
      </c>
      <c r="I31" s="23">
        <f t="shared" ref="I31:K31" si="33">AVERAGE(F31:H31)</f>
        <v>4.9330033970924536E-3</v>
      </c>
      <c r="J31" s="23">
        <f t="shared" si="33"/>
        <v>3.0822473727127185E-3</v>
      </c>
      <c r="K31" s="23">
        <f t="shared" si="33"/>
        <v>4.0113990604150841E-3</v>
      </c>
      <c r="L31" s="23">
        <f t="shared" si="28"/>
        <v>4.0088832767400861E-3</v>
      </c>
      <c r="M31" s="23">
        <f t="shared" si="29"/>
        <v>3.70084323662263E-3</v>
      </c>
      <c r="N31" s="5"/>
    </row>
    <row r="32" spans="1:16" ht="14.25" customHeight="1" x14ac:dyDescent="0.25">
      <c r="A32" s="5"/>
      <c r="B32" s="20" t="s">
        <v>144</v>
      </c>
      <c r="C32" s="23">
        <f>C15/C21</f>
        <v>4.673683423379634E-3</v>
      </c>
      <c r="D32" s="23">
        <f>D15/D21</f>
        <v>2.524741503088472E-3</v>
      </c>
      <c r="E32" s="23">
        <f>E15/E21</f>
        <v>0</v>
      </c>
      <c r="F32" s="23">
        <f>F15/F21</f>
        <v>0</v>
      </c>
      <c r="G32" s="23">
        <f>G15/G21</f>
        <v>3.1321682895597458E-3</v>
      </c>
      <c r="H32" s="23">
        <f t="shared" si="30"/>
        <v>1.0440560965199153E-3</v>
      </c>
      <c r="I32" s="23">
        <f t="shared" ref="I32:K32" si="34">AVERAGE(F32:H32)</f>
        <v>1.3920747953598872E-3</v>
      </c>
      <c r="J32" s="23">
        <f t="shared" si="34"/>
        <v>1.8560997271465163E-3</v>
      </c>
      <c r="K32" s="23">
        <f t="shared" si="34"/>
        <v>1.4307435396754397E-3</v>
      </c>
      <c r="L32" s="23">
        <f t="shared" si="28"/>
        <v>1.5596393540606146E-3</v>
      </c>
      <c r="M32" s="23">
        <f t="shared" si="29"/>
        <v>1.615494206960857E-3</v>
      </c>
      <c r="N32" s="5"/>
    </row>
    <row r="33" spans="1:14" ht="14.25" customHeight="1" x14ac:dyDescent="0.25">
      <c r="A33" s="5"/>
      <c r="B33" s="20" t="s">
        <v>143</v>
      </c>
      <c r="C33" s="23">
        <f>C14/C21</f>
        <v>9.2351984445981552E-3</v>
      </c>
      <c r="D33" s="23">
        <f>D14/D21</f>
        <v>9.7038728763743955E-3</v>
      </c>
      <c r="E33" s="23">
        <f>E14/E21</f>
        <v>2.1115901747218104E-3</v>
      </c>
      <c r="F33" s="23">
        <f>F14/F21</f>
        <v>4.7074500038227548E-3</v>
      </c>
      <c r="G33" s="23">
        <f>G14/G21</f>
        <v>4.9377711858941877E-3</v>
      </c>
      <c r="H33" s="23">
        <f t="shared" si="30"/>
        <v>3.9189371214795841E-3</v>
      </c>
      <c r="I33" s="23">
        <f t="shared" ref="I33:K33" si="35">AVERAGE(F33:H33)</f>
        <v>4.5213861037321753E-3</v>
      </c>
      <c r="J33" s="23">
        <f t="shared" si="35"/>
        <v>4.459364803701983E-3</v>
      </c>
      <c r="K33" s="23">
        <f t="shared" si="35"/>
        <v>4.2998960096379138E-3</v>
      </c>
      <c r="L33" s="23">
        <f t="shared" si="28"/>
        <v>4.4268823056906907E-3</v>
      </c>
      <c r="M33" s="23">
        <f t="shared" si="29"/>
        <v>4.3953810396768628E-3</v>
      </c>
      <c r="N33" s="5"/>
    </row>
    <row r="34" spans="1:14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4.25" customHeight="1" x14ac:dyDescent="0.25">
      <c r="B37" s="4"/>
    </row>
    <row r="38" spans="1:14" ht="14.25" customHeight="1" x14ac:dyDescent="0.25"/>
    <row r="39" spans="1:14" ht="14.25" customHeight="1" x14ac:dyDescent="0.25"/>
    <row r="40" spans="1:14" ht="14.25" customHeight="1" x14ac:dyDescent="0.25"/>
    <row r="41" spans="1:14" ht="14.25" customHeight="1" x14ac:dyDescent="0.25"/>
    <row r="42" spans="1:14" ht="14.25" customHeight="1" x14ac:dyDescent="0.25"/>
    <row r="43" spans="1:14" ht="14.25" customHeight="1" x14ac:dyDescent="0.25"/>
    <row r="44" spans="1:14" ht="14.25" customHeight="1" x14ac:dyDescent="0.25"/>
    <row r="45" spans="1:14" ht="14.25" customHeight="1" x14ac:dyDescent="0.25"/>
    <row r="46" spans="1:14" ht="14.25" customHeight="1" x14ac:dyDescent="0.25"/>
    <row r="47" spans="1:14" ht="14.25" customHeight="1" x14ac:dyDescent="0.25"/>
    <row r="48" spans="1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1A91-D428-4D3F-8049-C3B2F982A26E}">
  <dimension ref="B1:D1001"/>
  <sheetViews>
    <sheetView zoomScale="91" workbookViewId="0">
      <selection activeCell="C4" sqref="C4"/>
    </sheetView>
  </sheetViews>
  <sheetFormatPr defaultColWidth="14.42578125" defaultRowHeight="15" x14ac:dyDescent="0.25"/>
  <cols>
    <col min="1" max="1" width="8.85546875" customWidth="1"/>
    <col min="2" max="2" width="37.140625" customWidth="1"/>
    <col min="3" max="3" width="10.7109375" bestFit="1" customWidth="1"/>
    <col min="4" max="26" width="8.85546875" customWidth="1"/>
  </cols>
  <sheetData>
    <row r="1" spans="2:4" ht="14.25" customHeight="1" x14ac:dyDescent="0.25">
      <c r="B1" s="5"/>
      <c r="C1" s="5"/>
      <c r="D1" s="5"/>
    </row>
    <row r="2" spans="2:4" ht="14.25" customHeight="1" x14ac:dyDescent="0.25">
      <c r="B2" s="57" t="s">
        <v>159</v>
      </c>
      <c r="C2" s="58"/>
      <c r="D2" s="5"/>
    </row>
    <row r="3" spans="2:4" ht="14.25" customHeight="1" x14ac:dyDescent="0.25">
      <c r="B3" s="5" t="s">
        <v>171</v>
      </c>
      <c r="C3" s="5">
        <f>1.58</f>
        <v>1.58</v>
      </c>
      <c r="D3" s="25"/>
    </row>
    <row r="4" spans="2:4" ht="14.25" customHeight="1" x14ac:dyDescent="0.25">
      <c r="B4" s="5" t="s">
        <v>180</v>
      </c>
      <c r="C4" s="27">
        <f>DCF!C20</f>
        <v>1970</v>
      </c>
      <c r="D4" s="5"/>
    </row>
    <row r="5" spans="2:4" ht="14.25" customHeight="1" x14ac:dyDescent="0.25">
      <c r="B5" s="5" t="s">
        <v>185</v>
      </c>
      <c r="C5" s="27">
        <f>C4*C3</f>
        <v>3112.6000000000004</v>
      </c>
      <c r="D5" s="35"/>
    </row>
    <row r="6" spans="2:4" ht="14.25" customHeight="1" x14ac:dyDescent="0.25">
      <c r="B6" s="5" t="s">
        <v>186</v>
      </c>
      <c r="C6" s="27">
        <f>'Balance sheet'!G27+'Balance sheet'!G36+'Balance sheet'!G34</f>
        <v>3809.3</v>
      </c>
      <c r="D6" s="5"/>
    </row>
    <row r="7" spans="2:4" ht="14.25" customHeight="1" x14ac:dyDescent="0.25">
      <c r="B7" s="5"/>
      <c r="C7" s="5"/>
      <c r="D7" s="5"/>
    </row>
    <row r="8" spans="2:4" ht="14.25" customHeight="1" x14ac:dyDescent="0.25">
      <c r="B8" s="5" t="s">
        <v>160</v>
      </c>
      <c r="C8" s="28">
        <f>-1*'Cash flow statement'!G23/WACC!C6</f>
        <v>5.5784527340981278E-2</v>
      </c>
      <c r="D8" s="5"/>
    </row>
    <row r="9" spans="2:4" ht="14.25" customHeight="1" x14ac:dyDescent="0.25">
      <c r="B9" s="5" t="s">
        <v>161</v>
      </c>
      <c r="C9" s="36">
        <v>0.25</v>
      </c>
      <c r="D9" s="5"/>
    </row>
    <row r="10" spans="2:4" ht="14.25" customHeight="1" x14ac:dyDescent="0.25">
      <c r="B10" s="5" t="s">
        <v>162</v>
      </c>
      <c r="C10" s="28">
        <f>C6/(SUM(C5:C6))</f>
        <v>0.55032577760441492</v>
      </c>
      <c r="D10" s="5"/>
    </row>
    <row r="11" spans="2:4" ht="14.25" customHeight="1" x14ac:dyDescent="0.25">
      <c r="B11" s="17" t="s">
        <v>163</v>
      </c>
      <c r="C11" s="37">
        <f>C8*(1-C9)</f>
        <v>4.1838395505735961E-2</v>
      </c>
      <c r="D11" s="5"/>
    </row>
    <row r="12" spans="2:4" ht="14.25" customHeight="1" x14ac:dyDescent="0.25">
      <c r="B12" s="6"/>
      <c r="C12" s="38"/>
      <c r="D12" s="5"/>
    </row>
    <row r="13" spans="2:4" ht="14.25" customHeight="1" x14ac:dyDescent="0.25">
      <c r="B13" s="5" t="s">
        <v>169</v>
      </c>
      <c r="C13" s="36">
        <v>3.9100000000000003E-2</v>
      </c>
      <c r="D13" s="5"/>
    </row>
    <row r="14" spans="2:4" ht="14.25" customHeight="1" x14ac:dyDescent="0.25">
      <c r="B14" s="5" t="s">
        <v>164</v>
      </c>
      <c r="C14" s="28">
        <v>0.06</v>
      </c>
      <c r="D14" s="5"/>
    </row>
    <row r="15" spans="2:4" ht="14.25" customHeight="1" x14ac:dyDescent="0.25">
      <c r="B15" s="5" t="s">
        <v>165</v>
      </c>
      <c r="C15" s="39">
        <v>1.9368000000000001</v>
      </c>
      <c r="D15" s="5"/>
    </row>
    <row r="16" spans="2:4" ht="14.25" customHeight="1" x14ac:dyDescent="0.25">
      <c r="B16" s="5" t="s">
        <v>166</v>
      </c>
      <c r="C16" s="28">
        <f>C5/(SUM(C4:C6))</f>
        <v>0.35004892092803563</v>
      </c>
      <c r="D16" s="5"/>
    </row>
    <row r="17" spans="2:4" ht="14.25" customHeight="1" x14ac:dyDescent="0.25">
      <c r="B17" s="17" t="s">
        <v>167</v>
      </c>
      <c r="C17" s="37">
        <f>C13+C15*C14</f>
        <v>0.155308</v>
      </c>
      <c r="D17" s="5"/>
    </row>
    <row r="18" spans="2:4" ht="14.25" customHeight="1" x14ac:dyDescent="0.25">
      <c r="B18" s="5"/>
      <c r="C18" s="5"/>
      <c r="D18" s="5"/>
    </row>
    <row r="19" spans="2:4" ht="14.25" customHeight="1" x14ac:dyDescent="0.25">
      <c r="B19" s="40" t="s">
        <v>151</v>
      </c>
      <c r="C19" s="41">
        <f>C10*C11+C16*C17</f>
        <v>7.7390145351906553E-2</v>
      </c>
      <c r="D19" s="5"/>
    </row>
    <row r="20" spans="2:4" ht="14.25" customHeight="1" x14ac:dyDescent="0.25">
      <c r="B20" s="5"/>
      <c r="C20" s="5"/>
      <c r="D20" s="5"/>
    </row>
    <row r="21" spans="2:4" ht="14.25" customHeight="1" x14ac:dyDescent="0.25">
      <c r="B21" s="5"/>
      <c r="C21" s="5"/>
      <c r="D21" s="5"/>
    </row>
    <row r="22" spans="2:4" ht="14.25" customHeight="1" x14ac:dyDescent="0.25"/>
    <row r="23" spans="2:4" ht="14.25" customHeight="1" x14ac:dyDescent="0.25"/>
    <row r="24" spans="2:4" ht="14.25" customHeight="1" x14ac:dyDescent="0.25"/>
    <row r="25" spans="2:4" ht="14.25" customHeight="1" x14ac:dyDescent="0.25"/>
    <row r="26" spans="2:4" ht="14.25" customHeight="1" x14ac:dyDescent="0.25"/>
    <row r="27" spans="2:4" ht="14.25" customHeight="1" x14ac:dyDescent="0.25"/>
    <row r="28" spans="2:4" ht="14.25" customHeight="1" x14ac:dyDescent="0.25"/>
    <row r="29" spans="2:4" ht="14.25" customHeight="1" x14ac:dyDescent="0.25"/>
    <row r="30" spans="2:4" ht="14.25" customHeight="1" x14ac:dyDescent="0.25"/>
    <row r="31" spans="2:4" ht="14.25" customHeight="1" x14ac:dyDescent="0.25"/>
    <row r="32" spans="2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1">
    <mergeCell ref="B2:C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1F3C-8094-4910-BCDC-219536895E1C}">
  <dimension ref="A1:Q1000"/>
  <sheetViews>
    <sheetView topLeftCell="A7" zoomScale="104" workbookViewId="0">
      <selection activeCell="J19" sqref="J19"/>
    </sheetView>
  </sheetViews>
  <sheetFormatPr defaultColWidth="14.42578125" defaultRowHeight="15" x14ac:dyDescent="0.25"/>
  <cols>
    <col min="1" max="1" width="8.85546875" customWidth="1"/>
    <col min="2" max="2" width="31.42578125" customWidth="1"/>
    <col min="3" max="3" width="9.42578125" customWidth="1"/>
    <col min="4" max="4" width="12.42578125" customWidth="1"/>
    <col min="5" max="10" width="9.42578125" customWidth="1"/>
    <col min="11" max="11" width="10.28515625" customWidth="1"/>
    <col min="12" max="26" width="8.85546875" customWidth="1"/>
  </cols>
  <sheetData>
    <row r="1" spans="1:17" ht="14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4.25" customHeight="1" x14ac:dyDescent="0.25">
      <c r="A2" s="5"/>
      <c r="B2" s="13" t="s">
        <v>109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5"/>
      <c r="O2" s="5"/>
      <c r="P2" s="5"/>
      <c r="Q2" s="5"/>
    </row>
    <row r="3" spans="1:17" ht="14.25" customHeight="1" x14ac:dyDescent="0.25">
      <c r="A3" s="5"/>
      <c r="B3" s="14" t="s">
        <v>96</v>
      </c>
      <c r="C3" s="15"/>
      <c r="D3" s="19">
        <v>43830</v>
      </c>
      <c r="E3" s="19">
        <v>44196</v>
      </c>
      <c r="F3" s="19">
        <v>44561</v>
      </c>
      <c r="G3" s="19">
        <v>44926</v>
      </c>
      <c r="H3" s="16" t="s">
        <v>173</v>
      </c>
      <c r="I3" s="16">
        <v>45657</v>
      </c>
      <c r="J3" s="16">
        <v>46022</v>
      </c>
      <c r="K3" s="16">
        <v>46387</v>
      </c>
      <c r="L3" s="16" t="s">
        <v>174</v>
      </c>
      <c r="M3" s="16" t="s">
        <v>175</v>
      </c>
      <c r="N3" s="5"/>
      <c r="O3" s="5"/>
      <c r="P3" s="5"/>
      <c r="Q3" s="5"/>
    </row>
    <row r="4" spans="1:17" ht="14.25" customHeight="1" x14ac:dyDescent="0.25">
      <c r="A4" s="5"/>
      <c r="B4" s="5" t="s">
        <v>123</v>
      </c>
      <c r="C4" s="27"/>
      <c r="D4" s="11">
        <f>'Free Cash Flow'!C22</f>
        <v>-1514.2000000000012</v>
      </c>
      <c r="E4" s="11">
        <f>'Free Cash Flow'!D22</f>
        <v>638.50000000000034</v>
      </c>
      <c r="F4" s="11">
        <f>'Free Cash Flow'!E22</f>
        <v>346.89999999999986</v>
      </c>
      <c r="G4" s="11">
        <f>'Free Cash Flow'!F22</f>
        <v>1127.900000000001</v>
      </c>
      <c r="H4" s="11">
        <f>'Free Cash Flow'!G22</f>
        <v>-260.40000000000066</v>
      </c>
      <c r="I4" s="11">
        <f>'Free Cash Flow'!H22</f>
        <v>462.07629101233408</v>
      </c>
      <c r="J4" s="11">
        <f>'Free Cash Flow'!I22</f>
        <v>657.97093706450926</v>
      </c>
      <c r="K4" s="11">
        <f>'Free Cash Flow'!J22</f>
        <v>430.99180251994437</v>
      </c>
      <c r="L4" s="11">
        <f>'Free Cash Flow'!K22</f>
        <v>688.13354401418792</v>
      </c>
      <c r="M4" s="11">
        <f>'Free Cash Flow'!L22</f>
        <v>811.93275516355868</v>
      </c>
      <c r="N4" s="5"/>
      <c r="O4" s="5"/>
      <c r="P4" s="5"/>
      <c r="Q4" s="5"/>
    </row>
    <row r="5" spans="1:17" ht="14.25" customHeight="1" x14ac:dyDescent="0.25">
      <c r="A5" s="5"/>
      <c r="B5" s="5"/>
      <c r="C5" s="5"/>
      <c r="D5" s="11"/>
      <c r="E5" s="11"/>
      <c r="F5" s="11"/>
      <c r="G5" s="11"/>
      <c r="H5" s="11"/>
      <c r="I5" s="11"/>
      <c r="J5" s="11"/>
      <c r="K5" s="11"/>
      <c r="L5" s="11"/>
      <c r="M5" s="11"/>
      <c r="N5" s="5"/>
      <c r="O5" s="5"/>
      <c r="P5" s="5"/>
      <c r="Q5" s="5"/>
    </row>
    <row r="6" spans="1:17" ht="14.25" customHeight="1" x14ac:dyDescent="0.25">
      <c r="A6" s="5"/>
      <c r="B6" s="5" t="s">
        <v>145</v>
      </c>
      <c r="C6" s="5"/>
      <c r="D6" s="11"/>
      <c r="E6" s="11"/>
      <c r="F6" s="11"/>
      <c r="G6" s="11"/>
      <c r="H6" s="11"/>
      <c r="I6" s="52">
        <v>1</v>
      </c>
      <c r="J6" s="52">
        <v>2</v>
      </c>
      <c r="K6" s="52">
        <v>3</v>
      </c>
      <c r="L6" s="52">
        <v>4</v>
      </c>
      <c r="M6" s="52">
        <v>5</v>
      </c>
      <c r="N6" s="5"/>
      <c r="O6" s="5"/>
      <c r="P6" s="5"/>
      <c r="Q6" s="5"/>
    </row>
    <row r="7" spans="1:17" ht="14.25" customHeight="1" x14ac:dyDescent="0.25">
      <c r="A7" s="5"/>
      <c r="B7" s="17" t="s">
        <v>146</v>
      </c>
      <c r="C7" s="17"/>
      <c r="D7" s="18"/>
      <c r="E7" s="18"/>
      <c r="F7" s="18"/>
      <c r="G7" s="18"/>
      <c r="H7" s="18">
        <f>H4/(1+$C$12)^H6</f>
        <v>-260.40000000000066</v>
      </c>
      <c r="I7" s="18">
        <f t="shared" ref="I7:M7" si="0">I4/(1+$C$12)^I6</f>
        <v>428.8848315587727</v>
      </c>
      <c r="J7" s="18">
        <f t="shared" si="0"/>
        <v>566.84029234284242</v>
      </c>
      <c r="K7" s="18">
        <f t="shared" si="0"/>
        <v>344.62756654157459</v>
      </c>
      <c r="L7" s="18">
        <f t="shared" si="0"/>
        <v>510.71749279685491</v>
      </c>
      <c r="M7" s="18">
        <f t="shared" si="0"/>
        <v>559.31319875454062</v>
      </c>
      <c r="N7" s="5"/>
      <c r="O7" s="5"/>
      <c r="P7" s="5"/>
      <c r="Q7" s="5"/>
    </row>
    <row r="8" spans="1:17" ht="14.2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4.25" customHeight="1" x14ac:dyDescent="0.25">
      <c r="A9" s="5"/>
      <c r="B9" s="57" t="s">
        <v>147</v>
      </c>
      <c r="C9" s="58"/>
      <c r="D9" s="5"/>
      <c r="E9" s="57" t="s">
        <v>148</v>
      </c>
      <c r="F9" s="58"/>
      <c r="G9" s="58"/>
      <c r="H9" s="58"/>
      <c r="I9" s="58"/>
      <c r="J9" s="58"/>
      <c r="K9" s="58"/>
      <c r="L9" s="5"/>
      <c r="M9" s="5"/>
      <c r="N9" s="5"/>
      <c r="O9" s="5"/>
      <c r="P9" s="5"/>
      <c r="Q9" s="5"/>
    </row>
    <row r="10" spans="1:17" ht="14.25" customHeight="1" x14ac:dyDescent="0.25">
      <c r="A10" s="5"/>
      <c r="B10" s="5" t="s">
        <v>149</v>
      </c>
      <c r="C10" s="27">
        <f>SUM(H7:K7)</f>
        <v>1079.9526904431891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4.25" customHeight="1" x14ac:dyDescent="0.25">
      <c r="A11" s="5"/>
      <c r="B11" s="5" t="s">
        <v>150</v>
      </c>
      <c r="C11" s="42">
        <v>2.5000000000000001E-2</v>
      </c>
      <c r="D11" s="5"/>
      <c r="E11" s="5"/>
      <c r="F11" s="5"/>
      <c r="G11" s="57" t="s">
        <v>150</v>
      </c>
      <c r="H11" s="58"/>
      <c r="I11" s="58"/>
      <c r="J11" s="58"/>
      <c r="K11" s="58"/>
      <c r="L11" s="5"/>
      <c r="M11" s="5"/>
      <c r="N11" s="5"/>
      <c r="O11" s="5"/>
      <c r="P11" s="5"/>
      <c r="Q11" s="5"/>
    </row>
    <row r="12" spans="1:17" ht="15" customHeight="1" x14ac:dyDescent="0.25">
      <c r="A12" s="5"/>
      <c r="B12" s="5" t="s">
        <v>151</v>
      </c>
      <c r="C12" s="28">
        <f>WACC!C19</f>
        <v>7.7390145351906553E-2</v>
      </c>
      <c r="D12" s="5"/>
      <c r="E12" s="5"/>
      <c r="F12" s="25">
        <f>C21</f>
        <v>422.6503461487597</v>
      </c>
      <c r="G12" s="43">
        <v>5.0000000000000001E-3</v>
      </c>
      <c r="H12" s="43">
        <v>1.4999999999999999E-2</v>
      </c>
      <c r="I12" s="43">
        <f>C11</f>
        <v>2.5000000000000001E-2</v>
      </c>
      <c r="J12" s="43">
        <v>3.5000000000000003E-2</v>
      </c>
      <c r="K12" s="43">
        <v>4.4999999999999998E-2</v>
      </c>
      <c r="L12" s="5"/>
      <c r="M12" s="5"/>
      <c r="N12" s="5"/>
      <c r="O12" s="5"/>
      <c r="P12" s="5"/>
      <c r="Q12" s="5"/>
    </row>
    <row r="13" spans="1:17" ht="14.25" customHeight="1" x14ac:dyDescent="0.25">
      <c r="A13" s="5"/>
      <c r="B13" s="5" t="s">
        <v>152</v>
      </c>
      <c r="C13" s="27">
        <f>L4*(1+C11)/(C12-C11)</f>
        <v>13463.159490716595</v>
      </c>
      <c r="D13" s="5"/>
      <c r="E13" s="59" t="s">
        <v>151</v>
      </c>
      <c r="F13" s="43">
        <v>5.1400000000000001E-2</v>
      </c>
      <c r="G13" s="25">
        <f t="dataTable" ref="G13:K17" dt2D="1" dtr="1" r1="C11" r2="C12"/>
        <v>537.87836573060292</v>
      </c>
      <c r="H13" s="25">
        <v>715.82231303525839</v>
      </c>
      <c r="I13" s="25">
        <v>715.82231303525839</v>
      </c>
      <c r="J13" s="25">
        <v>1722.7246490030645</v>
      </c>
      <c r="K13" s="25">
        <v>4586.1031669115082</v>
      </c>
      <c r="L13" s="5"/>
      <c r="M13" s="5"/>
      <c r="N13" s="5"/>
      <c r="O13" s="5"/>
      <c r="P13" s="5"/>
      <c r="Q13" s="5"/>
    </row>
    <row r="14" spans="1:17" ht="14.25" customHeight="1" x14ac:dyDescent="0.25">
      <c r="A14" s="5"/>
      <c r="B14" s="5" t="s">
        <v>153</v>
      </c>
      <c r="C14" s="27">
        <f>C13/(1+C12)^L6</f>
        <v>9992.0591286873751</v>
      </c>
      <c r="D14" s="27"/>
      <c r="E14" s="58"/>
      <c r="F14" s="43">
        <v>6.1400000000000003E-2</v>
      </c>
      <c r="G14" s="25">
        <v>407.87341263337152</v>
      </c>
      <c r="H14" s="44">
        <v>519.50116186078105</v>
      </c>
      <c r="I14" s="44">
        <v>519.50116186078105</v>
      </c>
      <c r="J14" s="44">
        <v>996.45609037789472</v>
      </c>
      <c r="K14" s="25">
        <v>1671.1728185240545</v>
      </c>
      <c r="L14" s="5"/>
      <c r="M14" s="5"/>
      <c r="N14" s="5"/>
      <c r="O14" s="5"/>
      <c r="P14" s="5"/>
      <c r="Q14" s="5"/>
    </row>
    <row r="15" spans="1:17" ht="14.25" customHeight="1" x14ac:dyDescent="0.25">
      <c r="A15" s="5"/>
      <c r="B15" s="5" t="s">
        <v>154</v>
      </c>
      <c r="C15" s="27">
        <f>C14+C10</f>
        <v>11072.011819130565</v>
      </c>
      <c r="D15" s="5"/>
      <c r="E15" s="58"/>
      <c r="F15" s="43">
        <f>C12</f>
        <v>7.7390145351906553E-2</v>
      </c>
      <c r="G15" s="25">
        <v>407.87341263337152</v>
      </c>
      <c r="H15" s="44">
        <v>519.50116186078105</v>
      </c>
      <c r="I15" s="45">
        <v>519.50116186078105</v>
      </c>
      <c r="J15" s="44">
        <v>996.45609037789472</v>
      </c>
      <c r="K15" s="25">
        <v>1671.1728185240545</v>
      </c>
      <c r="L15" s="5"/>
      <c r="M15" s="5"/>
      <c r="N15" s="5"/>
      <c r="O15" s="5"/>
      <c r="P15" s="5"/>
      <c r="Q15" s="5"/>
    </row>
    <row r="16" spans="1:17" ht="14.25" customHeight="1" x14ac:dyDescent="0.25">
      <c r="A16" s="5"/>
      <c r="B16" s="46" t="s">
        <v>155</v>
      </c>
      <c r="C16" s="27">
        <f>'Balance sheet'!G20</f>
        <v>1067.9000000000001</v>
      </c>
      <c r="D16" s="5"/>
      <c r="E16" s="58"/>
      <c r="F16" s="43">
        <v>8.14E-2</v>
      </c>
      <c r="G16" s="25">
        <v>250.94734372335608</v>
      </c>
      <c r="H16" s="44">
        <v>305.3958498574799</v>
      </c>
      <c r="I16" s="44">
        <v>305.3958498574799</v>
      </c>
      <c r="J16" s="44">
        <v>484.70041316123297</v>
      </c>
      <c r="K16" s="25">
        <v>648.24193793278789</v>
      </c>
      <c r="L16" s="5"/>
      <c r="M16" s="5"/>
      <c r="N16" s="5"/>
      <c r="O16" s="5"/>
      <c r="P16" s="5"/>
      <c r="Q16" s="5"/>
    </row>
    <row r="17" spans="1:17" ht="14.25" customHeight="1" x14ac:dyDescent="0.25">
      <c r="A17" s="5"/>
      <c r="B17" s="46" t="s">
        <v>156</v>
      </c>
      <c r="C17" s="27">
        <f>WACC!C6</f>
        <v>3809.3</v>
      </c>
      <c r="D17" s="5"/>
      <c r="E17" s="58"/>
      <c r="F17" s="43">
        <v>9.1399999999999995E-2</v>
      </c>
      <c r="G17" s="25">
        <v>200.12775573562166</v>
      </c>
      <c r="H17" s="25">
        <v>240.83273642855622</v>
      </c>
      <c r="I17" s="25">
        <v>240.83273642855622</v>
      </c>
      <c r="J17" s="25">
        <v>365.54586876435565</v>
      </c>
      <c r="K17" s="25">
        <v>468.21918029943197</v>
      </c>
      <c r="L17" s="5"/>
      <c r="M17" s="5"/>
      <c r="N17" s="5"/>
      <c r="O17" s="5"/>
      <c r="P17" s="5"/>
      <c r="Q17" s="5"/>
    </row>
    <row r="18" spans="1:17" ht="14.25" customHeight="1" x14ac:dyDescent="0.25">
      <c r="A18" s="5"/>
      <c r="B18" s="46" t="s">
        <v>157</v>
      </c>
      <c r="C18" s="47">
        <f>'Balance sheet'!G54</f>
        <v>4.4000000000000004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4.25" customHeight="1" x14ac:dyDescent="0.25">
      <c r="A19" s="5"/>
      <c r="B19" s="48" t="s">
        <v>158</v>
      </c>
      <c r="C19" s="49">
        <f>C15+C16-C17-C18</f>
        <v>8326.2118191305653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4.25" customHeight="1" x14ac:dyDescent="0.25">
      <c r="A20" s="5"/>
      <c r="B20" s="5" t="s">
        <v>187</v>
      </c>
      <c r="C20" s="50">
        <v>1970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4.25" customHeight="1" x14ac:dyDescent="0.25">
      <c r="A21" s="5"/>
      <c r="B21" s="40" t="s">
        <v>170</v>
      </c>
      <c r="C21" s="51">
        <f>C19/C20*100</f>
        <v>422.6503461487597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4.1" customHeight="1" x14ac:dyDescent="0.25">
      <c r="A23" s="5"/>
      <c r="B23" s="5" t="s">
        <v>189</v>
      </c>
      <c r="C23" s="11">
        <v>250.5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4.25" customHeight="1" x14ac:dyDescent="0.25"/>
    <row r="25" spans="1:17" ht="14.25" customHeight="1" x14ac:dyDescent="0.25">
      <c r="B25" s="5"/>
      <c r="C25" s="56"/>
    </row>
    <row r="26" spans="1:17" ht="14.25" customHeight="1" x14ac:dyDescent="0.25"/>
    <row r="27" spans="1:17" ht="14.25" customHeight="1" x14ac:dyDescent="0.25"/>
    <row r="28" spans="1:17" ht="14.25" customHeight="1" x14ac:dyDescent="0.25"/>
    <row r="29" spans="1:17" ht="14.25" customHeight="1" x14ac:dyDescent="0.25"/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9:C9"/>
    <mergeCell ref="E9:K9"/>
    <mergeCell ref="G11:K11"/>
    <mergeCell ref="E13:E1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C24A-71C2-4F58-82DA-D47D0E783500}">
  <sheetPr>
    <tabColor theme="5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7617-D60C-4FF6-AE1C-DFDFF5C62BE2}">
  <dimension ref="A1:G43"/>
  <sheetViews>
    <sheetView zoomScale="88" workbookViewId="0">
      <selection activeCell="L11" sqref="L11"/>
    </sheetView>
  </sheetViews>
  <sheetFormatPr defaultRowHeight="15" x14ac:dyDescent="0.25"/>
  <cols>
    <col min="1" max="1" width="50.7109375" bestFit="1" customWidth="1"/>
    <col min="2" max="2" width="13.42578125" customWidth="1"/>
    <col min="3" max="3" width="14.140625" customWidth="1"/>
    <col min="4" max="4" width="13.5703125" customWidth="1"/>
    <col min="5" max="5" width="15" customWidth="1"/>
    <col min="6" max="6" width="14.5703125" customWidth="1"/>
    <col min="7" max="7" width="12.140625" customWidth="1"/>
  </cols>
  <sheetData>
    <row r="1" spans="1:7" ht="15.75" x14ac:dyDescent="0.25">
      <c r="A1" s="60" t="s">
        <v>183</v>
      </c>
      <c r="B1" s="61"/>
      <c r="C1" s="61"/>
      <c r="D1" s="61"/>
      <c r="E1" s="61"/>
      <c r="F1" s="61"/>
      <c r="G1" s="5"/>
    </row>
    <row r="2" spans="1:7" ht="15.75" x14ac:dyDescent="0.25">
      <c r="A2" s="5"/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172</v>
      </c>
    </row>
    <row r="3" spans="1:7" ht="15.75" x14ac:dyDescent="0.25">
      <c r="A3" s="6" t="s">
        <v>0</v>
      </c>
      <c r="B3" s="7"/>
      <c r="C3" s="7"/>
      <c r="D3" s="7"/>
      <c r="E3" s="7"/>
      <c r="F3" s="7"/>
      <c r="G3" s="5"/>
    </row>
    <row r="4" spans="1:7" ht="15.75" x14ac:dyDescent="0.25">
      <c r="A4" s="5" t="s">
        <v>1</v>
      </c>
      <c r="B4" s="7">
        <v>944.1</v>
      </c>
      <c r="C4" s="7">
        <v>1041</v>
      </c>
      <c r="D4" s="7">
        <v>1045.4000000000001</v>
      </c>
      <c r="E4" s="7">
        <v>876.7</v>
      </c>
      <c r="F4" s="7">
        <v>1385.7</v>
      </c>
      <c r="G4" s="7">
        <v>1100.5</v>
      </c>
    </row>
    <row r="5" spans="1:7" ht="15.75" x14ac:dyDescent="0.25">
      <c r="A5" s="5" t="s">
        <v>2</v>
      </c>
      <c r="B5" s="7">
        <v>-94.3</v>
      </c>
      <c r="C5" s="7">
        <v>-105.7</v>
      </c>
      <c r="D5" s="7">
        <v>-91.6</v>
      </c>
      <c r="E5" s="7">
        <v>-5.8</v>
      </c>
      <c r="F5" s="7">
        <v>-7.7</v>
      </c>
      <c r="G5" s="7">
        <v>-70.599999999999994</v>
      </c>
    </row>
    <row r="6" spans="1:7" ht="15.75" x14ac:dyDescent="0.25">
      <c r="A6" s="6" t="s">
        <v>3</v>
      </c>
      <c r="B6" s="7">
        <f>SUM(B4:B5)</f>
        <v>849.80000000000007</v>
      </c>
      <c r="C6" s="7">
        <f>SUM(C4:C5)</f>
        <v>935.3</v>
      </c>
      <c r="D6" s="7">
        <v>953.8</v>
      </c>
      <c r="E6" s="7">
        <f>SUM(E4:E5)</f>
        <v>870.90000000000009</v>
      </c>
      <c r="F6" s="7">
        <f>SUM(F4:F5)</f>
        <v>1378</v>
      </c>
      <c r="G6" s="7">
        <f>SUM(G4:G5)</f>
        <v>1029.9000000000001</v>
      </c>
    </row>
    <row r="7" spans="1:7" ht="15.75" x14ac:dyDescent="0.25">
      <c r="A7" s="5"/>
      <c r="B7" s="7"/>
      <c r="C7" s="7"/>
      <c r="D7" s="7"/>
      <c r="E7" s="7"/>
      <c r="F7" s="7"/>
      <c r="G7" s="7"/>
    </row>
    <row r="8" spans="1:7" ht="15.75" x14ac:dyDescent="0.25">
      <c r="A8" s="6" t="s">
        <v>4</v>
      </c>
      <c r="B8" s="7"/>
      <c r="C8" s="7"/>
      <c r="D8" s="7"/>
      <c r="E8" s="7"/>
      <c r="F8" s="7"/>
      <c r="G8" s="7"/>
    </row>
    <row r="9" spans="1:7" ht="15.75" x14ac:dyDescent="0.25">
      <c r="A9" s="5" t="s">
        <v>5</v>
      </c>
      <c r="B9" s="7">
        <v>3.2</v>
      </c>
      <c r="C9" s="7">
        <v>48.1</v>
      </c>
      <c r="D9" s="7">
        <v>2.7</v>
      </c>
      <c r="E9" s="7">
        <v>2.9</v>
      </c>
      <c r="F9" s="7">
        <v>43.9</v>
      </c>
      <c r="G9" s="7">
        <v>1.1000000000000001</v>
      </c>
    </row>
    <row r="10" spans="1:7" ht="15.75" x14ac:dyDescent="0.25">
      <c r="A10" s="5" t="s">
        <v>6</v>
      </c>
      <c r="B10" s="7">
        <v>-274.89999999999998</v>
      </c>
      <c r="C10" s="7">
        <v>-217.8</v>
      </c>
      <c r="D10" s="7">
        <v>-251</v>
      </c>
      <c r="E10" s="7">
        <v>-158.9</v>
      </c>
      <c r="F10" s="7">
        <v>-192.8</v>
      </c>
      <c r="G10" s="7">
        <v>-325.8</v>
      </c>
    </row>
    <row r="11" spans="1:7" ht="15.75" x14ac:dyDescent="0.25">
      <c r="A11" s="5" t="s">
        <v>32</v>
      </c>
      <c r="B11" s="7">
        <v>22.9</v>
      </c>
      <c r="C11" s="7">
        <v>0</v>
      </c>
      <c r="D11" s="7">
        <v>0</v>
      </c>
      <c r="E11" s="7">
        <v>0</v>
      </c>
      <c r="F11" s="7"/>
      <c r="G11" s="7"/>
    </row>
    <row r="12" spans="1:7" ht="15.75" x14ac:dyDescent="0.25">
      <c r="A12" s="5" t="s">
        <v>7</v>
      </c>
      <c r="B12" s="7">
        <v>-74.3</v>
      </c>
      <c r="C12" s="7">
        <v>-95.1</v>
      </c>
      <c r="D12" s="7">
        <v>-77.599999999999994</v>
      </c>
      <c r="E12" s="7">
        <v>-47.8</v>
      </c>
      <c r="F12" s="7">
        <v>-64.599999999999994</v>
      </c>
      <c r="G12" s="7">
        <v>-84.5</v>
      </c>
    </row>
    <row r="13" spans="1:7" ht="15.75" x14ac:dyDescent="0.25">
      <c r="A13" s="5" t="s">
        <v>8</v>
      </c>
      <c r="B13" s="7">
        <v>0.8</v>
      </c>
      <c r="C13" s="7">
        <v>-128.1</v>
      </c>
      <c r="D13" s="7">
        <v>130.1</v>
      </c>
      <c r="E13" s="7">
        <v>-6.7</v>
      </c>
      <c r="F13" s="7">
        <v>0.8</v>
      </c>
      <c r="G13" s="7">
        <v>5.3</v>
      </c>
    </row>
    <row r="14" spans="1:7" ht="15.75" x14ac:dyDescent="0.25">
      <c r="A14" s="5" t="s">
        <v>35</v>
      </c>
      <c r="B14" s="7"/>
      <c r="C14" s="7"/>
      <c r="D14" s="7"/>
      <c r="E14" s="7"/>
      <c r="F14" s="7">
        <v>-3.3</v>
      </c>
      <c r="G14" s="7">
        <v>-4.2</v>
      </c>
    </row>
    <row r="15" spans="1:7" ht="15.75" x14ac:dyDescent="0.25">
      <c r="A15" s="5" t="s">
        <v>36</v>
      </c>
      <c r="B15" s="7"/>
      <c r="C15" s="7"/>
      <c r="D15" s="7"/>
      <c r="E15" s="7"/>
      <c r="F15" s="7">
        <v>5.2</v>
      </c>
      <c r="G15" s="7">
        <v>0.2</v>
      </c>
    </row>
    <row r="16" spans="1:7" ht="15.75" x14ac:dyDescent="0.25">
      <c r="A16" s="5" t="s">
        <v>9</v>
      </c>
      <c r="B16" s="7">
        <v>6</v>
      </c>
      <c r="C16" s="7">
        <v>7.4</v>
      </c>
      <c r="D16" s="7">
        <v>-580.29999999999995</v>
      </c>
      <c r="E16" s="7">
        <v>8.6999999999999993</v>
      </c>
      <c r="F16" s="7">
        <v>-37.799999999999997</v>
      </c>
      <c r="G16" s="7" t="s">
        <v>177</v>
      </c>
    </row>
    <row r="17" spans="1:7" ht="15.75" x14ac:dyDescent="0.25">
      <c r="A17" s="5" t="s">
        <v>37</v>
      </c>
      <c r="B17" s="7"/>
      <c r="C17" s="7"/>
      <c r="D17" s="7"/>
      <c r="E17" s="7"/>
      <c r="F17" s="7">
        <v>-4.5</v>
      </c>
      <c r="G17" s="7">
        <v>-102.8</v>
      </c>
    </row>
    <row r="18" spans="1:7" ht="15.75" x14ac:dyDescent="0.25">
      <c r="A18" s="5" t="s">
        <v>38</v>
      </c>
      <c r="B18" s="7"/>
      <c r="C18" s="7"/>
      <c r="D18" s="7"/>
      <c r="E18" s="7"/>
      <c r="F18" s="7">
        <v>-1</v>
      </c>
      <c r="G18" s="7">
        <v>-30</v>
      </c>
    </row>
    <row r="19" spans="1:7" ht="15.75" x14ac:dyDescent="0.25">
      <c r="A19" s="5" t="s">
        <v>10</v>
      </c>
      <c r="B19" s="7">
        <v>0</v>
      </c>
      <c r="C19" s="7">
        <v>-2.5</v>
      </c>
      <c r="D19" s="7">
        <v>10.4</v>
      </c>
      <c r="E19" s="7">
        <v>9.1999999999999993</v>
      </c>
      <c r="F19" s="7">
        <v>8.4</v>
      </c>
      <c r="G19" s="7">
        <v>24.1</v>
      </c>
    </row>
    <row r="20" spans="1:7" ht="15.75" x14ac:dyDescent="0.25">
      <c r="A20" s="6" t="s">
        <v>11</v>
      </c>
      <c r="B20" s="7">
        <f>SUM(B9:B19)</f>
        <v>-316.29999999999995</v>
      </c>
      <c r="C20" s="7">
        <f>SUM(C9:C19)</f>
        <v>-388</v>
      </c>
      <c r="D20" s="7">
        <f>SUM(D9:D19)</f>
        <v>-765.69999999999993</v>
      </c>
      <c r="E20" s="7">
        <f>SUM(E9:E19)</f>
        <v>-192.60000000000002</v>
      </c>
      <c r="F20" s="7">
        <f>SUM(F9:F19)</f>
        <v>-245.70000000000002</v>
      </c>
      <c r="G20" s="7">
        <v>-516.6</v>
      </c>
    </row>
    <row r="21" spans="1:7" ht="15.75" x14ac:dyDescent="0.25">
      <c r="A21" s="5"/>
      <c r="B21" s="7"/>
      <c r="C21" s="7"/>
      <c r="D21" s="7"/>
      <c r="E21" s="7"/>
      <c r="F21" s="7"/>
      <c r="G21" s="7"/>
    </row>
    <row r="22" spans="1:7" ht="15.75" x14ac:dyDescent="0.25">
      <c r="A22" s="6" t="s">
        <v>12</v>
      </c>
      <c r="B22" s="7"/>
      <c r="C22" s="7"/>
      <c r="D22" s="7"/>
      <c r="E22" s="7"/>
      <c r="F22" s="7"/>
      <c r="G22" s="7"/>
    </row>
    <row r="23" spans="1:7" ht="15.75" x14ac:dyDescent="0.25">
      <c r="A23" s="5" t="s">
        <v>13</v>
      </c>
      <c r="B23" s="7">
        <v>-112.2</v>
      </c>
      <c r="C23" s="7">
        <v>-86.4</v>
      </c>
      <c r="D23" s="7">
        <v>-224.2</v>
      </c>
      <c r="E23" s="7">
        <v>-219.3</v>
      </c>
      <c r="F23" s="7">
        <v>-216.6</v>
      </c>
      <c r="G23" s="7">
        <v>-212.5</v>
      </c>
    </row>
    <row r="24" spans="1:7" ht="15.75" x14ac:dyDescent="0.25">
      <c r="A24" s="5" t="s">
        <v>33</v>
      </c>
      <c r="B24" s="7">
        <v>43.8</v>
      </c>
      <c r="C24" s="7">
        <v>-46.7</v>
      </c>
      <c r="D24" s="7">
        <v>0</v>
      </c>
      <c r="E24" s="7">
        <v>0</v>
      </c>
      <c r="F24" s="7">
        <v>0</v>
      </c>
      <c r="G24" s="7" t="s">
        <v>177</v>
      </c>
    </row>
    <row r="25" spans="1:7" ht="15.75" x14ac:dyDescent="0.25">
      <c r="A25" s="5" t="s">
        <v>14</v>
      </c>
      <c r="B25" s="7">
        <v>-328.2</v>
      </c>
      <c r="C25" s="7">
        <v>1.4</v>
      </c>
      <c r="D25" s="7">
        <v>250</v>
      </c>
      <c r="E25" s="7">
        <v>300</v>
      </c>
      <c r="F25" s="7">
        <v>0</v>
      </c>
      <c r="G25" s="7" t="s">
        <v>177</v>
      </c>
    </row>
    <row r="26" spans="1:7" ht="15.75" x14ac:dyDescent="0.25">
      <c r="A26" s="5" t="s">
        <v>181</v>
      </c>
      <c r="B26" s="7"/>
      <c r="C26" s="7">
        <v>0</v>
      </c>
      <c r="D26" s="7">
        <v>-400</v>
      </c>
      <c r="E26" s="7">
        <v>-136.4</v>
      </c>
      <c r="F26" s="7">
        <v>-163.6</v>
      </c>
      <c r="G26" s="7">
        <v>-189.9</v>
      </c>
    </row>
    <row r="27" spans="1:7" ht="15.75" x14ac:dyDescent="0.25">
      <c r="A27" s="5" t="s">
        <v>15</v>
      </c>
      <c r="B27" s="7">
        <v>-2.6</v>
      </c>
      <c r="C27" s="7">
        <v>-3.3</v>
      </c>
      <c r="D27" s="7">
        <v>-201.4</v>
      </c>
      <c r="E27" s="7">
        <v>-184.3</v>
      </c>
      <c r="F27" s="7">
        <v>-216</v>
      </c>
      <c r="G27" s="7">
        <v>-231.8</v>
      </c>
    </row>
    <row r="28" spans="1:7" ht="15.75" x14ac:dyDescent="0.25">
      <c r="A28" s="5" t="s">
        <v>16</v>
      </c>
      <c r="B28" s="7">
        <v>-59.6</v>
      </c>
      <c r="C28" s="7">
        <v>-61.6</v>
      </c>
      <c r="D28" s="7">
        <v>-63.5</v>
      </c>
      <c r="E28" s="7">
        <v>-17.2</v>
      </c>
      <c r="F28" s="7">
        <v>0</v>
      </c>
      <c r="G28" s="7">
        <v>-66</v>
      </c>
    </row>
    <row r="29" spans="1:7" ht="15.75" x14ac:dyDescent="0.25">
      <c r="A29" s="5" t="s">
        <v>17</v>
      </c>
      <c r="B29" s="7">
        <v>-305</v>
      </c>
      <c r="C29" s="7">
        <v>-305</v>
      </c>
      <c r="D29" s="7">
        <v>-191.1</v>
      </c>
      <c r="E29" s="7">
        <v>0</v>
      </c>
      <c r="F29" s="7">
        <v>0</v>
      </c>
      <c r="G29" s="7" t="s">
        <v>177</v>
      </c>
    </row>
    <row r="30" spans="1:7" ht="15.75" x14ac:dyDescent="0.25">
      <c r="A30" s="5" t="s">
        <v>18</v>
      </c>
      <c r="B30" s="7"/>
      <c r="C30" s="7">
        <v>0</v>
      </c>
      <c r="D30" s="7">
        <v>0.1</v>
      </c>
      <c r="E30" s="7">
        <v>0</v>
      </c>
      <c r="F30" s="7">
        <v>0.3</v>
      </c>
      <c r="G30" s="7" t="s">
        <v>177</v>
      </c>
    </row>
    <row r="31" spans="1:7" ht="15.75" x14ac:dyDescent="0.25">
      <c r="A31" s="5" t="s">
        <v>19</v>
      </c>
      <c r="B31" s="7"/>
      <c r="C31" s="7">
        <v>0</v>
      </c>
      <c r="D31" s="7">
        <v>574.4</v>
      </c>
      <c r="E31" s="7">
        <v>0</v>
      </c>
      <c r="F31" s="7">
        <v>0</v>
      </c>
      <c r="G31" s="7"/>
    </row>
    <row r="32" spans="1:7" ht="15.75" x14ac:dyDescent="0.25">
      <c r="A32" s="5" t="s">
        <v>20</v>
      </c>
      <c r="B32" s="7">
        <v>-3.1</v>
      </c>
      <c r="C32" s="7">
        <v>-5.5</v>
      </c>
      <c r="D32" s="7">
        <v>-8.9</v>
      </c>
      <c r="E32" s="7">
        <v>-0.8</v>
      </c>
      <c r="F32" s="7">
        <v>0</v>
      </c>
      <c r="G32" s="7">
        <v>-0.1</v>
      </c>
    </row>
    <row r="33" spans="1:7" ht="15.75" x14ac:dyDescent="0.25">
      <c r="A33" s="5" t="s">
        <v>21</v>
      </c>
      <c r="B33" s="7"/>
      <c r="C33" s="7">
        <v>0</v>
      </c>
      <c r="D33" s="7">
        <v>7.7</v>
      </c>
      <c r="E33" s="7">
        <v>14</v>
      </c>
      <c r="F33" s="7">
        <v>0</v>
      </c>
      <c r="G33" s="7"/>
    </row>
    <row r="34" spans="1:7" ht="15.75" x14ac:dyDescent="0.25">
      <c r="A34" s="5" t="s">
        <v>34</v>
      </c>
      <c r="B34" s="7">
        <v>1.7</v>
      </c>
      <c r="C34" s="7">
        <f>2.1</f>
        <v>2.1</v>
      </c>
      <c r="D34" s="7"/>
      <c r="E34" s="7"/>
      <c r="F34" s="7">
        <v>0</v>
      </c>
      <c r="G34" s="7">
        <v>56.5</v>
      </c>
    </row>
    <row r="35" spans="1:7" ht="15.75" x14ac:dyDescent="0.25">
      <c r="A35" s="6" t="s">
        <v>22</v>
      </c>
      <c r="B35" s="7">
        <f>SUM(B23:B34)</f>
        <v>-765.2</v>
      </c>
      <c r="C35" s="7">
        <f>SUM(C23:C34)</f>
        <v>-505</v>
      </c>
      <c r="D35" s="7">
        <f>SUM(D23:D33)</f>
        <v>-256.90000000000003</v>
      </c>
      <c r="E35" s="7">
        <f>SUM(E23:E33)</f>
        <v>-244.00000000000006</v>
      </c>
      <c r="F35" s="7">
        <f>SUM(F23:F34)</f>
        <v>-595.90000000000009</v>
      </c>
      <c r="G35" s="7">
        <v>-643.79999999999995</v>
      </c>
    </row>
    <row r="36" spans="1:7" ht="15.75" x14ac:dyDescent="0.25">
      <c r="A36" s="5"/>
      <c r="B36" s="7"/>
      <c r="C36" s="7"/>
      <c r="D36" s="7"/>
      <c r="E36" s="7"/>
      <c r="F36" s="7"/>
      <c r="G36" s="7"/>
    </row>
    <row r="37" spans="1:7" ht="15.75" x14ac:dyDescent="0.25">
      <c r="A37" s="6" t="s">
        <v>23</v>
      </c>
      <c r="B37" s="7">
        <f>B6+B20+B35</f>
        <v>-231.69999999999993</v>
      </c>
      <c r="C37" s="7">
        <f>C6+C20+C35</f>
        <v>42.299999999999955</v>
      </c>
      <c r="D37" s="7">
        <f>D6+D20+D35</f>
        <v>-68.800000000000011</v>
      </c>
      <c r="E37" s="7">
        <f>E6+E20+E35</f>
        <v>434.3</v>
      </c>
      <c r="F37" s="7">
        <f>F6+F20+F35</f>
        <v>536.39999999999986</v>
      </c>
      <c r="G37" s="7">
        <v>-130.5</v>
      </c>
    </row>
    <row r="38" spans="1:7" ht="15.75" x14ac:dyDescent="0.25">
      <c r="A38" s="5" t="s">
        <v>24</v>
      </c>
      <c r="B38" s="7">
        <v>-3.5</v>
      </c>
      <c r="C38" s="7">
        <v>-0.2</v>
      </c>
      <c r="D38" s="7">
        <v>0.5</v>
      </c>
      <c r="E38" s="7">
        <v>-3.3</v>
      </c>
      <c r="F38" s="7">
        <v>-8.1999999999999993</v>
      </c>
      <c r="G38" s="7">
        <v>0.5</v>
      </c>
    </row>
    <row r="39" spans="1:7" ht="15.75" x14ac:dyDescent="0.25">
      <c r="A39" s="5" t="s">
        <v>25</v>
      </c>
      <c r="B39" s="7">
        <v>406.2</v>
      </c>
      <c r="C39" s="7">
        <v>171</v>
      </c>
      <c r="D39" s="7">
        <v>307</v>
      </c>
      <c r="E39" s="7">
        <v>238.7</v>
      </c>
      <c r="F39" s="7">
        <v>669.7</v>
      </c>
      <c r="G39" s="7">
        <v>1197.9000000000001</v>
      </c>
    </row>
    <row r="40" spans="1:7" ht="15.75" x14ac:dyDescent="0.25">
      <c r="A40" s="6" t="s">
        <v>26</v>
      </c>
      <c r="B40" s="7">
        <f>SUM(B37:B39)</f>
        <v>171.00000000000006</v>
      </c>
      <c r="C40" s="7">
        <f>SUM(C37:C39)</f>
        <v>213.09999999999997</v>
      </c>
      <c r="D40" s="7">
        <f>SUM(D37:D39)</f>
        <v>238.7</v>
      </c>
      <c r="E40" s="7">
        <f>SUM(E37:E39)</f>
        <v>669.7</v>
      </c>
      <c r="F40" s="7">
        <f>SUM(F37:F39)</f>
        <v>1197.8999999999999</v>
      </c>
      <c r="G40" s="7">
        <v>1067.9000000000001</v>
      </c>
    </row>
    <row r="41" spans="1:7" ht="15.75" x14ac:dyDescent="0.25">
      <c r="A41" s="5"/>
      <c r="B41" s="5"/>
      <c r="C41" s="5"/>
      <c r="D41" s="5"/>
      <c r="E41" s="5"/>
      <c r="F41" s="5"/>
      <c r="G41" s="5"/>
    </row>
    <row r="42" spans="1:7" ht="15.75" x14ac:dyDescent="0.25">
      <c r="A42" s="5"/>
      <c r="B42" s="5"/>
      <c r="C42" s="5"/>
      <c r="D42" s="5"/>
      <c r="E42" s="5"/>
      <c r="F42" s="5"/>
      <c r="G42" s="5"/>
    </row>
    <row r="43" spans="1:7" ht="15.75" x14ac:dyDescent="0.25">
      <c r="A43" s="5"/>
      <c r="B43" s="5"/>
      <c r="C43" s="5"/>
      <c r="D43" s="5"/>
      <c r="E43" s="5"/>
      <c r="F43" s="5"/>
      <c r="G43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0899-DA2E-4D9B-AEDD-F229358ECBA4}">
  <dimension ref="A1:H37"/>
  <sheetViews>
    <sheetView topLeftCell="A23" zoomScale="113" zoomScaleNormal="70" workbookViewId="0">
      <selection activeCell="F16" sqref="F16"/>
    </sheetView>
  </sheetViews>
  <sheetFormatPr defaultRowHeight="15" x14ac:dyDescent="0.25"/>
  <cols>
    <col min="1" max="1" width="89.5703125" customWidth="1"/>
    <col min="2" max="2" width="17.7109375" customWidth="1"/>
    <col min="3" max="4" width="14.85546875" customWidth="1"/>
    <col min="5" max="6" width="13.140625" customWidth="1"/>
    <col min="7" max="7" width="12.85546875" customWidth="1"/>
  </cols>
  <sheetData>
    <row r="1" spans="1:8" ht="15.75" x14ac:dyDescent="0.25">
      <c r="A1" s="60" t="s">
        <v>182</v>
      </c>
      <c r="B1" s="60"/>
      <c r="C1" s="60"/>
      <c r="D1" s="60"/>
      <c r="E1" s="60"/>
      <c r="F1" s="60"/>
      <c r="G1" s="5"/>
      <c r="H1" s="5"/>
    </row>
    <row r="2" spans="1:8" ht="15.75" x14ac:dyDescent="0.25">
      <c r="A2" s="5"/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172</v>
      </c>
      <c r="H2" s="5"/>
    </row>
    <row r="3" spans="1:8" ht="15.75" x14ac:dyDescent="0.25">
      <c r="A3" s="6" t="s">
        <v>85</v>
      </c>
      <c r="B3" s="11">
        <v>10698.2</v>
      </c>
      <c r="C3" s="11">
        <v>10377.299999999999</v>
      </c>
      <c r="D3" s="11">
        <v>10181.9</v>
      </c>
      <c r="E3" s="11">
        <v>9155.7000000000007</v>
      </c>
      <c r="F3" s="11">
        <v>10855.1</v>
      </c>
      <c r="G3" s="11">
        <v>11931.3</v>
      </c>
      <c r="H3" s="5"/>
    </row>
    <row r="4" spans="1:8" ht="15.75" x14ac:dyDescent="0.25">
      <c r="A4" s="5" t="s">
        <v>103</v>
      </c>
      <c r="B4" s="11">
        <v>-6650.9</v>
      </c>
      <c r="C4" s="11">
        <v>-6547.2</v>
      </c>
      <c r="D4" s="11">
        <v>-6746.5</v>
      </c>
      <c r="E4" s="11">
        <v>-6244.1</v>
      </c>
      <c r="F4" s="11">
        <v>-7130.3</v>
      </c>
      <c r="G4" s="11">
        <v>-7786.7</v>
      </c>
      <c r="H4" s="5"/>
    </row>
    <row r="5" spans="1:8" ht="15.75" x14ac:dyDescent="0.25">
      <c r="A5" s="5"/>
      <c r="B5" s="11"/>
      <c r="C5" s="11"/>
      <c r="D5" s="11"/>
      <c r="E5" s="11"/>
      <c r="F5" s="11"/>
      <c r="G5" s="11"/>
      <c r="H5" s="5"/>
    </row>
    <row r="6" spans="1:8" ht="15.75" x14ac:dyDescent="0.25">
      <c r="A6" s="6" t="s">
        <v>108</v>
      </c>
      <c r="B6" s="11">
        <f>SUM(B3:B4)</f>
        <v>4047.3000000000011</v>
      </c>
      <c r="C6" s="11">
        <f t="shared" ref="C6:E6" si="0">SUM(C3:C4)</f>
        <v>3830.0999999999995</v>
      </c>
      <c r="D6" s="11">
        <f t="shared" si="0"/>
        <v>3435.3999999999996</v>
      </c>
      <c r="E6" s="11">
        <f t="shared" si="0"/>
        <v>2911.6000000000004</v>
      </c>
      <c r="F6" s="11">
        <f>SUM(F3:F4)</f>
        <v>3724.8</v>
      </c>
      <c r="G6" s="11">
        <f>SUM(G3:G4)</f>
        <v>4144.5999999999995</v>
      </c>
      <c r="H6" s="5"/>
    </row>
    <row r="7" spans="1:8" ht="15.75" x14ac:dyDescent="0.25">
      <c r="A7" s="5" t="s">
        <v>135</v>
      </c>
      <c r="B7" s="11">
        <v>-3426.2</v>
      </c>
      <c r="C7" s="11">
        <v>-3271.1</v>
      </c>
      <c r="D7" s="11">
        <v>-3225.2</v>
      </c>
      <c r="E7" s="11">
        <v>-3018.9</v>
      </c>
      <c r="F7" s="11">
        <v>-3244.1</v>
      </c>
      <c r="G7" s="11">
        <v>-3609.2</v>
      </c>
      <c r="H7" s="5"/>
    </row>
    <row r="8" spans="1:8" s="3" customFormat="1" ht="15.75" x14ac:dyDescent="0.25">
      <c r="A8" s="10" t="s">
        <v>137</v>
      </c>
      <c r="B8" s="12">
        <v>580.6</v>
      </c>
      <c r="C8" s="12">
        <v>544.9</v>
      </c>
      <c r="D8" s="12">
        <v>772.4</v>
      </c>
      <c r="E8" s="12">
        <v>791.7</v>
      </c>
      <c r="F8" s="12">
        <v>586.4</v>
      </c>
      <c r="G8" s="12">
        <v>578.4</v>
      </c>
      <c r="H8" s="10"/>
    </row>
    <row r="9" spans="1:8" ht="15.75" x14ac:dyDescent="0.25">
      <c r="A9" s="5" t="s">
        <v>136</v>
      </c>
      <c r="B9" s="11">
        <v>49.5</v>
      </c>
      <c r="C9" s="11">
        <v>42</v>
      </c>
      <c r="D9" s="11">
        <v>58.8</v>
      </c>
      <c r="E9" s="11">
        <v>12.4</v>
      </c>
      <c r="F9" s="11">
        <v>80.099999999999994</v>
      </c>
      <c r="G9" s="11">
        <v>23.2</v>
      </c>
      <c r="H9" s="5"/>
    </row>
    <row r="10" spans="1:8" ht="15.75" x14ac:dyDescent="0.25">
      <c r="A10" s="5" t="s">
        <v>86</v>
      </c>
      <c r="B10" s="11">
        <v>0</v>
      </c>
      <c r="C10" s="11">
        <v>0</v>
      </c>
      <c r="D10" s="11">
        <v>-14.2</v>
      </c>
      <c r="E10" s="11">
        <v>64.2</v>
      </c>
      <c r="F10" s="11">
        <v>-18.600000000000001</v>
      </c>
      <c r="G10" s="11">
        <v>-43.5</v>
      </c>
      <c r="H10" s="5"/>
    </row>
    <row r="11" spans="1:8" ht="15.75" x14ac:dyDescent="0.25">
      <c r="A11" s="5" t="s">
        <v>93</v>
      </c>
      <c r="B11" s="11">
        <v>-468.3</v>
      </c>
      <c r="C11" s="11">
        <v>-414.5</v>
      </c>
      <c r="D11" s="11">
        <v>0</v>
      </c>
      <c r="E11" s="11">
        <v>0</v>
      </c>
      <c r="F11" s="11">
        <v>0</v>
      </c>
      <c r="G11" s="11">
        <v>0</v>
      </c>
      <c r="H11" s="5"/>
    </row>
    <row r="12" spans="1:8" ht="15.75" x14ac:dyDescent="0.25">
      <c r="A12" s="5"/>
      <c r="B12" s="11"/>
      <c r="C12" s="11"/>
      <c r="D12" s="11"/>
      <c r="E12" s="11"/>
      <c r="F12" s="11"/>
      <c r="G12" s="11"/>
      <c r="H12" s="5"/>
    </row>
    <row r="13" spans="1:8" ht="15.75" x14ac:dyDescent="0.25">
      <c r="A13" s="6" t="s">
        <v>87</v>
      </c>
      <c r="B13" s="11">
        <f>SUM(B6:B11)</f>
        <v>782.90000000000123</v>
      </c>
      <c r="C13" s="11">
        <f t="shared" ref="C13:G13" si="1">SUM(C6:C11)</f>
        <v>731.39999999999964</v>
      </c>
      <c r="D13" s="11">
        <f t="shared" si="1"/>
        <v>1027.1999999999998</v>
      </c>
      <c r="E13" s="11">
        <f t="shared" si="1"/>
        <v>761.00000000000034</v>
      </c>
      <c r="F13" s="11">
        <f t="shared" si="1"/>
        <v>1128.6000000000004</v>
      </c>
      <c r="G13" s="11">
        <f t="shared" si="1"/>
        <v>1093.4999999999998</v>
      </c>
      <c r="H13" s="5"/>
    </row>
    <row r="14" spans="1:8" ht="15.75" x14ac:dyDescent="0.25">
      <c r="A14" s="5"/>
      <c r="B14" s="11"/>
      <c r="C14" s="11"/>
      <c r="D14" s="11"/>
      <c r="E14" s="11"/>
      <c r="F14" s="11"/>
      <c r="G14" s="11"/>
      <c r="H14" s="5"/>
    </row>
    <row r="15" spans="1:8" ht="15.75" x14ac:dyDescent="0.25">
      <c r="A15" s="5" t="s">
        <v>88</v>
      </c>
      <c r="B15" s="11">
        <v>24.1</v>
      </c>
      <c r="C15" s="11">
        <v>33.799999999999997</v>
      </c>
      <c r="D15" s="11">
        <v>46.9</v>
      </c>
      <c r="E15" s="11">
        <v>57.4</v>
      </c>
      <c r="F15" s="11">
        <v>33.9</v>
      </c>
      <c r="G15" s="11">
        <v>166.1</v>
      </c>
      <c r="H15" s="5"/>
    </row>
    <row r="16" spans="1:8" ht="15.75" x14ac:dyDescent="0.25">
      <c r="A16" s="5" t="s">
        <v>89</v>
      </c>
      <c r="B16" s="11">
        <v>-113.8</v>
      </c>
      <c r="C16" s="11">
        <v>-111.6</v>
      </c>
      <c r="D16" s="11">
        <v>-234.5</v>
      </c>
      <c r="E16" s="11">
        <v>-236.1</v>
      </c>
      <c r="F16" s="11">
        <v>-214.4</v>
      </c>
      <c r="G16" s="11">
        <v>-205.5</v>
      </c>
      <c r="H16" s="5"/>
    </row>
    <row r="17" spans="1:8" ht="15.75" x14ac:dyDescent="0.25">
      <c r="A17" s="5"/>
      <c r="B17" s="11"/>
      <c r="C17" s="11"/>
      <c r="D17" s="11"/>
      <c r="E17" s="11"/>
      <c r="F17" s="11"/>
      <c r="G17" s="11"/>
      <c r="H17" s="5"/>
    </row>
    <row r="18" spans="1:8" ht="15.75" x14ac:dyDescent="0.25">
      <c r="A18" s="6" t="s">
        <v>90</v>
      </c>
      <c r="B18" s="11">
        <f t="shared" ref="B18:G18" si="2">SUM(B13:B16)</f>
        <v>693.2000000000013</v>
      </c>
      <c r="C18" s="11">
        <f t="shared" si="2"/>
        <v>653.59999999999957</v>
      </c>
      <c r="D18" s="11">
        <f t="shared" si="2"/>
        <v>839.59999999999991</v>
      </c>
      <c r="E18" s="11">
        <f t="shared" si="2"/>
        <v>582.3000000000003</v>
      </c>
      <c r="F18" s="11">
        <f t="shared" si="2"/>
        <v>948.10000000000048</v>
      </c>
      <c r="G18" s="11">
        <f t="shared" si="2"/>
        <v>1054.0999999999997</v>
      </c>
      <c r="H18" s="5"/>
    </row>
    <row r="19" spans="1:8" ht="15.75" x14ac:dyDescent="0.25">
      <c r="A19" s="5" t="s">
        <v>91</v>
      </c>
      <c r="B19" s="11">
        <v>-38.799999999999997</v>
      </c>
      <c r="C19" s="11">
        <v>-50.6</v>
      </c>
      <c r="D19" s="11">
        <v>-39.799999999999997</v>
      </c>
      <c r="E19" s="11">
        <v>8.1999999999999993</v>
      </c>
      <c r="F19" s="11">
        <v>-82.7</v>
      </c>
      <c r="G19" s="11">
        <v>-111.2</v>
      </c>
      <c r="H19" s="5"/>
    </row>
    <row r="20" spans="1:8" ht="15.75" x14ac:dyDescent="0.25">
      <c r="A20" s="6" t="s">
        <v>82</v>
      </c>
      <c r="B20" s="11">
        <f>SUM(B18:B19)</f>
        <v>654.40000000000134</v>
      </c>
      <c r="C20" s="11">
        <f t="shared" ref="C20:E20" si="3">SUM(C18:C19)</f>
        <v>602.99999999999955</v>
      </c>
      <c r="D20" s="11">
        <f t="shared" si="3"/>
        <v>799.8</v>
      </c>
      <c r="E20" s="11">
        <f t="shared" si="3"/>
        <v>590.50000000000034</v>
      </c>
      <c r="F20" s="11">
        <f>SUM(F18:F19)</f>
        <v>865.40000000000043</v>
      </c>
      <c r="G20" s="11">
        <f>SUM(G18:G19)</f>
        <v>942.89999999999964</v>
      </c>
      <c r="H20" s="5"/>
    </row>
    <row r="21" spans="1:8" ht="15.75" x14ac:dyDescent="0.25">
      <c r="A21" s="5"/>
      <c r="B21" s="11"/>
      <c r="C21" s="11"/>
      <c r="D21" s="11"/>
      <c r="E21" s="11"/>
      <c r="F21" s="11"/>
      <c r="G21" s="11"/>
      <c r="H21" s="5"/>
    </row>
    <row r="22" spans="1:8" ht="15.75" x14ac:dyDescent="0.25">
      <c r="A22" s="6" t="s">
        <v>83</v>
      </c>
      <c r="B22" s="11"/>
      <c r="C22" s="11"/>
      <c r="D22" s="11"/>
      <c r="E22" s="11"/>
      <c r="F22" s="11"/>
      <c r="G22" s="11"/>
      <c r="H22" s="5"/>
    </row>
    <row r="23" spans="1:8" ht="15.75" x14ac:dyDescent="0.25">
      <c r="A23" s="5" t="s">
        <v>92</v>
      </c>
      <c r="B23" s="11">
        <v>70.400000000000006</v>
      </c>
      <c r="C23" s="11">
        <v>54.3</v>
      </c>
      <c r="D23" s="11">
        <v>23.7</v>
      </c>
      <c r="E23" s="11">
        <v>-198</v>
      </c>
      <c r="F23" s="11">
        <v>306.60000000000002</v>
      </c>
      <c r="G23" s="11">
        <v>363.4</v>
      </c>
      <c r="H23" s="5"/>
    </row>
    <row r="24" spans="1:8" ht="15.75" x14ac:dyDescent="0.25">
      <c r="A24" s="5" t="s">
        <v>84</v>
      </c>
      <c r="B24" s="11">
        <v>3.4</v>
      </c>
      <c r="C24" s="11">
        <v>3.8</v>
      </c>
      <c r="D24" s="11">
        <v>3.7</v>
      </c>
      <c r="E24" s="11">
        <v>-3.2</v>
      </c>
      <c r="F24" s="11">
        <v>2.4</v>
      </c>
      <c r="G24" s="11">
        <v>1.1000000000000001</v>
      </c>
      <c r="H24" s="5"/>
    </row>
    <row r="25" spans="1:8" ht="15.75" x14ac:dyDescent="0.25">
      <c r="A25" s="5"/>
      <c r="B25" s="11"/>
      <c r="C25" s="11"/>
      <c r="D25" s="11"/>
      <c r="E25" s="11"/>
      <c r="F25" s="11"/>
      <c r="G25" s="11"/>
      <c r="H25" s="5"/>
    </row>
    <row r="26" spans="1:8" ht="15.75" x14ac:dyDescent="0.25">
      <c r="A26" s="6" t="s">
        <v>94</v>
      </c>
      <c r="B26" s="11">
        <f>SUM(B23:B24)</f>
        <v>73.800000000000011</v>
      </c>
      <c r="C26" s="11">
        <f>SUM(C23:C24)</f>
        <v>58.099999999999994</v>
      </c>
      <c r="D26" s="11">
        <f>SUM(D23:D24)</f>
        <v>27.4</v>
      </c>
      <c r="E26" s="11">
        <f>SUM(E23:E24)</f>
        <v>-201.2</v>
      </c>
      <c r="F26" s="11">
        <f>SUM(F23:F24)</f>
        <v>309</v>
      </c>
      <c r="G26" s="11">
        <v>364.5</v>
      </c>
      <c r="H26" s="5"/>
    </row>
    <row r="27" spans="1:8" ht="15.75" x14ac:dyDescent="0.25">
      <c r="A27" s="5"/>
      <c r="B27" s="5"/>
      <c r="C27" s="5"/>
      <c r="D27" s="5"/>
      <c r="E27" s="5"/>
      <c r="F27" s="5"/>
      <c r="G27" s="5"/>
      <c r="H27" s="5"/>
    </row>
    <row r="28" spans="1:8" ht="15.75" x14ac:dyDescent="0.25">
      <c r="A28" s="6"/>
      <c r="B28" s="5"/>
      <c r="C28" s="5"/>
      <c r="D28" s="5"/>
      <c r="E28" s="5"/>
      <c r="F28" s="5"/>
      <c r="G28" s="5"/>
      <c r="H28" s="5"/>
    </row>
    <row r="29" spans="1:8" ht="15.75" x14ac:dyDescent="0.25">
      <c r="A29" s="5"/>
      <c r="B29" s="5"/>
      <c r="C29" s="5"/>
      <c r="D29" s="5"/>
      <c r="E29" s="5"/>
      <c r="F29" s="5"/>
      <c r="G29" s="5"/>
      <c r="H29" s="5"/>
    </row>
    <row r="30" spans="1:8" ht="15.75" x14ac:dyDescent="0.25">
      <c r="A30" s="5"/>
      <c r="B30" s="5"/>
      <c r="C30" s="5"/>
      <c r="D30" s="5"/>
      <c r="E30" s="5"/>
      <c r="F30" s="5"/>
      <c r="G30" s="5"/>
      <c r="H30" s="5"/>
    </row>
    <row r="31" spans="1:8" ht="15.75" x14ac:dyDescent="0.25">
      <c r="A31" s="5"/>
      <c r="B31" s="5"/>
      <c r="C31" s="5"/>
      <c r="D31" s="5"/>
      <c r="E31" s="5"/>
      <c r="F31" s="5"/>
      <c r="G31" s="5"/>
      <c r="H31" s="5"/>
    </row>
    <row r="32" spans="1:8" ht="15.75" x14ac:dyDescent="0.25">
      <c r="A32" s="6"/>
      <c r="B32" s="5"/>
      <c r="C32" s="5"/>
      <c r="D32" s="5"/>
      <c r="E32" s="5"/>
      <c r="F32" s="5"/>
      <c r="G32" s="5"/>
      <c r="H32" s="5"/>
    </row>
    <row r="37" spans="1:1" x14ac:dyDescent="0.25">
      <c r="A37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BB5-6F78-409A-961A-3C8D2A266434}">
  <dimension ref="A1:G66"/>
  <sheetViews>
    <sheetView zoomScale="76" zoomScaleNormal="76" workbookViewId="0">
      <selection activeCell="I11" sqref="I11"/>
    </sheetView>
  </sheetViews>
  <sheetFormatPr defaultRowHeight="15" x14ac:dyDescent="0.25"/>
  <cols>
    <col min="1" max="1" width="51.140625" bestFit="1" customWidth="1"/>
    <col min="2" max="3" width="11.85546875" bestFit="1" customWidth="1"/>
    <col min="4" max="4" width="13.140625" bestFit="1" customWidth="1"/>
    <col min="5" max="6" width="11.85546875" bestFit="1" customWidth="1"/>
    <col min="7" max="7" width="13" customWidth="1"/>
  </cols>
  <sheetData>
    <row r="1" spans="1:7" ht="15.75" x14ac:dyDescent="0.25">
      <c r="A1" s="60" t="s">
        <v>184</v>
      </c>
      <c r="B1" s="60"/>
      <c r="C1" s="60"/>
      <c r="D1" s="60"/>
      <c r="E1" s="60"/>
      <c r="F1" s="60"/>
      <c r="G1" s="5"/>
    </row>
    <row r="2" spans="1:7" ht="15.75" x14ac:dyDescent="0.25">
      <c r="A2" s="5"/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172</v>
      </c>
    </row>
    <row r="3" spans="1:7" ht="15.75" x14ac:dyDescent="0.25">
      <c r="A3" s="6" t="s">
        <v>39</v>
      </c>
      <c r="B3" s="5"/>
      <c r="C3" s="5"/>
      <c r="D3" s="5"/>
      <c r="E3" s="5"/>
      <c r="F3" s="5"/>
      <c r="G3" s="5"/>
    </row>
    <row r="4" spans="1:7" ht="15.75" x14ac:dyDescent="0.25">
      <c r="A4" s="6" t="s">
        <v>40</v>
      </c>
      <c r="B4" s="5"/>
      <c r="C4" s="5"/>
      <c r="D4" s="5"/>
      <c r="E4" s="5"/>
      <c r="F4" s="5"/>
      <c r="G4" s="5"/>
    </row>
    <row r="5" spans="1:7" ht="15.75" x14ac:dyDescent="0.25">
      <c r="A5" s="5" t="s">
        <v>41</v>
      </c>
      <c r="B5" s="7">
        <v>599.20000000000005</v>
      </c>
      <c r="C5" s="7">
        <v>499.9</v>
      </c>
      <c r="D5" s="7">
        <v>399.1</v>
      </c>
      <c r="E5" s="7">
        <v>232</v>
      </c>
      <c r="F5" s="7">
        <v>192.5</v>
      </c>
      <c r="G5" s="8">
        <v>163.1</v>
      </c>
    </row>
    <row r="6" spans="1:7" ht="15.75" x14ac:dyDescent="0.25">
      <c r="A6" s="5" t="s">
        <v>42</v>
      </c>
      <c r="B6" s="7">
        <v>4393.8999999999996</v>
      </c>
      <c r="C6" s="7">
        <v>5662.3</v>
      </c>
      <c r="D6" s="7">
        <v>5494.2</v>
      </c>
      <c r="E6" s="7">
        <v>5058.6000000000004</v>
      </c>
      <c r="F6" s="7">
        <v>4902.3</v>
      </c>
      <c r="G6" s="8">
        <v>5203.7</v>
      </c>
    </row>
    <row r="7" spans="1:7" ht="15.75" x14ac:dyDescent="0.25">
      <c r="A7" s="5" t="s">
        <v>43</v>
      </c>
      <c r="B7" s="7">
        <v>15.5</v>
      </c>
      <c r="C7" s="7">
        <v>15.5</v>
      </c>
      <c r="D7" s="7">
        <v>15.5</v>
      </c>
      <c r="E7" s="7">
        <v>15.2</v>
      </c>
      <c r="F7" s="7">
        <v>15</v>
      </c>
      <c r="G7" s="8">
        <v>11.8</v>
      </c>
    </row>
    <row r="8" spans="1:7" ht="15.75" x14ac:dyDescent="0.25">
      <c r="A8" s="5" t="s">
        <v>44</v>
      </c>
      <c r="B8" s="7">
        <v>7</v>
      </c>
      <c r="C8" s="7">
        <v>4</v>
      </c>
      <c r="D8" s="7">
        <v>760.4</v>
      </c>
      <c r="E8" s="7">
        <v>825.8</v>
      </c>
      <c r="F8" s="7">
        <v>810.9</v>
      </c>
      <c r="G8" s="8">
        <v>767.9</v>
      </c>
    </row>
    <row r="9" spans="1:7" ht="15.75" x14ac:dyDescent="0.25">
      <c r="A9" s="5" t="s">
        <v>45</v>
      </c>
      <c r="B9" s="7">
        <v>16</v>
      </c>
      <c r="C9" s="7">
        <v>9.9</v>
      </c>
      <c r="D9" s="7">
        <v>9.6999999999999993</v>
      </c>
      <c r="E9" s="7">
        <v>9.6999999999999993</v>
      </c>
      <c r="F9" s="7">
        <v>4.5</v>
      </c>
      <c r="G9" s="8">
        <v>7.9</v>
      </c>
    </row>
    <row r="10" spans="1:7" ht="15.75" x14ac:dyDescent="0.25">
      <c r="A10" s="5" t="s">
        <v>46</v>
      </c>
      <c r="B10" s="7">
        <v>970.7</v>
      </c>
      <c r="C10" s="7">
        <v>931.5</v>
      </c>
      <c r="D10" s="7">
        <v>1915</v>
      </c>
      <c r="E10" s="7">
        <v>639.20000000000005</v>
      </c>
      <c r="F10" s="7">
        <v>1043.9000000000001</v>
      </c>
      <c r="G10" s="8">
        <v>482</v>
      </c>
    </row>
    <row r="11" spans="1:7" ht="15.75" x14ac:dyDescent="0.25">
      <c r="A11" s="5" t="s">
        <v>47</v>
      </c>
      <c r="B11" s="7">
        <v>209</v>
      </c>
      <c r="C11" s="7">
        <v>273</v>
      </c>
      <c r="D11" s="7">
        <v>262.60000000000002</v>
      </c>
      <c r="E11" s="7">
        <v>261.39999999999998</v>
      </c>
      <c r="F11" s="7">
        <v>270.60000000000002</v>
      </c>
      <c r="G11" s="8">
        <v>298.7</v>
      </c>
    </row>
    <row r="12" spans="1:7" ht="15.75" x14ac:dyDescent="0.25">
      <c r="A12" s="5" t="s">
        <v>48</v>
      </c>
      <c r="B12" s="7">
        <v>27.1</v>
      </c>
      <c r="C12" s="7">
        <v>19.8</v>
      </c>
      <c r="D12" s="7">
        <v>112.4</v>
      </c>
      <c r="E12" s="7">
        <v>0.3</v>
      </c>
      <c r="F12" s="7">
        <v>21.4</v>
      </c>
      <c r="G12" s="8">
        <v>0.1</v>
      </c>
    </row>
    <row r="13" spans="1:7" ht="15.75" x14ac:dyDescent="0.25">
      <c r="A13" s="5"/>
      <c r="B13" s="7">
        <f t="shared" ref="B13:D13" si="0">SUM(B5:B12)</f>
        <v>6238.4</v>
      </c>
      <c r="C13" s="7">
        <f t="shared" si="0"/>
        <v>7415.9</v>
      </c>
      <c r="D13" s="7">
        <f t="shared" si="0"/>
        <v>8968.9</v>
      </c>
      <c r="E13" s="7">
        <f>SUM(E5:E12)</f>
        <v>7042.2</v>
      </c>
      <c r="F13" s="7">
        <f>SUM(F5:F12)</f>
        <v>7261.1</v>
      </c>
      <c r="G13" s="7">
        <f>SUM(G5:G12)</f>
        <v>6935.2</v>
      </c>
    </row>
    <row r="14" spans="1:7" ht="15.75" x14ac:dyDescent="0.25">
      <c r="A14" s="6" t="s">
        <v>50</v>
      </c>
      <c r="B14" s="7"/>
      <c r="C14" s="7"/>
      <c r="D14" s="7"/>
      <c r="E14" s="7"/>
      <c r="F14" s="7"/>
      <c r="G14" s="8"/>
    </row>
    <row r="15" spans="1:7" ht="15.75" x14ac:dyDescent="0.25">
      <c r="A15" s="5" t="s">
        <v>51</v>
      </c>
      <c r="B15" s="7">
        <v>781</v>
      </c>
      <c r="C15" s="7">
        <v>700.4</v>
      </c>
      <c r="D15" s="7">
        <v>564.1</v>
      </c>
      <c r="E15" s="7">
        <v>624.6</v>
      </c>
      <c r="F15" s="7">
        <v>706.1</v>
      </c>
      <c r="G15" s="8">
        <v>764.4</v>
      </c>
    </row>
    <row r="16" spans="1:7" ht="15.75" x14ac:dyDescent="0.25">
      <c r="A16" s="5" t="s">
        <v>45</v>
      </c>
      <c r="B16" s="7">
        <v>13.7</v>
      </c>
      <c r="C16" s="7">
        <v>141.80000000000001</v>
      </c>
      <c r="D16" s="7">
        <v>11.7</v>
      </c>
      <c r="E16" s="7">
        <v>18.399999999999999</v>
      </c>
      <c r="F16" s="7">
        <v>17.600000000000001</v>
      </c>
      <c r="G16" s="8">
        <v>13</v>
      </c>
    </row>
    <row r="17" spans="1:7" ht="15.75" x14ac:dyDescent="0.25">
      <c r="A17" s="5" t="s">
        <v>52</v>
      </c>
      <c r="B17" s="7">
        <v>308.39999999999998</v>
      </c>
      <c r="C17" s="7">
        <v>267.2</v>
      </c>
      <c r="D17" s="7">
        <v>298</v>
      </c>
      <c r="E17" s="7">
        <v>209.6</v>
      </c>
      <c r="F17" s="7">
        <v>217.1</v>
      </c>
      <c r="G17" s="8">
        <v>280.60000000000002</v>
      </c>
    </row>
    <row r="18" spans="1:7" ht="15.75" x14ac:dyDescent="0.25">
      <c r="A18" s="5" t="s">
        <v>48</v>
      </c>
      <c r="B18" s="7">
        <v>7.1</v>
      </c>
      <c r="C18" s="7">
        <v>40.299999999999997</v>
      </c>
      <c r="D18" s="7">
        <v>73.5</v>
      </c>
      <c r="E18" s="7">
        <v>32.799999999999997</v>
      </c>
      <c r="F18" s="7">
        <v>43.6</v>
      </c>
      <c r="G18" s="8">
        <v>22.6</v>
      </c>
    </row>
    <row r="19" spans="1:7" ht="15.75" x14ac:dyDescent="0.25">
      <c r="A19" s="5" t="s">
        <v>53</v>
      </c>
      <c r="B19" s="7">
        <v>0</v>
      </c>
      <c r="C19" s="7">
        <v>0</v>
      </c>
      <c r="D19" s="7">
        <v>19.3</v>
      </c>
      <c r="E19" s="7">
        <v>35.4</v>
      </c>
      <c r="F19" s="7">
        <v>0</v>
      </c>
      <c r="G19" s="8">
        <v>6.5</v>
      </c>
    </row>
    <row r="20" spans="1:7" ht="15.75" x14ac:dyDescent="0.25">
      <c r="A20" s="5" t="s">
        <v>54</v>
      </c>
      <c r="B20" s="7">
        <v>207.7</v>
      </c>
      <c r="C20" s="7">
        <v>310.39999999999998</v>
      </c>
      <c r="D20" s="7">
        <v>254.2</v>
      </c>
      <c r="E20" s="7">
        <v>674.4</v>
      </c>
      <c r="F20" s="7">
        <v>1197.9000000000001</v>
      </c>
      <c r="G20" s="8">
        <v>1067.9000000000001</v>
      </c>
    </row>
    <row r="21" spans="1:7" ht="15.75" x14ac:dyDescent="0.25">
      <c r="A21" s="5"/>
      <c r="B21" s="7">
        <f>SUM(B15:B20)</f>
        <v>1317.8999999999999</v>
      </c>
      <c r="C21" s="7">
        <f>SUM(C15:C20)</f>
        <v>1460.1</v>
      </c>
      <c r="D21" s="7">
        <f>SUM(D15:D20)</f>
        <v>1220.8</v>
      </c>
      <c r="E21" s="7">
        <f>SUM(E15:E20)</f>
        <v>1595.1999999999998</v>
      </c>
      <c r="F21" s="7">
        <f>SUM(F15:F20)</f>
        <v>2182.3000000000002</v>
      </c>
      <c r="G21" s="8">
        <v>2155</v>
      </c>
    </row>
    <row r="22" spans="1:7" ht="15.75" x14ac:dyDescent="0.25">
      <c r="A22" s="6" t="s">
        <v>57</v>
      </c>
      <c r="B22" s="7">
        <f>B13+B21</f>
        <v>7556.2999999999993</v>
      </c>
      <c r="C22" s="7">
        <f>C13+C21</f>
        <v>8876</v>
      </c>
      <c r="D22" s="7">
        <f>D13+D21</f>
        <v>10189.699999999999</v>
      </c>
      <c r="E22" s="7">
        <f>E21+E13</f>
        <v>8637.4</v>
      </c>
      <c r="F22" s="7">
        <f>F13+F21</f>
        <v>9443.4000000000015</v>
      </c>
      <c r="G22" s="8">
        <f>G13+G21</f>
        <v>9090.2000000000007</v>
      </c>
    </row>
    <row r="23" spans="1:7" ht="15.75" x14ac:dyDescent="0.25">
      <c r="A23" s="6" t="s">
        <v>55</v>
      </c>
      <c r="B23" s="7"/>
      <c r="C23" s="7"/>
      <c r="D23" s="7"/>
      <c r="E23" s="7"/>
      <c r="F23" s="7"/>
      <c r="G23" s="8"/>
    </row>
    <row r="24" spans="1:7" ht="15.75" x14ac:dyDescent="0.25">
      <c r="A24" s="6" t="s">
        <v>56</v>
      </c>
      <c r="B24" s="7"/>
      <c r="C24" s="7"/>
      <c r="D24" s="7"/>
      <c r="E24" s="7"/>
      <c r="F24" s="7"/>
      <c r="G24" s="8"/>
    </row>
    <row r="25" spans="1:7" ht="15.75" x14ac:dyDescent="0.25">
      <c r="A25" s="5" t="s">
        <v>58</v>
      </c>
      <c r="B25" s="7">
        <v>1405.9</v>
      </c>
      <c r="C25" s="7">
        <v>1518.2</v>
      </c>
      <c r="D25" s="7">
        <v>1501</v>
      </c>
      <c r="E25" s="7">
        <v>1599</v>
      </c>
      <c r="F25" s="7">
        <v>1960.9</v>
      </c>
      <c r="G25" s="8">
        <v>2048.8000000000002</v>
      </c>
    </row>
    <row r="26" spans="1:7" ht="15.75" x14ac:dyDescent="0.25">
      <c r="A26" s="5" t="s">
        <v>59</v>
      </c>
      <c r="B26" s="7">
        <v>71.900000000000006</v>
      </c>
      <c r="C26" s="7">
        <v>71.900000000000006</v>
      </c>
      <c r="D26" s="7">
        <v>71.900000000000006</v>
      </c>
      <c r="E26" s="7">
        <v>124.9</v>
      </c>
      <c r="F26" s="7">
        <v>71.900000000000006</v>
      </c>
      <c r="G26" s="8">
        <v>73</v>
      </c>
    </row>
    <row r="27" spans="1:7" ht="15.75" x14ac:dyDescent="0.25">
      <c r="A27" s="5" t="s">
        <v>60</v>
      </c>
      <c r="B27" s="7">
        <v>125.6</v>
      </c>
      <c r="C27" s="7">
        <v>625.6</v>
      </c>
      <c r="D27" s="7">
        <v>247.8</v>
      </c>
      <c r="E27" s="7">
        <v>432.8</v>
      </c>
      <c r="F27" s="7">
        <v>247.2</v>
      </c>
      <c r="G27" s="8">
        <v>444</v>
      </c>
    </row>
    <row r="28" spans="1:7" ht="15.75" x14ac:dyDescent="0.25">
      <c r="A28" s="5" t="s">
        <v>48</v>
      </c>
      <c r="B28" s="7">
        <v>73.8</v>
      </c>
      <c r="C28" s="7">
        <v>7.3</v>
      </c>
      <c r="D28" s="7">
        <v>13</v>
      </c>
      <c r="E28" s="7">
        <v>96</v>
      </c>
      <c r="F28" s="7">
        <v>3.2</v>
      </c>
      <c r="G28" s="8">
        <v>58.1</v>
      </c>
    </row>
    <row r="29" spans="1:7" ht="15.75" x14ac:dyDescent="0.25">
      <c r="A29" s="5" t="s">
        <v>61</v>
      </c>
      <c r="B29" s="7">
        <v>98.8</v>
      </c>
      <c r="C29" s="7">
        <v>100.7</v>
      </c>
      <c r="D29" s="7">
        <v>21.5</v>
      </c>
      <c r="E29" s="7">
        <v>43.1</v>
      </c>
      <c r="F29" s="7">
        <v>53.6</v>
      </c>
      <c r="G29" s="8">
        <v>44</v>
      </c>
    </row>
    <row r="30" spans="1:7" ht="15.75" x14ac:dyDescent="0.25">
      <c r="A30" s="5" t="s">
        <v>62</v>
      </c>
      <c r="B30" s="7">
        <v>50</v>
      </c>
      <c r="C30" s="7">
        <v>26.2</v>
      </c>
      <c r="D30" s="7">
        <v>0</v>
      </c>
      <c r="E30" s="7">
        <v>0</v>
      </c>
      <c r="F30" s="7">
        <v>34</v>
      </c>
      <c r="G30" s="8">
        <v>38.5</v>
      </c>
    </row>
    <row r="31" spans="1:7" ht="15.75" x14ac:dyDescent="0.25">
      <c r="A31" s="5"/>
      <c r="B31" s="7">
        <f>SUM(B25:B30)</f>
        <v>1826</v>
      </c>
      <c r="C31" s="7">
        <f>SUM(C25:C30)</f>
        <v>2349.9</v>
      </c>
      <c r="D31" s="7">
        <f>SUM(D25:D30)</f>
        <v>1855.2</v>
      </c>
      <c r="E31" s="7">
        <f>SUM(E25:E30)</f>
        <v>2295.8000000000002</v>
      </c>
      <c r="F31" s="7">
        <v>2370.8000000000002</v>
      </c>
      <c r="G31" s="8">
        <v>2706.4</v>
      </c>
    </row>
    <row r="32" spans="1:7" ht="15.75" x14ac:dyDescent="0.25">
      <c r="A32" s="6" t="s">
        <v>63</v>
      </c>
      <c r="B32" s="7"/>
      <c r="C32" s="7"/>
      <c r="D32" s="7"/>
      <c r="E32" s="7"/>
      <c r="F32" s="7"/>
      <c r="G32" s="8"/>
    </row>
    <row r="33" spans="1:7" ht="15.75" x14ac:dyDescent="0.25">
      <c r="A33" s="5" t="s">
        <v>77</v>
      </c>
      <c r="B33" s="7">
        <v>22.5</v>
      </c>
      <c r="C33" s="7">
        <v>17.2</v>
      </c>
      <c r="D33" s="7">
        <v>12.4</v>
      </c>
      <c r="E33" s="7">
        <v>7.8</v>
      </c>
      <c r="F33" s="7">
        <v>5.7</v>
      </c>
      <c r="G33" s="8">
        <v>4.5999999999999996</v>
      </c>
    </row>
    <row r="34" spans="1:7" ht="15.75" x14ac:dyDescent="0.25">
      <c r="A34" s="5" t="s">
        <v>58</v>
      </c>
      <c r="B34" s="7">
        <v>333.8</v>
      </c>
      <c r="C34" s="7">
        <v>15.6</v>
      </c>
      <c r="D34" s="7">
        <v>222.6</v>
      </c>
      <c r="E34" s="7">
        <v>192.3</v>
      </c>
      <c r="F34" s="7">
        <v>188.2</v>
      </c>
      <c r="G34" s="8">
        <v>181.3</v>
      </c>
    </row>
    <row r="35" spans="1:7" ht="15.75" x14ac:dyDescent="0.25">
      <c r="A35" s="5" t="s">
        <v>78</v>
      </c>
      <c r="B35" s="7">
        <v>263.60000000000002</v>
      </c>
      <c r="C35" s="7">
        <v>200.5</v>
      </c>
      <c r="D35" s="7">
        <v>135.5</v>
      </c>
      <c r="E35" s="7">
        <v>68.599999999999994</v>
      </c>
      <c r="F35" s="7">
        <v>120.4</v>
      </c>
      <c r="G35" s="8">
        <v>51.8</v>
      </c>
    </row>
    <row r="36" spans="1:7" ht="15.75" x14ac:dyDescent="0.25">
      <c r="A36" s="5" t="s">
        <v>60</v>
      </c>
      <c r="B36" s="7">
        <v>1670.6</v>
      </c>
      <c r="C36" s="7">
        <v>3628.5</v>
      </c>
      <c r="D36" s="7">
        <v>3865.9</v>
      </c>
      <c r="E36" s="7">
        <v>3659.9</v>
      </c>
      <c r="F36" s="7">
        <v>3561</v>
      </c>
      <c r="G36" s="8">
        <v>3184</v>
      </c>
    </row>
    <row r="37" spans="1:7" ht="15.75" x14ac:dyDescent="0.25">
      <c r="A37" s="5" t="s">
        <v>79</v>
      </c>
      <c r="B37" s="7">
        <v>30.7</v>
      </c>
      <c r="C37" s="7">
        <v>2.8</v>
      </c>
      <c r="D37" s="7">
        <v>0.7</v>
      </c>
      <c r="E37" s="7">
        <v>10.7</v>
      </c>
      <c r="F37" s="7">
        <v>0.4</v>
      </c>
      <c r="G37" s="8">
        <v>7.1</v>
      </c>
    </row>
    <row r="38" spans="1:7" ht="15.75" x14ac:dyDescent="0.25">
      <c r="A38" s="5" t="s">
        <v>61</v>
      </c>
      <c r="B38" s="7">
        <v>193.1</v>
      </c>
      <c r="C38" s="7">
        <v>72.7</v>
      </c>
      <c r="D38" s="7">
        <v>56.5</v>
      </c>
      <c r="E38" s="7">
        <v>74.2</v>
      </c>
      <c r="F38" s="7">
        <v>91.8</v>
      </c>
      <c r="G38" s="8">
        <v>75.400000000000006</v>
      </c>
    </row>
    <row r="39" spans="1:7" ht="15.75" x14ac:dyDescent="0.25">
      <c r="A39" s="5" t="s">
        <v>80</v>
      </c>
      <c r="B39" s="7">
        <v>256.60000000000002</v>
      </c>
      <c r="C39" s="7">
        <v>119.6</v>
      </c>
      <c r="D39" s="7">
        <v>332.4</v>
      </c>
      <c r="E39" s="7">
        <v>42.3</v>
      </c>
      <c r="F39" s="7">
        <v>187.2</v>
      </c>
      <c r="G39" s="8">
        <v>72.3</v>
      </c>
    </row>
    <row r="40" spans="1:7" ht="15.75" x14ac:dyDescent="0.25">
      <c r="A40" s="5"/>
      <c r="B40" s="7">
        <f>SUM(B33:B39)</f>
        <v>2770.8999999999996</v>
      </c>
      <c r="C40" s="7">
        <f>SUM(C33:C39)</f>
        <v>4056.9</v>
      </c>
      <c r="D40" s="7">
        <f>SUM(D33:D39)</f>
        <v>4625.9999999999991</v>
      </c>
      <c r="E40" s="7">
        <f>SUM(E33:E39)</f>
        <v>4055.8</v>
      </c>
      <c r="F40" s="7">
        <f>SUM(F33:F39)</f>
        <v>4154.7000000000007</v>
      </c>
      <c r="G40" s="8">
        <v>3576.5</v>
      </c>
    </row>
    <row r="41" spans="1:7" ht="15.75" x14ac:dyDescent="0.25">
      <c r="A41" s="6" t="s">
        <v>81</v>
      </c>
      <c r="B41" s="7">
        <f>B40+B31</f>
        <v>4596.8999999999996</v>
      </c>
      <c r="C41" s="7">
        <f>C40+C31</f>
        <v>6406.8</v>
      </c>
      <c r="D41" s="7">
        <f>D40+D31</f>
        <v>6481.1999999999989</v>
      </c>
      <c r="E41" s="7">
        <f>E40+E31</f>
        <v>6351.6</v>
      </c>
      <c r="F41" s="7">
        <f>F31+F40</f>
        <v>6525.5000000000009</v>
      </c>
      <c r="G41" s="8">
        <v>6282.9</v>
      </c>
    </row>
    <row r="42" spans="1:7" ht="15.75" x14ac:dyDescent="0.25">
      <c r="A42" s="6" t="s">
        <v>64</v>
      </c>
      <c r="B42" s="7">
        <f>B22-B41</f>
        <v>2959.3999999999996</v>
      </c>
      <c r="C42" s="7">
        <f>C22-C41</f>
        <v>2469.1999999999998</v>
      </c>
      <c r="D42" s="7">
        <f>D22-D41</f>
        <v>3708.5</v>
      </c>
      <c r="E42" s="7">
        <f>E22-E41</f>
        <v>2285.7999999999993</v>
      </c>
      <c r="F42" s="7">
        <f>F22-F41</f>
        <v>2917.9000000000005</v>
      </c>
      <c r="G42" s="8">
        <v>2814.9</v>
      </c>
    </row>
    <row r="43" spans="1:7" ht="15.75" x14ac:dyDescent="0.25">
      <c r="A43" s="5"/>
      <c r="B43" s="7"/>
      <c r="C43" s="7"/>
      <c r="D43" s="7"/>
      <c r="E43" s="7"/>
      <c r="F43" s="7"/>
      <c r="G43" s="8"/>
    </row>
    <row r="44" spans="1:7" ht="15.75" x14ac:dyDescent="0.25">
      <c r="A44" s="6" t="s">
        <v>65</v>
      </c>
      <c r="B44" s="7"/>
      <c r="C44" s="7"/>
      <c r="D44" s="7"/>
      <c r="E44" s="7"/>
      <c r="F44" s="7"/>
      <c r="G44" s="8"/>
    </row>
    <row r="45" spans="1:7" ht="15.75" x14ac:dyDescent="0.25">
      <c r="A45" s="5" t="s">
        <v>66</v>
      </c>
      <c r="B45" s="7">
        <v>712.5</v>
      </c>
      <c r="C45" s="7">
        <v>406.3</v>
      </c>
      <c r="D45" s="7">
        <v>487.6</v>
      </c>
      <c r="E45" s="7">
        <v>489.2</v>
      </c>
      <c r="F45" s="7">
        <v>19.7</v>
      </c>
      <c r="G45" s="8">
        <v>19.8</v>
      </c>
    </row>
    <row r="46" spans="1:7" ht="15.75" x14ac:dyDescent="0.25">
      <c r="A46" s="5" t="s">
        <v>67</v>
      </c>
      <c r="B46" s="7">
        <v>386.1</v>
      </c>
      <c r="C46" s="7">
        <v>416.9</v>
      </c>
      <c r="D46" s="7">
        <v>910.4</v>
      </c>
      <c r="E46" s="7">
        <v>910.4</v>
      </c>
      <c r="F46" s="7">
        <v>910.6</v>
      </c>
      <c r="G46" s="8">
        <v>910.7</v>
      </c>
    </row>
    <row r="47" spans="1:7" ht="15.75" x14ac:dyDescent="0.25">
      <c r="A47" s="5" t="s">
        <v>68</v>
      </c>
      <c r="B47" s="7">
        <v>8</v>
      </c>
      <c r="C47" s="7">
        <v>2210.5</v>
      </c>
      <c r="D47" s="7">
        <v>2210.5</v>
      </c>
      <c r="E47" s="7">
        <v>2210.5</v>
      </c>
      <c r="F47" s="7">
        <v>2680.4</v>
      </c>
      <c r="G47" s="8">
        <v>2680.4</v>
      </c>
    </row>
    <row r="48" spans="1:7" ht="15.75" x14ac:dyDescent="0.25">
      <c r="A48" s="5" t="s">
        <v>69</v>
      </c>
      <c r="B48" s="7">
        <v>-65.3</v>
      </c>
      <c r="C48" s="7">
        <v>-14.6</v>
      </c>
      <c r="D48" s="7">
        <v>68.599999999999994</v>
      </c>
      <c r="E48" s="7">
        <v>-54.8</v>
      </c>
      <c r="F48" s="7">
        <v>17.600000000000001</v>
      </c>
      <c r="G48" s="8">
        <v>-31.9</v>
      </c>
    </row>
    <row r="49" spans="1:7" ht="15.75" x14ac:dyDescent="0.25">
      <c r="A49" s="5" t="s">
        <v>70</v>
      </c>
      <c r="B49" s="7">
        <v>0</v>
      </c>
      <c r="C49" s="7">
        <v>11.7</v>
      </c>
      <c r="D49" s="7">
        <v>5.7</v>
      </c>
      <c r="E49" s="7">
        <v>4.5999999999999996</v>
      </c>
      <c r="F49" s="7">
        <v>3.6</v>
      </c>
      <c r="G49" s="8">
        <v>4.2</v>
      </c>
    </row>
    <row r="50" spans="1:7" ht="15.75" x14ac:dyDescent="0.25">
      <c r="A50" s="5" t="s">
        <v>71</v>
      </c>
      <c r="B50" s="7">
        <v>0</v>
      </c>
      <c r="C50" s="7">
        <v>-6542.2</v>
      </c>
      <c r="D50" s="7">
        <v>-6542.2</v>
      </c>
      <c r="E50" s="7">
        <v>-6542.2</v>
      </c>
      <c r="F50" s="7">
        <v>-6542.2</v>
      </c>
      <c r="G50" s="8">
        <v>-6542.2</v>
      </c>
    </row>
    <row r="51" spans="1:7" ht="15.75" x14ac:dyDescent="0.25">
      <c r="A51" s="5" t="s">
        <v>72</v>
      </c>
      <c r="B51" s="7">
        <v>-29.3</v>
      </c>
      <c r="C51" s="7">
        <v>-43.9</v>
      </c>
      <c r="D51" s="7">
        <v>-35.9</v>
      </c>
      <c r="E51" s="7">
        <v>-59.9</v>
      </c>
      <c r="F51" s="7">
        <v>-73.900000000000006</v>
      </c>
      <c r="G51" s="8">
        <v>-69.599999999999994</v>
      </c>
    </row>
    <row r="52" spans="1:7" ht="15.75" x14ac:dyDescent="0.25">
      <c r="A52" s="5" t="s">
        <v>73</v>
      </c>
      <c r="B52" s="7">
        <v>4500.5</v>
      </c>
      <c r="C52" s="7">
        <v>6024.8</v>
      </c>
      <c r="D52" s="7">
        <v>6597.8</v>
      </c>
      <c r="E52" s="7">
        <v>5325.2</v>
      </c>
      <c r="F52" s="7">
        <v>5897.9</v>
      </c>
      <c r="G52" s="8">
        <v>5839.1</v>
      </c>
    </row>
    <row r="53" spans="1:7" ht="15.75" x14ac:dyDescent="0.25">
      <c r="A53" s="6" t="s">
        <v>74</v>
      </c>
      <c r="B53" s="7">
        <f>SUM(B45:B52)</f>
        <v>5512.5</v>
      </c>
      <c r="C53" s="7">
        <f>SUM(C45:C52)</f>
        <v>2469.5</v>
      </c>
      <c r="D53" s="7">
        <f>SUM(D45:D52)</f>
        <v>3702.5</v>
      </c>
      <c r="E53" s="7">
        <f>SUM(E45:E52)</f>
        <v>2282.9999999999995</v>
      </c>
      <c r="F53" s="7">
        <v>2913.7</v>
      </c>
      <c r="G53" s="8">
        <v>2810.5</v>
      </c>
    </row>
    <row r="54" spans="1:7" ht="15.75" x14ac:dyDescent="0.25">
      <c r="A54" s="5" t="s">
        <v>75</v>
      </c>
      <c r="B54" s="7">
        <v>-2.5</v>
      </c>
      <c r="C54" s="7">
        <v>-0.3</v>
      </c>
      <c r="D54" s="7">
        <v>6</v>
      </c>
      <c r="E54" s="7">
        <v>2.8</v>
      </c>
      <c r="F54" s="7">
        <v>4.2</v>
      </c>
      <c r="G54" s="8">
        <v>4.4000000000000004</v>
      </c>
    </row>
    <row r="55" spans="1:7" ht="15.75" x14ac:dyDescent="0.25">
      <c r="A55" s="9" t="s">
        <v>76</v>
      </c>
      <c r="B55" s="7">
        <f>SUM(B53:B54)</f>
        <v>5510</v>
      </c>
      <c r="C55" s="7">
        <f>SUM(C53:C54)</f>
        <v>2469.1999999999998</v>
      </c>
      <c r="D55" s="7">
        <f>SUM(D53:D54)</f>
        <v>3708.5</v>
      </c>
      <c r="E55" s="7">
        <f>SUM(E53:E54)</f>
        <v>2285.7999999999997</v>
      </c>
      <c r="F55" s="7">
        <f>SUM(F53:F54)</f>
        <v>2917.8999999999996</v>
      </c>
      <c r="G55" s="8">
        <v>2814.9</v>
      </c>
    </row>
    <row r="56" spans="1:7" ht="15.75" x14ac:dyDescent="0.25">
      <c r="A56" s="5"/>
      <c r="B56" s="5"/>
      <c r="C56" s="5"/>
      <c r="D56" s="5"/>
      <c r="E56" s="5"/>
      <c r="F56" s="5"/>
      <c r="G56" s="5"/>
    </row>
    <row r="57" spans="1:7" ht="15.75" x14ac:dyDescent="0.25">
      <c r="A57" s="5"/>
      <c r="B57" s="5"/>
      <c r="C57" s="5"/>
      <c r="D57" s="5"/>
      <c r="E57" s="5"/>
      <c r="F57" s="5"/>
      <c r="G57" s="5"/>
    </row>
    <row r="58" spans="1:7" ht="15.75" x14ac:dyDescent="0.25">
      <c r="A58" s="5"/>
      <c r="B58" s="5"/>
      <c r="C58" s="5"/>
      <c r="D58" s="5"/>
      <c r="E58" s="5"/>
      <c r="F58" s="5"/>
      <c r="G58" s="5"/>
    </row>
    <row r="59" spans="1:7" ht="15.75" x14ac:dyDescent="0.25">
      <c r="A59" s="5"/>
      <c r="B59" s="5"/>
      <c r="C59" s="5"/>
      <c r="D59" s="5"/>
      <c r="E59" s="5"/>
      <c r="F59" s="5"/>
      <c r="G59" s="5"/>
    </row>
    <row r="60" spans="1:7" ht="15.75" x14ac:dyDescent="0.25">
      <c r="A60" s="5"/>
      <c r="B60" s="5"/>
      <c r="C60" s="5"/>
      <c r="D60" s="5"/>
      <c r="E60" s="5"/>
      <c r="F60" s="5"/>
      <c r="G60" s="5"/>
    </row>
    <row r="61" spans="1:7" ht="15.75" x14ac:dyDescent="0.25">
      <c r="A61" s="5"/>
      <c r="B61" s="5"/>
      <c r="C61" s="5"/>
      <c r="D61" s="5"/>
      <c r="E61" s="5"/>
      <c r="F61" s="5"/>
      <c r="G61" s="5"/>
    </row>
    <row r="62" spans="1:7" ht="15.75" x14ac:dyDescent="0.25">
      <c r="A62" s="5"/>
      <c r="B62" s="5"/>
      <c r="C62" s="5"/>
      <c r="D62" s="5"/>
      <c r="E62" s="5"/>
      <c r="F62" s="5"/>
      <c r="G62" s="5"/>
    </row>
    <row r="63" spans="1:7" ht="15.75" x14ac:dyDescent="0.25">
      <c r="A63" s="5"/>
      <c r="B63" s="5"/>
      <c r="C63" s="5"/>
      <c r="D63" s="5"/>
      <c r="E63" s="5"/>
      <c r="F63" s="5"/>
      <c r="G63" s="5"/>
    </row>
    <row r="64" spans="1:7" ht="15.75" x14ac:dyDescent="0.25">
      <c r="A64" s="5"/>
      <c r="B64" s="5"/>
      <c r="C64" s="5"/>
      <c r="D64" s="5"/>
      <c r="E64" s="5"/>
      <c r="F64" s="5"/>
      <c r="G64" s="5"/>
    </row>
    <row r="65" spans="1:7" ht="15.75" x14ac:dyDescent="0.25">
      <c r="A65" s="5"/>
      <c r="B65" s="5"/>
      <c r="C65" s="5"/>
      <c r="D65" s="5"/>
      <c r="E65" s="5"/>
      <c r="F65" s="5"/>
      <c r="G65" s="5"/>
    </row>
    <row r="66" spans="1:7" ht="15.75" x14ac:dyDescent="0.25">
      <c r="A66" s="5"/>
      <c r="B66" s="5"/>
      <c r="C66" s="5"/>
      <c r="D66" s="5"/>
      <c r="E66" s="5"/>
      <c r="F66" s="5"/>
      <c r="G66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Free Cash Flow</vt:lpstr>
      <vt:lpstr>Fixed Assets</vt:lpstr>
      <vt:lpstr>Net Working Capital</vt:lpstr>
      <vt:lpstr>WACC</vt:lpstr>
      <vt:lpstr>DCF</vt:lpstr>
      <vt:lpstr>Data Source --&gt;</vt:lpstr>
      <vt:lpstr>Cash flow statement</vt:lpstr>
      <vt:lpstr>Income statement</vt:lpstr>
      <vt:lpstr>Balance sheet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2024-01-25T23:52:25Z</dcterms:created>
  <dcterms:modified xsi:type="dcterms:W3CDTF">2024-01-25T23:53:21Z</dcterms:modified>
</cp:coreProperties>
</file>