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CertTFS\Online-Content\Courses\ENG\DAT222x - Essential Statistics for Data Analysis using Excel\Assessments\Module 2\"/>
    </mc:Choice>
  </mc:AlternateContent>
  <bookViews>
    <workbookView xWindow="0" yWindow="0" windowWidth="7470" windowHeight="549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1" l="1"/>
  <c r="C99" i="1"/>
  <c r="D88" i="1"/>
  <c r="D83" i="1"/>
  <c r="D87" i="1"/>
  <c r="D86" i="1"/>
  <c r="N108" i="1"/>
  <c r="K109" i="1"/>
  <c r="M109" i="1"/>
  <c r="N109" i="1"/>
  <c r="L108" i="1"/>
  <c r="L109" i="1"/>
  <c r="K110" i="1"/>
  <c r="K108" i="1"/>
  <c r="L111" i="1"/>
  <c r="M108" i="1"/>
  <c r="N101" i="1"/>
  <c r="L104" i="1"/>
  <c r="K104" i="1"/>
  <c r="N102" i="1"/>
  <c r="M102" i="1"/>
  <c r="L102" i="1"/>
  <c r="K102" i="1"/>
  <c r="M101" i="1"/>
  <c r="L101" i="1"/>
  <c r="K101" i="1"/>
  <c r="K14" i="1"/>
  <c r="K11" i="1"/>
  <c r="K5" i="1"/>
  <c r="J5" i="1"/>
  <c r="E80" i="1"/>
  <c r="E79" i="1"/>
  <c r="D79" i="1"/>
  <c r="J134" i="1"/>
  <c r="N128" i="1"/>
  <c r="M132" i="1"/>
  <c r="M131" i="1"/>
  <c r="M128" i="1"/>
  <c r="M129" i="1"/>
  <c r="L129" i="1"/>
  <c r="L128" i="1"/>
  <c r="N119" i="1"/>
  <c r="M121" i="1"/>
  <c r="N120" i="1"/>
  <c r="M119" i="1"/>
  <c r="M120" i="1"/>
  <c r="J56" i="1"/>
  <c r="J54" i="1"/>
  <c r="K54" i="1"/>
  <c r="J55" i="1"/>
  <c r="J42" i="1"/>
  <c r="D39" i="1"/>
  <c r="E38" i="1"/>
  <c r="F36" i="1"/>
  <c r="J129" i="1"/>
  <c r="J128" i="1"/>
  <c r="M124" i="1"/>
  <c r="M123" i="1"/>
  <c r="L119" i="1"/>
  <c r="K97" i="1"/>
  <c r="J97" i="1"/>
  <c r="J96" i="1"/>
  <c r="K96" i="1"/>
  <c r="K92" i="1"/>
  <c r="J92" i="1"/>
  <c r="L62" i="1"/>
  <c r="K62" i="1"/>
  <c r="J62" i="1"/>
  <c r="N55" i="1"/>
  <c r="B99" i="1"/>
  <c r="B100" i="1"/>
  <c r="C100" i="1"/>
  <c r="B101" i="1"/>
  <c r="C101" i="1"/>
  <c r="C98" i="1"/>
  <c r="B98" i="1"/>
  <c r="E95" i="1"/>
  <c r="D95" i="1"/>
  <c r="E94" i="1"/>
  <c r="D94" i="1"/>
  <c r="E93" i="1"/>
  <c r="D93" i="1"/>
  <c r="E92" i="1"/>
  <c r="D92" i="1"/>
  <c r="E83" i="1"/>
  <c r="O34" i="1"/>
  <c r="O35" i="1"/>
  <c r="N35" i="1"/>
  <c r="N34" i="1"/>
  <c r="M35" i="1"/>
  <c r="M34" i="1"/>
  <c r="L35" i="1"/>
  <c r="L34" i="1"/>
  <c r="K35" i="1"/>
  <c r="K34" i="1"/>
  <c r="M125" i="1"/>
  <c r="N124" i="1"/>
  <c r="N123" i="1"/>
  <c r="E96" i="1"/>
  <c r="D96" i="1"/>
  <c r="F40" i="1"/>
  <c r="E41" i="1"/>
  <c r="E40" i="1"/>
  <c r="E36" i="1"/>
  <c r="D37" i="1"/>
  <c r="F31" i="1"/>
  <c r="E35" i="1"/>
  <c r="E34" i="1"/>
  <c r="E33" i="1"/>
  <c r="E32" i="1"/>
  <c r="E31" i="1"/>
  <c r="F2" i="1"/>
  <c r="E4" i="1"/>
  <c r="E3" i="1"/>
  <c r="E2" i="1"/>
  <c r="K84" i="1"/>
  <c r="L84" i="1"/>
  <c r="L83" i="1"/>
  <c r="K83" i="1"/>
  <c r="J84" i="1"/>
  <c r="J83" i="1"/>
  <c r="K42" i="1"/>
  <c r="K41" i="1"/>
  <c r="J41" i="1"/>
  <c r="L61" i="1"/>
  <c r="L60" i="1"/>
  <c r="K61" i="1"/>
  <c r="J61" i="1"/>
  <c r="K60" i="1"/>
  <c r="J60" i="1"/>
  <c r="J50" i="1"/>
  <c r="N32" i="1"/>
  <c r="M32" i="1"/>
  <c r="M31" i="1"/>
  <c r="N31" i="1"/>
  <c r="L32" i="1"/>
  <c r="L31" i="1"/>
  <c r="K32" i="1"/>
  <c r="K31" i="1"/>
  <c r="M4" i="1"/>
  <c r="J4" i="1"/>
  <c r="J13" i="1"/>
  <c r="K3" i="1"/>
  <c r="J11" i="1"/>
  <c r="L4" i="1"/>
  <c r="L3" i="1"/>
  <c r="M3" i="1"/>
  <c r="K4" i="1"/>
  <c r="J3" i="1"/>
  <c r="E84" i="1"/>
  <c r="E85" i="1"/>
  <c r="E86" i="1"/>
  <c r="D84" i="1"/>
  <c r="D85" i="1"/>
  <c r="F79" i="1"/>
  <c r="F78" i="1"/>
  <c r="F77" i="1"/>
  <c r="E78" i="1"/>
  <c r="E77" i="1"/>
  <c r="D78" i="1"/>
  <c r="E37" i="1"/>
  <c r="D36" i="1"/>
  <c r="E87" i="1"/>
  <c r="E88" i="1"/>
  <c r="D77" i="1"/>
  <c r="C66" i="1"/>
  <c r="E29" i="1"/>
  <c r="E23" i="1"/>
  <c r="E22" i="1"/>
  <c r="E21" i="1"/>
  <c r="E14" i="1"/>
  <c r="F26" i="1"/>
  <c r="E27" i="1"/>
  <c r="E26" i="1"/>
  <c r="D28" i="1"/>
  <c r="D27" i="1"/>
  <c r="D26" i="1"/>
  <c r="G15" i="1"/>
  <c r="F19" i="1"/>
  <c r="F18" i="1"/>
  <c r="F17" i="1"/>
  <c r="F16" i="1"/>
  <c r="F15" i="1"/>
  <c r="E17" i="1"/>
  <c r="E16" i="1"/>
  <c r="E15" i="1"/>
  <c r="D19" i="1"/>
  <c r="D18" i="1"/>
  <c r="D17" i="1"/>
  <c r="D16" i="1"/>
  <c r="D15" i="1"/>
  <c r="D7" i="1"/>
  <c r="C7" i="1"/>
  <c r="C9" i="1"/>
  <c r="C10" i="1"/>
  <c r="C8" i="1"/>
  <c r="L110" i="1"/>
</calcChain>
</file>

<file path=xl/sharedStrings.xml><?xml version="1.0" encoding="utf-8"?>
<sst xmlns="http://schemas.openxmlformats.org/spreadsheetml/2006/main" count="263" uniqueCount="170">
  <si>
    <t>Module 2 questions</t>
  </si>
  <si>
    <t>4 tens, 4 jacks, 4 queens, and 4 kings.</t>
  </si>
  <si>
    <t>A player in blackjack gets two cards from the deck</t>
  </si>
  <si>
    <t>Her chance of receiving blackjack is</t>
  </si>
  <si>
    <t>a.</t>
  </si>
  <si>
    <t>b.</t>
  </si>
  <si>
    <t>c.</t>
  </si>
  <si>
    <t>d.</t>
  </si>
  <si>
    <t>32/1326</t>
  </si>
  <si>
    <t>4/169</t>
  </si>
  <si>
    <t>None of the above</t>
  </si>
  <si>
    <t>64/1326</t>
  </si>
  <si>
    <t>Let A = Event you get an even number</t>
  </si>
  <si>
    <t>B = event you get a multiple of three</t>
  </si>
  <si>
    <t>The events A and B are independent</t>
  </si>
  <si>
    <t>2. True or False Suppose you toss an 8 sided fair die</t>
  </si>
  <si>
    <t>3. True or False Suppose you toss a 24 sided fair die</t>
  </si>
  <si>
    <t>4. We draw one card from a deck of cards.The</t>
  </si>
  <si>
    <t>chance the card is an ace or a heart is</t>
  </si>
  <si>
    <t>16/52</t>
  </si>
  <si>
    <t>17/52</t>
  </si>
  <si>
    <t>13/52</t>
  </si>
  <si>
    <t>at least one six?</t>
  </si>
  <si>
    <t>5. What is the minimum number of times  we must throw a die</t>
  </si>
  <si>
    <t>before there is a &gt;=50% chance we have thrown</t>
  </si>
  <si>
    <t xml:space="preserve">wins if heads are thrown and </t>
  </si>
  <si>
    <t xml:space="preserve">6. Taylor and Katy repeatedly toss a fair coin. Katy </t>
  </si>
  <si>
    <t>Taylor wins if tails are thrown.</t>
  </si>
  <si>
    <t>Katy is currently ahead 2-1 and the game ends when someone</t>
  </si>
  <si>
    <t>has won three times. The chance Katy wins is</t>
  </si>
  <si>
    <t>a. 3/4</t>
  </si>
  <si>
    <t>b. 2/4</t>
  </si>
  <si>
    <t>c. 1/4</t>
  </si>
  <si>
    <t>d. None of the above</t>
  </si>
  <si>
    <t xml:space="preserve">7. Two dice are tossed and the total is eight. The </t>
  </si>
  <si>
    <t>chance the first die showed a 5 is</t>
  </si>
  <si>
    <t>a. 1/6</t>
  </si>
  <si>
    <t>b. 1/4</t>
  </si>
  <si>
    <t>c. 1/3</t>
  </si>
  <si>
    <t>8. We repeatedly toss a fair die.</t>
  </si>
  <si>
    <t>What is the chance the first six occurs on</t>
  </si>
  <si>
    <t>the second toss?</t>
  </si>
  <si>
    <t>5/36</t>
  </si>
  <si>
    <t>1/36</t>
  </si>
  <si>
    <t>25/36</t>
  </si>
  <si>
    <t>9. 5% of your company's employees use drugs.</t>
  </si>
  <si>
    <t>You have a drug test that is 95% accurate.</t>
  </si>
  <si>
    <t>That is</t>
  </si>
  <si>
    <t>If an employee's test comes back positive what is the chance</t>
  </si>
  <si>
    <t>the employee is a  drug user?</t>
  </si>
  <si>
    <t>10. In a rectal exam the urologist</t>
  </si>
  <si>
    <t>finds a lump in the testicles.</t>
  </si>
  <si>
    <t>His experience indicates that 1 in</t>
  </si>
  <si>
    <t>100 such lumps are malignant.</t>
  </si>
  <si>
    <t>He then orders an X-Ray.</t>
  </si>
  <si>
    <t>P(Test says person does not use drugs|Person does not use drugs) = 0.95</t>
  </si>
  <si>
    <t>P(Xray indicates malignant|Lump actually malignant)= 0.80</t>
  </si>
  <si>
    <t>P(X-Ray indicates lump not malignant|Lump not malignant)=0.9</t>
  </si>
  <si>
    <t>If the X-Ray comes back malignant, what is the chance the lump</t>
  </si>
  <si>
    <t>is actually malignant?</t>
  </si>
  <si>
    <t>b</t>
  </si>
  <si>
    <t>8/107</t>
  </si>
  <si>
    <t>80/107</t>
  </si>
  <si>
    <t>11. You now have $4. You win $2</t>
  </si>
  <si>
    <t>if an unfair coin (30% chance of heads)</t>
  </si>
  <si>
    <t>comes up heads and lose $2 if the coin comes</t>
  </si>
  <si>
    <t>up tails. You stop and win if you get to $6.</t>
  </si>
  <si>
    <t>A blood test yields a positive result for</t>
  </si>
  <si>
    <t>95% of all people with this cancer.</t>
  </si>
  <si>
    <t>For 2% of all people without the cancer the</t>
  </si>
  <si>
    <t>blood test yields a positive result.</t>
  </si>
  <si>
    <t>Given a person is tested and has a positive test</t>
  </si>
  <si>
    <t>result, what is the chance the person has cancer?</t>
  </si>
  <si>
    <t>12  1% of all people have a form of Cancer.</t>
  </si>
  <si>
    <t>What is the chance the second card is a club?</t>
  </si>
  <si>
    <t>4/52</t>
  </si>
  <si>
    <t>26/52</t>
  </si>
  <si>
    <t>`14. 40% of all MBAs received</t>
  </si>
  <si>
    <t>received an A in statistics. 20%</t>
  </si>
  <si>
    <t>of all MBAs received an A in both</t>
  </si>
  <si>
    <t>these classes? What is the chance</t>
  </si>
  <si>
    <t>that a randomly chosen MBA did not</t>
  </si>
  <si>
    <t>get an A in either of these classes?</t>
  </si>
  <si>
    <t>13. We draw two cards without replacement from a deck of cards.</t>
  </si>
  <si>
    <t>an A in operations and 45%</t>
  </si>
  <si>
    <t>0..20</t>
  </si>
  <si>
    <t>15. On Planet 9 from Outer Space</t>
  </si>
  <si>
    <t>80% of the people have blood type</t>
  </si>
  <si>
    <t>Y and 20% have blood type Z.</t>
  </si>
  <si>
    <t>If two people get married what</t>
  </si>
  <si>
    <t>is the chance they have the same blood type?</t>
  </si>
  <si>
    <t>a. 0.64</t>
  </si>
  <si>
    <t>b. 0.16</t>
  </si>
  <si>
    <t>c.0.68</t>
  </si>
  <si>
    <t>d. 0.36</t>
  </si>
  <si>
    <t>16. I toss two dice and compute the</t>
  </si>
  <si>
    <t>absolute difference between</t>
  </si>
  <si>
    <t>the number of dots showing. What is</t>
  </si>
  <si>
    <t>For example, (1,4)  and (4,1) both yield</t>
  </si>
  <si>
    <t>an absolute difference of 3.</t>
  </si>
  <si>
    <t>6/36</t>
  </si>
  <si>
    <t>4/36</t>
  </si>
  <si>
    <t>8/36</t>
  </si>
  <si>
    <t>10/36</t>
  </si>
  <si>
    <t>17. I toss two dice 24 times. What is the chance</t>
  </si>
  <si>
    <t>that at least once I roll a total of 2?</t>
  </si>
  <si>
    <t xml:space="preserve">a. </t>
  </si>
  <si>
    <t>Assume that a person chooses their mate independent of blood type.</t>
  </si>
  <si>
    <t>18. An urn contains</t>
  </si>
  <si>
    <t>two white and two black balls.</t>
  </si>
  <si>
    <t>Let B1= Event first ball is black</t>
  </si>
  <si>
    <t>and B2 = Event 2nd ball is black.</t>
  </si>
  <si>
    <t>Then P(B1|B2)=?</t>
  </si>
  <si>
    <t xml:space="preserve">d. </t>
  </si>
  <si>
    <t>1/3</t>
  </si>
  <si>
    <t>1/2</t>
  </si>
  <si>
    <t>1/4</t>
  </si>
  <si>
    <t>19. An urn contains</t>
  </si>
  <si>
    <t>Then P(B2|B1)=?</t>
  </si>
  <si>
    <t>1 .A deck of cards has 52 cards, 4 aces, 4 twos, 4 threes,…,</t>
  </si>
  <si>
    <t>and has blackjack if she receives one ace and the other card is a  ten, jack queen or king.</t>
  </si>
  <si>
    <t>What is the chance that after three or fewer  tosses</t>
  </si>
  <si>
    <t>you have gotten to $6?</t>
  </si>
  <si>
    <t>20.  90% of an insurance</t>
  </si>
  <si>
    <t>company's policyholders are</t>
  </si>
  <si>
    <t>low risk and 10% are high risk.</t>
  </si>
  <si>
    <t>Assume that each policyholder</t>
  </si>
  <si>
    <t>has either 0 or 1 accident in a year.</t>
  </si>
  <si>
    <t>Assume 75% of high risk policyholders</t>
  </si>
  <si>
    <t>have an accident in a year</t>
  </si>
  <si>
    <t>and 10% of low risk policyholders</t>
  </si>
  <si>
    <t>have an accident in a year.</t>
  </si>
  <si>
    <t>If we randomly pull a policyholder's</t>
  </si>
  <si>
    <t>accident report, what is the chance</t>
  </si>
  <si>
    <t>the policyholder was high risk?</t>
  </si>
  <si>
    <t>P( Test says person uses drugs|person actually uses drugs ) =0.95</t>
  </si>
  <si>
    <t>891/980</t>
  </si>
  <si>
    <t>the chance the absolute difference isexactly  3.?</t>
  </si>
  <si>
    <t>Worker</t>
  </si>
  <si>
    <t>% of Meals Bagged</t>
  </si>
  <si>
    <t>% Remembered Coupon</t>
  </si>
  <si>
    <t>Pat</t>
  </si>
  <si>
    <t>Taylor</t>
  </si>
  <si>
    <t>Sinead</t>
  </si>
  <si>
    <t>Samir</t>
  </si>
  <si>
    <t>Opertions</t>
  </si>
  <si>
    <t>Statistics</t>
  </si>
  <si>
    <t>A*B/B</t>
  </si>
  <si>
    <t>Low</t>
  </si>
  <si>
    <t>High</t>
  </si>
  <si>
    <t>Policy Holders</t>
  </si>
  <si>
    <t>Risk of Accidents</t>
  </si>
  <si>
    <t>Marginal Probability</t>
  </si>
  <si>
    <t>Probability of having accident</t>
  </si>
  <si>
    <t>Knowing that someone had an accident, probability for each risk level</t>
  </si>
  <si>
    <t>Male</t>
  </si>
  <si>
    <t>Female</t>
  </si>
  <si>
    <t>Uses drugs</t>
  </si>
  <si>
    <t>Doesn't use drugs</t>
  </si>
  <si>
    <t>Test Positive</t>
  </si>
  <si>
    <t>Test negative</t>
  </si>
  <si>
    <t>Malignant</t>
  </si>
  <si>
    <t>Not Malignant</t>
  </si>
  <si>
    <t>Test Negative</t>
  </si>
  <si>
    <t>No Cancer</t>
  </si>
  <si>
    <t xml:space="preserve">Test Negative </t>
  </si>
  <si>
    <t xml:space="preserve">Test Positive </t>
  </si>
  <si>
    <t>Cancer</t>
  </si>
  <si>
    <t>P(Coupon)=% of meals packaged * P(remembering)</t>
  </si>
  <si>
    <t>P(No Coupon) = (1-% Remembered) * % of Meals Packaged)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</si>
</sst>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"/>
    <numFmt numFmtId="165" formatCode="0.000%"/>
    <numFmt numFmtId="166" formatCode="0.0000%"/>
    <numFmt numFmtId="169" formatCode="0.0%"/>
    <numFmt numFmtId="185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16" fontId="0" fillId="0" borderId="0" xfId="0" applyNumberFormat="1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1" fillId="0" borderId="0" xfId="0" applyFont="1"/>
    <xf numFmtId="0" fontId="1" fillId="2" borderId="0" xfId="0" applyFont="1" applyFill="1"/>
    <xf numFmtId="0" fontId="0" fillId="2" borderId="0" xfId="0" quotePrefix="1" applyFill="1"/>
    <xf numFmtId="16" fontId="0" fillId="0" borderId="0" xfId="0" quotePrefix="1" applyNumberFormat="1"/>
    <xf numFmtId="16" fontId="0" fillId="2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3" fillId="0" borderId="0" xfId="0" applyFont="1" applyAlignment="1">
      <alignment wrapText="1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169" fontId="0" fillId="0" borderId="0" xfId="0" applyNumberFormat="1"/>
    <xf numFmtId="18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workbookViewId="0">
      <selection activeCell="K97" sqref="K97"/>
    </sheetView>
  </sheetViews>
  <sheetFormatPr defaultRowHeight="14.25" x14ac:dyDescent="0.45"/>
  <cols>
    <col min="1" max="1" width="13.06640625" customWidth="1"/>
    <col min="5" max="5" width="19.73046875" bestFit="1" customWidth="1"/>
    <col min="7" max="7" width="9.19921875" bestFit="1" customWidth="1"/>
    <col min="8" max="8" width="28.73046875" customWidth="1"/>
    <col min="10" max="10" width="17.53125" customWidth="1"/>
    <col min="11" max="11" width="10.86328125" customWidth="1"/>
    <col min="14" max="14" width="10.3984375" customWidth="1"/>
  </cols>
  <sheetData>
    <row r="1" spans="1:13" x14ac:dyDescent="0.45">
      <c r="A1" s="1" t="s">
        <v>0</v>
      </c>
    </row>
    <row r="2" spans="1:13" x14ac:dyDescent="0.45">
      <c r="A2" t="s">
        <v>119</v>
      </c>
      <c r="E2">
        <f>9/12</f>
        <v>0.75</v>
      </c>
      <c r="F2">
        <f>PRODUCT(E2:E4)</f>
        <v>0.38181818181818178</v>
      </c>
      <c r="H2" t="s">
        <v>50</v>
      </c>
      <c r="J2" t="s">
        <v>161</v>
      </c>
      <c r="K2" t="s">
        <v>162</v>
      </c>
    </row>
    <row r="3" spans="1:13" x14ac:dyDescent="0.45">
      <c r="A3" t="s">
        <v>1</v>
      </c>
      <c r="E3">
        <f>8/11</f>
        <v>0.72727272727272729</v>
      </c>
      <c r="H3" t="s">
        <v>51</v>
      </c>
      <c r="I3" t="s">
        <v>159</v>
      </c>
      <c r="J3">
        <f>0.8*0.01</f>
        <v>8.0000000000000002E-3</v>
      </c>
      <c r="K3">
        <f>0.1*0.99</f>
        <v>9.9000000000000005E-2</v>
      </c>
      <c r="L3">
        <f>SUM(J3:K3)</f>
        <v>0.10700000000000001</v>
      </c>
      <c r="M3">
        <f>J3/L3</f>
        <v>7.476635514018691E-2</v>
      </c>
    </row>
    <row r="4" spans="1:13" x14ac:dyDescent="0.45">
      <c r="A4" t="s">
        <v>2</v>
      </c>
      <c r="E4">
        <f>7/10</f>
        <v>0.7</v>
      </c>
      <c r="H4" t="s">
        <v>52</v>
      </c>
      <c r="I4" t="s">
        <v>163</v>
      </c>
      <c r="J4">
        <f>0.2*0.01</f>
        <v>2E-3</v>
      </c>
      <c r="K4">
        <f>0.9*0.99</f>
        <v>0.89100000000000001</v>
      </c>
      <c r="L4">
        <f>SUM(J4:K4)</f>
        <v>0.89300000000000002</v>
      </c>
      <c r="M4">
        <f>J4/L4</f>
        <v>2.2396416573348264E-3</v>
      </c>
    </row>
    <row r="5" spans="1:13" x14ac:dyDescent="0.45">
      <c r="A5" t="s">
        <v>120</v>
      </c>
      <c r="H5" t="s">
        <v>53</v>
      </c>
      <c r="J5">
        <f>SUM(J3:J4)</f>
        <v>0.01</v>
      </c>
      <c r="K5">
        <f>SUM(K3:K4)</f>
        <v>0.99</v>
      </c>
    </row>
    <row r="6" spans="1:13" x14ac:dyDescent="0.45">
      <c r="A6" t="s">
        <v>3</v>
      </c>
      <c r="H6" t="s">
        <v>54</v>
      </c>
    </row>
    <row r="7" spans="1:13" x14ac:dyDescent="0.45">
      <c r="C7">
        <f>4/51*(16/51)</f>
        <v>2.4605920799692427E-2</v>
      </c>
      <c r="D7">
        <f>C8*2</f>
        <v>4.8265460030165915E-2</v>
      </c>
      <c r="H7" t="s">
        <v>56</v>
      </c>
    </row>
    <row r="8" spans="1:13" x14ac:dyDescent="0.45">
      <c r="A8" t="s">
        <v>4</v>
      </c>
      <c r="B8" t="s">
        <v>8</v>
      </c>
      <c r="C8">
        <f>32/1326</f>
        <v>2.4132730015082957E-2</v>
      </c>
      <c r="H8" t="s">
        <v>57</v>
      </c>
    </row>
    <row r="9" spans="1:13" x14ac:dyDescent="0.45">
      <c r="A9" t="s">
        <v>5</v>
      </c>
      <c r="B9" t="s">
        <v>9</v>
      </c>
      <c r="C9">
        <f>4/169</f>
        <v>2.3668639053254437E-2</v>
      </c>
      <c r="H9" t="s">
        <v>58</v>
      </c>
    </row>
    <row r="10" spans="1:13" x14ac:dyDescent="0.45">
      <c r="A10" s="2" t="s">
        <v>6</v>
      </c>
      <c r="B10" s="2" t="s">
        <v>11</v>
      </c>
      <c r="C10">
        <f>64/1326</f>
        <v>4.8265460030165915E-2</v>
      </c>
      <c r="H10" t="s">
        <v>59</v>
      </c>
    </row>
    <row r="11" spans="1:13" x14ac:dyDescent="0.45">
      <c r="A11" t="s">
        <v>7</v>
      </c>
      <c r="B11" t="s">
        <v>10</v>
      </c>
      <c r="H11" s="2" t="s">
        <v>4</v>
      </c>
      <c r="I11" s="2" t="s">
        <v>61</v>
      </c>
      <c r="J11">
        <f>8/107</f>
        <v>7.476635514018691E-2</v>
      </c>
      <c r="K11">
        <f>0.008/0.107</f>
        <v>7.4766355140186924E-2</v>
      </c>
    </row>
    <row r="12" spans="1:13" x14ac:dyDescent="0.45">
      <c r="H12" t="s">
        <v>60</v>
      </c>
      <c r="I12">
        <v>0.75</v>
      </c>
    </row>
    <row r="13" spans="1:13" x14ac:dyDescent="0.45">
      <c r="A13" t="s">
        <v>15</v>
      </c>
      <c r="H13" t="s">
        <v>6</v>
      </c>
      <c r="I13" t="s">
        <v>62</v>
      </c>
      <c r="J13">
        <f>80/107</f>
        <v>0.74766355140186913</v>
      </c>
    </row>
    <row r="14" spans="1:13" x14ac:dyDescent="0.45">
      <c r="A14" t="s">
        <v>12</v>
      </c>
      <c r="D14">
        <v>4.9510000000000005E-4</v>
      </c>
      <c r="E14">
        <f>D14*4</f>
        <v>1.9804000000000002E-3</v>
      </c>
      <c r="H14" t="s">
        <v>7</v>
      </c>
      <c r="I14" t="s">
        <v>136</v>
      </c>
      <c r="K14">
        <f>0.002/0.9</f>
        <v>2.2222222222222222E-3</v>
      </c>
    </row>
    <row r="15" spans="1:13" x14ac:dyDescent="0.45">
      <c r="A15" t="s">
        <v>13</v>
      </c>
      <c r="D15">
        <f>13/52</f>
        <v>0.25</v>
      </c>
      <c r="E15">
        <f>PRODUCT(D15:D19)</f>
        <v>4.9519807923169268E-4</v>
      </c>
      <c r="F15">
        <f>13/52</f>
        <v>0.25</v>
      </c>
      <c r="G15" s="12">
        <f>PRODUCT(F15:F19)</f>
        <v>4.0620295157732571E-4</v>
      </c>
    </row>
    <row r="16" spans="1:13" x14ac:dyDescent="0.45">
      <c r="A16" t="s">
        <v>14</v>
      </c>
      <c r="D16">
        <f>12/51</f>
        <v>0.23529411764705882</v>
      </c>
      <c r="E16" s="12">
        <f>D15^5</f>
        <v>9.765625E-4</v>
      </c>
      <c r="F16">
        <f>12/52</f>
        <v>0.23076923076923078</v>
      </c>
      <c r="H16" t="s">
        <v>63</v>
      </c>
    </row>
    <row r="17" spans="1:14" x14ac:dyDescent="0.45">
      <c r="A17" s="2" t="b">
        <v>0</v>
      </c>
      <c r="D17">
        <f>11/50</f>
        <v>0.22</v>
      </c>
      <c r="E17" s="12">
        <f>PRODUCT(D15:D18)</f>
        <v>2.6410564225690276E-3</v>
      </c>
      <c r="F17">
        <f>11/52</f>
        <v>0.21153846153846154</v>
      </c>
      <c r="H17" t="s">
        <v>64</v>
      </c>
    </row>
    <row r="18" spans="1:14" x14ac:dyDescent="0.45">
      <c r="D18">
        <f>10/49</f>
        <v>0.20408163265306123</v>
      </c>
      <c r="F18">
        <f>10/52</f>
        <v>0.19230769230769232</v>
      </c>
      <c r="H18" t="s">
        <v>65</v>
      </c>
    </row>
    <row r="19" spans="1:14" x14ac:dyDescent="0.45">
      <c r="A19" t="s">
        <v>16</v>
      </c>
      <c r="D19">
        <f>9/48</f>
        <v>0.1875</v>
      </c>
      <c r="F19">
        <f>9/52</f>
        <v>0.17307692307692307</v>
      </c>
      <c r="H19" t="s">
        <v>66</v>
      </c>
    </row>
    <row r="20" spans="1:14" x14ac:dyDescent="0.45">
      <c r="A20" t="s">
        <v>12</v>
      </c>
      <c r="H20" t="s">
        <v>121</v>
      </c>
    </row>
    <row r="21" spans="1:14" x14ac:dyDescent="0.45">
      <c r="A21" t="s">
        <v>13</v>
      </c>
      <c r="E21">
        <f>1/6</f>
        <v>0.16666666666666666</v>
      </c>
      <c r="H21" t="s">
        <v>122</v>
      </c>
    </row>
    <row r="22" spans="1:14" x14ac:dyDescent="0.45">
      <c r="A22" t="s">
        <v>14</v>
      </c>
      <c r="D22" s="13">
        <v>2.1128500000000001E-2</v>
      </c>
      <c r="E22">
        <f>1/24</f>
        <v>4.1666666666666664E-2</v>
      </c>
      <c r="H22" t="s">
        <v>4</v>
      </c>
      <c r="I22">
        <v>0.14699999999999999</v>
      </c>
    </row>
    <row r="23" spans="1:14" x14ac:dyDescent="0.45">
      <c r="A23" s="2" t="b">
        <v>1</v>
      </c>
      <c r="E23">
        <f>1/24</f>
        <v>4.1666666666666664E-2</v>
      </c>
      <c r="H23" s="2" t="s">
        <v>5</v>
      </c>
      <c r="I23" s="2">
        <v>0.36299999999999999</v>
      </c>
    </row>
    <row r="24" spans="1:14" x14ac:dyDescent="0.45">
      <c r="H24" t="s">
        <v>6</v>
      </c>
      <c r="I24">
        <v>0.42599999999999999</v>
      </c>
    </row>
    <row r="25" spans="1:14" x14ac:dyDescent="0.45">
      <c r="A25" t="s">
        <v>17</v>
      </c>
      <c r="H25" t="s">
        <v>7</v>
      </c>
      <c r="I25" t="s">
        <v>10</v>
      </c>
    </row>
    <row r="26" spans="1:14" x14ac:dyDescent="0.45">
      <c r="A26" t="s">
        <v>18</v>
      </c>
      <c r="D26">
        <f>1/6</f>
        <v>0.16666666666666666</v>
      </c>
      <c r="E26">
        <f>SUM(D26:D28)</f>
        <v>0.41666666666666663</v>
      </c>
      <c r="F26">
        <f>10/24</f>
        <v>0.41666666666666669</v>
      </c>
    </row>
    <row r="27" spans="1:14" x14ac:dyDescent="0.45">
      <c r="D27">
        <f>1/8</f>
        <v>0.125</v>
      </c>
      <c r="E27">
        <f>SUM(D26:D27)</f>
        <v>0.29166666666666663</v>
      </c>
      <c r="H27" s="7" t="s">
        <v>73</v>
      </c>
      <c r="I27" s="7"/>
      <c r="J27" s="7"/>
      <c r="K27" s="7"/>
      <c r="L27" s="7"/>
    </row>
    <row r="28" spans="1:14" x14ac:dyDescent="0.45">
      <c r="A28" t="s">
        <v>4</v>
      </c>
      <c r="B28" t="s">
        <v>20</v>
      </c>
      <c r="D28">
        <f>0.125</f>
        <v>0.125</v>
      </c>
      <c r="H28" s="7" t="s">
        <v>67</v>
      </c>
      <c r="I28" s="7"/>
      <c r="J28" s="7"/>
      <c r="K28" s="7"/>
      <c r="L28" s="7"/>
    </row>
    <row r="29" spans="1:14" x14ac:dyDescent="0.45">
      <c r="A29" t="s">
        <v>5</v>
      </c>
      <c r="B29" s="3" t="s">
        <v>21</v>
      </c>
      <c r="E29">
        <f>1/4</f>
        <v>0.25</v>
      </c>
      <c r="H29" s="7" t="s">
        <v>68</v>
      </c>
      <c r="I29" s="7"/>
      <c r="J29" s="7"/>
      <c r="K29" s="7"/>
      <c r="L29" s="7"/>
    </row>
    <row r="30" spans="1:14" x14ac:dyDescent="0.45">
      <c r="A30" s="2" t="s">
        <v>6</v>
      </c>
      <c r="B30" s="2" t="s">
        <v>19</v>
      </c>
      <c r="H30" s="7" t="s">
        <v>69</v>
      </c>
      <c r="I30" s="7"/>
      <c r="J30" s="7"/>
      <c r="K30" s="7"/>
      <c r="L30" s="7"/>
    </row>
    <row r="31" spans="1:14" x14ac:dyDescent="0.45">
      <c r="A31" t="s">
        <v>7</v>
      </c>
      <c r="B31" t="s">
        <v>10</v>
      </c>
      <c r="E31">
        <f>8/12</f>
        <v>0.66666666666666663</v>
      </c>
      <c r="F31">
        <f>PRODUCT(E31:E35)</f>
        <v>7.0707070707070704E-2</v>
      </c>
      <c r="H31" s="7" t="s">
        <v>70</v>
      </c>
      <c r="I31" s="7"/>
      <c r="J31" s="7"/>
      <c r="K31" s="7">
        <f>0.95*0.01</f>
        <v>9.4999999999999998E-3</v>
      </c>
      <c r="L31" s="7">
        <f>0.02*0.99</f>
        <v>1.9800000000000002E-2</v>
      </c>
      <c r="M31">
        <f>SUM(K31:L31)</f>
        <v>2.93E-2</v>
      </c>
      <c r="N31">
        <f>K31/M31</f>
        <v>0.32423208191126279</v>
      </c>
    </row>
    <row r="32" spans="1:14" x14ac:dyDescent="0.45">
      <c r="E32">
        <f>7/11</f>
        <v>0.63636363636363635</v>
      </c>
      <c r="H32" s="7" t="s">
        <v>71</v>
      </c>
      <c r="I32" s="7"/>
      <c r="J32" s="7"/>
      <c r="K32" s="7">
        <f>0.05*0.01</f>
        <v>5.0000000000000001E-4</v>
      </c>
      <c r="L32" s="7">
        <f>0.98*0.99</f>
        <v>0.97019999999999995</v>
      </c>
      <c r="M32">
        <f>SUM(K32:L32)</f>
        <v>0.9706999999999999</v>
      </c>
      <c r="N32">
        <f>L32/M32</f>
        <v>0.99948490779849597</v>
      </c>
    </row>
    <row r="33" spans="1:15" x14ac:dyDescent="0.45">
      <c r="A33" t="s">
        <v>23</v>
      </c>
      <c r="E33">
        <f>6/10</f>
        <v>0.6</v>
      </c>
      <c r="H33" s="7" t="s">
        <v>72</v>
      </c>
      <c r="I33" s="7"/>
      <c r="J33" s="7"/>
      <c r="K33" s="7"/>
      <c r="L33" s="7"/>
    </row>
    <row r="34" spans="1:15" x14ac:dyDescent="0.45">
      <c r="A34" t="s">
        <v>24</v>
      </c>
      <c r="E34">
        <f>5/9</f>
        <v>0.55555555555555558</v>
      </c>
      <c r="H34" s="7" t="s">
        <v>4</v>
      </c>
      <c r="I34">
        <v>0.43</v>
      </c>
      <c r="K34">
        <f>0.9*0.05</f>
        <v>4.5000000000000005E-2</v>
      </c>
      <c r="L34">
        <f>0.05*0.95</f>
        <v>4.7500000000000001E-2</v>
      </c>
      <c r="M34">
        <f>SUM(K34:L34)</f>
        <v>9.2499999999999999E-2</v>
      </c>
      <c r="N34">
        <f>K34/M34</f>
        <v>0.48648648648648657</v>
      </c>
      <c r="O34">
        <f>L34/M34</f>
        <v>0.51351351351351349</v>
      </c>
    </row>
    <row r="35" spans="1:15" x14ac:dyDescent="0.45">
      <c r="A35" t="s">
        <v>22</v>
      </c>
      <c r="E35">
        <f>4/8</f>
        <v>0.5</v>
      </c>
      <c r="H35" s="7" t="s">
        <v>5</v>
      </c>
      <c r="I35">
        <v>0.22</v>
      </c>
      <c r="K35">
        <f>0.1*0.05</f>
        <v>5.000000000000001E-3</v>
      </c>
      <c r="L35">
        <f>0.95*0.95</f>
        <v>0.90249999999999997</v>
      </c>
      <c r="M35">
        <f>SUM(K35:L35)</f>
        <v>0.90749999999999997</v>
      </c>
      <c r="N35">
        <f>K35/M35</f>
        <v>5.5096418732782379E-3</v>
      </c>
      <c r="O35">
        <f>L35/M35</f>
        <v>0.99449035812672171</v>
      </c>
    </row>
    <row r="36" spans="1:15" x14ac:dyDescent="0.45">
      <c r="D36">
        <f>1/6</f>
        <v>0.16666666666666666</v>
      </c>
      <c r="E36">
        <f>D36*3</f>
        <v>0.5</v>
      </c>
      <c r="F36">
        <f>E36-E37</f>
        <v>0.49537037037037035</v>
      </c>
      <c r="H36" s="8" t="s">
        <v>6</v>
      </c>
      <c r="I36" s="2">
        <v>0.32</v>
      </c>
    </row>
    <row r="37" spans="1:15" x14ac:dyDescent="0.45">
      <c r="A37" t="s">
        <v>4</v>
      </c>
      <c r="B37">
        <v>3</v>
      </c>
      <c r="D37">
        <f>5/6</f>
        <v>0.83333333333333337</v>
      </c>
      <c r="E37">
        <f>D36^3</f>
        <v>4.6296296296296294E-3</v>
      </c>
      <c r="H37" s="7" t="s">
        <v>7</v>
      </c>
      <c r="I37">
        <v>0.35</v>
      </c>
    </row>
    <row r="38" spans="1:15" x14ac:dyDescent="0.45">
      <c r="A38" s="2" t="s">
        <v>5</v>
      </c>
      <c r="B38" s="2">
        <v>4</v>
      </c>
      <c r="E38">
        <f>D36^5</f>
        <v>1.2860082304526747E-4</v>
      </c>
    </row>
    <row r="39" spans="1:15" x14ac:dyDescent="0.45">
      <c r="A39" t="s">
        <v>6</v>
      </c>
      <c r="B39">
        <v>5</v>
      </c>
      <c r="D39">
        <f>1-D37^3</f>
        <v>0.42129629629629617</v>
      </c>
      <c r="H39" s="7" t="s">
        <v>83</v>
      </c>
    </row>
    <row r="40" spans="1:15" x14ac:dyDescent="0.45">
      <c r="A40" t="s">
        <v>7</v>
      </c>
      <c r="B40">
        <v>6</v>
      </c>
      <c r="E40">
        <f>D36*2</f>
        <v>0.33333333333333331</v>
      </c>
      <c r="F40">
        <f>E40-E41</f>
        <v>0.30555555555555552</v>
      </c>
      <c r="H40" s="7" t="s">
        <v>74</v>
      </c>
    </row>
    <row r="41" spans="1:15" x14ac:dyDescent="0.45">
      <c r="E41">
        <f>D36^2</f>
        <v>2.7777777777777776E-2</v>
      </c>
      <c r="H41" s="7" t="s">
        <v>4</v>
      </c>
      <c r="I41" s="4" t="s">
        <v>75</v>
      </c>
      <c r="J41">
        <f>4/52</f>
        <v>7.6923076923076927E-2</v>
      </c>
      <c r="K41">
        <f>3/26</f>
        <v>0.11538461538461539</v>
      </c>
    </row>
    <row r="42" spans="1:15" x14ac:dyDescent="0.45">
      <c r="H42" s="8" t="s">
        <v>5</v>
      </c>
      <c r="I42" s="11" t="s">
        <v>21</v>
      </c>
      <c r="J42">
        <f>13/52</f>
        <v>0.25</v>
      </c>
      <c r="K42">
        <f>6/26</f>
        <v>0.23076923076923078</v>
      </c>
    </row>
    <row r="43" spans="1:15" x14ac:dyDescent="0.45">
      <c r="A43" t="s">
        <v>26</v>
      </c>
      <c r="H43" s="7" t="s">
        <v>6</v>
      </c>
      <c r="I43" t="s">
        <v>76</v>
      </c>
    </row>
    <row r="44" spans="1:15" x14ac:dyDescent="0.45">
      <c r="A44" t="s">
        <v>25</v>
      </c>
      <c r="H44" s="7" t="s">
        <v>7</v>
      </c>
      <c r="I44" t="s">
        <v>10</v>
      </c>
    </row>
    <row r="45" spans="1:15" x14ac:dyDescent="0.45">
      <c r="A45" t="s">
        <v>27</v>
      </c>
    </row>
    <row r="46" spans="1:15" x14ac:dyDescent="0.45">
      <c r="A46" t="s">
        <v>28</v>
      </c>
      <c r="H46" t="s">
        <v>77</v>
      </c>
    </row>
    <row r="47" spans="1:15" x14ac:dyDescent="0.45">
      <c r="A47" t="s">
        <v>29</v>
      </c>
      <c r="H47" s="7" t="s">
        <v>84</v>
      </c>
      <c r="J47" t="s">
        <v>145</v>
      </c>
      <c r="K47" t="s">
        <v>146</v>
      </c>
    </row>
    <row r="48" spans="1:15" x14ac:dyDescent="0.45">
      <c r="A48" s="2" t="s">
        <v>30</v>
      </c>
      <c r="H48" s="7" t="s">
        <v>78</v>
      </c>
      <c r="J48" s="18">
        <v>0.4</v>
      </c>
      <c r="K48" s="18">
        <v>0.45</v>
      </c>
    </row>
    <row r="49" spans="1:16" x14ac:dyDescent="0.45">
      <c r="A49" t="s">
        <v>31</v>
      </c>
      <c r="H49" s="7" t="s">
        <v>79</v>
      </c>
      <c r="J49" s="21">
        <v>0.6</v>
      </c>
      <c r="K49">
        <v>0.55000000000000004</v>
      </c>
      <c r="L49">
        <v>0.8</v>
      </c>
    </row>
    <row r="50" spans="1:16" x14ac:dyDescent="0.45">
      <c r="A50" t="s">
        <v>32</v>
      </c>
      <c r="H50" s="7" t="s">
        <v>80</v>
      </c>
      <c r="J50" s="21">
        <f>J49+K49-L49</f>
        <v>0.34999999999999987</v>
      </c>
    </row>
    <row r="51" spans="1:16" x14ac:dyDescent="0.45">
      <c r="A51" t="s">
        <v>33</v>
      </c>
      <c r="H51" s="7" t="s">
        <v>81</v>
      </c>
    </row>
    <row r="52" spans="1:16" x14ac:dyDescent="0.45">
      <c r="H52" s="1" t="s">
        <v>82</v>
      </c>
      <c r="J52" t="s">
        <v>145</v>
      </c>
      <c r="K52" t="s">
        <v>146</v>
      </c>
      <c r="N52" t="s">
        <v>145</v>
      </c>
      <c r="O52" t="s">
        <v>146</v>
      </c>
    </row>
    <row r="53" spans="1:16" x14ac:dyDescent="0.45">
      <c r="A53" t="s">
        <v>34</v>
      </c>
      <c r="H53" s="7" t="s">
        <v>4</v>
      </c>
      <c r="I53">
        <v>0.25</v>
      </c>
      <c r="J53" s="18">
        <v>0.6</v>
      </c>
      <c r="K53" s="18">
        <v>0.25</v>
      </c>
      <c r="N53" s="18">
        <v>0.3</v>
      </c>
      <c r="O53" s="18">
        <v>0.15</v>
      </c>
    </row>
    <row r="54" spans="1:16" x14ac:dyDescent="0.45">
      <c r="A54" t="s">
        <v>35</v>
      </c>
      <c r="H54" s="8" t="s">
        <v>5</v>
      </c>
      <c r="I54" s="2">
        <v>0.35</v>
      </c>
      <c r="J54" s="21">
        <f>1-J53</f>
        <v>0.4</v>
      </c>
      <c r="K54" s="18">
        <f>1-K53</f>
        <v>0.75</v>
      </c>
      <c r="L54">
        <v>0.1</v>
      </c>
      <c r="N54" s="21">
        <v>0.7</v>
      </c>
      <c r="O54">
        <v>0.85</v>
      </c>
      <c r="P54">
        <v>0.92</v>
      </c>
    </row>
    <row r="55" spans="1:16" x14ac:dyDescent="0.45">
      <c r="H55" s="7" t="s">
        <v>6</v>
      </c>
      <c r="I55">
        <v>0.15</v>
      </c>
      <c r="J55" s="21">
        <f>J54+K54-L54</f>
        <v>1.0499999999999998</v>
      </c>
      <c r="N55" s="21">
        <f>N54+O54-P54</f>
        <v>0.62999999999999978</v>
      </c>
    </row>
    <row r="56" spans="1:16" x14ac:dyDescent="0.45">
      <c r="A56" t="s">
        <v>36</v>
      </c>
      <c r="H56" s="7" t="s">
        <v>7</v>
      </c>
      <c r="I56" t="s">
        <v>85</v>
      </c>
      <c r="J56" s="18">
        <f>J53+K53-L54</f>
        <v>0.75</v>
      </c>
    </row>
    <row r="57" spans="1:16" x14ac:dyDescent="0.45">
      <c r="A57" t="s">
        <v>37</v>
      </c>
      <c r="D57" s="14"/>
      <c r="E57" s="14"/>
    </row>
    <row r="58" spans="1:16" x14ac:dyDescent="0.45">
      <c r="A58" t="s">
        <v>38</v>
      </c>
      <c r="D58" s="14"/>
      <c r="E58" s="14"/>
      <c r="H58" s="7" t="s">
        <v>86</v>
      </c>
    </row>
    <row r="59" spans="1:16" x14ac:dyDescent="0.45">
      <c r="A59" s="2" t="s">
        <v>33</v>
      </c>
      <c r="B59" s="2"/>
      <c r="D59" s="14"/>
      <c r="E59" s="14"/>
      <c r="H59" s="7" t="s">
        <v>87</v>
      </c>
    </row>
    <row r="60" spans="1:16" x14ac:dyDescent="0.45">
      <c r="D60" s="14"/>
      <c r="E60" s="14"/>
      <c r="H60" s="7" t="s">
        <v>88</v>
      </c>
      <c r="J60">
        <f>0.8*0.8</f>
        <v>0.64000000000000012</v>
      </c>
      <c r="K60">
        <f>0.2*0.2</f>
        <v>4.0000000000000008E-2</v>
      </c>
      <c r="L60">
        <f>SUM(J60:K60)</f>
        <v>0.68000000000000016</v>
      </c>
    </row>
    <row r="61" spans="1:16" x14ac:dyDescent="0.45">
      <c r="A61" t="s">
        <v>39</v>
      </c>
      <c r="D61" s="14"/>
      <c r="E61" s="14"/>
      <c r="H61" s="7" t="s">
        <v>89</v>
      </c>
      <c r="J61">
        <f>0.66*0.66</f>
        <v>0.43560000000000004</v>
      </c>
      <c r="K61">
        <f>0.34*0.34</f>
        <v>0.11560000000000002</v>
      </c>
      <c r="L61">
        <f>SUM(J61:K61)</f>
        <v>0.55120000000000002</v>
      </c>
    </row>
    <row r="62" spans="1:16" x14ac:dyDescent="0.45">
      <c r="A62" t="s">
        <v>40</v>
      </c>
      <c r="D62" s="14"/>
      <c r="E62" s="14"/>
      <c r="H62" s="7" t="s">
        <v>90</v>
      </c>
      <c r="J62">
        <f>0.25^2</f>
        <v>6.25E-2</v>
      </c>
      <c r="K62">
        <f>0.75^2</f>
        <v>0.5625</v>
      </c>
      <c r="L62">
        <f>SUM(J62:K62)</f>
        <v>0.625</v>
      </c>
    </row>
    <row r="63" spans="1:16" x14ac:dyDescent="0.45">
      <c r="A63" t="s">
        <v>41</v>
      </c>
      <c r="D63" s="15"/>
      <c r="E63" s="14"/>
      <c r="F63" s="16"/>
      <c r="H63" s="7" t="s">
        <v>107</v>
      </c>
    </row>
    <row r="64" spans="1:16" x14ac:dyDescent="0.45">
      <c r="D64" s="14"/>
      <c r="E64" s="14"/>
      <c r="H64" s="7" t="s">
        <v>91</v>
      </c>
    </row>
    <row r="65" spans="1:9" x14ac:dyDescent="0.45">
      <c r="A65" t="s">
        <v>4</v>
      </c>
      <c r="B65" s="5" t="s">
        <v>43</v>
      </c>
      <c r="D65" s="14"/>
      <c r="E65" s="14"/>
      <c r="H65" s="7" t="s">
        <v>92</v>
      </c>
    </row>
    <row r="66" spans="1:9" x14ac:dyDescent="0.45">
      <c r="A66" s="2" t="s">
        <v>5</v>
      </c>
      <c r="B66" s="6" t="s">
        <v>42</v>
      </c>
      <c r="C66">
        <f>5/36</f>
        <v>0.1388888888888889</v>
      </c>
      <c r="D66" s="14"/>
      <c r="E66" s="14"/>
      <c r="H66" s="8" t="s">
        <v>93</v>
      </c>
    </row>
    <row r="67" spans="1:9" x14ac:dyDescent="0.45">
      <c r="A67" t="s">
        <v>6</v>
      </c>
      <c r="B67" t="s">
        <v>44</v>
      </c>
      <c r="D67" s="14"/>
      <c r="E67" s="14"/>
      <c r="H67" s="7" t="s">
        <v>94</v>
      </c>
    </row>
    <row r="68" spans="1:9" x14ac:dyDescent="0.45">
      <c r="A68" t="s">
        <v>7</v>
      </c>
      <c r="B68" t="s">
        <v>10</v>
      </c>
      <c r="D68" s="14"/>
      <c r="E68" s="14"/>
    </row>
    <row r="69" spans="1:9" x14ac:dyDescent="0.45">
      <c r="H69" s="7" t="s">
        <v>95</v>
      </c>
    </row>
    <row r="70" spans="1:9" x14ac:dyDescent="0.45">
      <c r="A70" t="s">
        <v>45</v>
      </c>
      <c r="H70" s="7" t="s">
        <v>96</v>
      </c>
    </row>
    <row r="71" spans="1:9" x14ac:dyDescent="0.45">
      <c r="A71" t="s">
        <v>46</v>
      </c>
      <c r="H71" s="7" t="s">
        <v>97</v>
      </c>
    </row>
    <row r="72" spans="1:9" x14ac:dyDescent="0.45">
      <c r="A72" t="s">
        <v>47</v>
      </c>
      <c r="H72" s="7" t="s">
        <v>137</v>
      </c>
    </row>
    <row r="73" spans="1:9" x14ac:dyDescent="0.45">
      <c r="A73" t="s">
        <v>135</v>
      </c>
      <c r="H73" s="7" t="s">
        <v>98</v>
      </c>
    </row>
    <row r="74" spans="1:9" x14ac:dyDescent="0.45">
      <c r="A74" t="s">
        <v>55</v>
      </c>
      <c r="H74" s="7" t="s">
        <v>99</v>
      </c>
    </row>
    <row r="75" spans="1:9" x14ac:dyDescent="0.45">
      <c r="A75" t="s">
        <v>48</v>
      </c>
      <c r="H75" s="8" t="s">
        <v>4</v>
      </c>
      <c r="I75" s="6" t="s">
        <v>100</v>
      </c>
    </row>
    <row r="76" spans="1:9" x14ac:dyDescent="0.45">
      <c r="A76" t="s">
        <v>49</v>
      </c>
      <c r="D76" t="s">
        <v>159</v>
      </c>
      <c r="E76" t="s">
        <v>160</v>
      </c>
      <c r="H76" s="7" t="s">
        <v>5</v>
      </c>
      <c r="I76" s="5" t="s">
        <v>103</v>
      </c>
    </row>
    <row r="77" spans="1:9" x14ac:dyDescent="0.45">
      <c r="A77" t="s">
        <v>4</v>
      </c>
      <c r="B77">
        <v>0.4</v>
      </c>
      <c r="C77" t="s">
        <v>157</v>
      </c>
      <c r="D77">
        <f>0.95*0.05</f>
        <v>4.7500000000000001E-2</v>
      </c>
      <c r="E77">
        <f>0.95*0.05</f>
        <v>4.7500000000000001E-2</v>
      </c>
      <c r="F77">
        <f>SUM(D77:E77)</f>
        <v>9.5000000000000001E-2</v>
      </c>
      <c r="H77" s="7" t="s">
        <v>6</v>
      </c>
      <c r="I77" s="4" t="s">
        <v>102</v>
      </c>
    </row>
    <row r="78" spans="1:9" x14ac:dyDescent="0.45">
      <c r="A78" s="2" t="s">
        <v>5</v>
      </c>
      <c r="B78" s="2">
        <v>0.5</v>
      </c>
      <c r="C78" t="s">
        <v>158</v>
      </c>
      <c r="D78">
        <f>0.05*0.05</f>
        <v>2.5000000000000005E-3</v>
      </c>
      <c r="E78">
        <f>0.95*0.95</f>
        <v>0.90249999999999997</v>
      </c>
      <c r="F78">
        <f>SUM(D78:E78)</f>
        <v>0.90499999999999992</v>
      </c>
      <c r="H78" s="7" t="s">
        <v>7</v>
      </c>
      <c r="I78" s="4" t="s">
        <v>101</v>
      </c>
    </row>
    <row r="79" spans="1:9" x14ac:dyDescent="0.45">
      <c r="A79" t="s">
        <v>6</v>
      </c>
      <c r="B79">
        <v>0.6</v>
      </c>
      <c r="D79">
        <f>SUM(D77:D78)</f>
        <v>0.05</v>
      </c>
      <c r="E79">
        <f>SUM(E77:E78)</f>
        <v>0.95</v>
      </c>
      <c r="F79">
        <f>D78/F78</f>
        <v>2.7624309392265201E-3</v>
      </c>
    </row>
    <row r="80" spans="1:9" x14ac:dyDescent="0.45">
      <c r="A80" t="s">
        <v>7</v>
      </c>
      <c r="B80" t="s">
        <v>10</v>
      </c>
      <c r="E80">
        <f>0.0025/0.905</f>
        <v>2.7624309392265192E-3</v>
      </c>
      <c r="H80" s="7" t="s">
        <v>104</v>
      </c>
    </row>
    <row r="81" spans="1:12" x14ac:dyDescent="0.45">
      <c r="H81" s="7" t="s">
        <v>105</v>
      </c>
    </row>
    <row r="82" spans="1:12" x14ac:dyDescent="0.45">
      <c r="A82" s="17" t="s">
        <v>138</v>
      </c>
      <c r="B82" t="s">
        <v>139</v>
      </c>
      <c r="C82" t="s">
        <v>140</v>
      </c>
      <c r="D82" t="s">
        <v>169</v>
      </c>
      <c r="E82" t="s">
        <v>168</v>
      </c>
      <c r="H82" s="7" t="s">
        <v>106</v>
      </c>
      <c r="I82">
        <v>0.48</v>
      </c>
    </row>
    <row r="83" spans="1:12" x14ac:dyDescent="0.45">
      <c r="A83" s="17" t="s">
        <v>141</v>
      </c>
      <c r="B83" s="18">
        <v>0.25</v>
      </c>
      <c r="C83" s="18">
        <v>0.94</v>
      </c>
      <c r="D83" s="21">
        <f>B83*(1-C83)</f>
        <v>1.5000000000000013E-2</v>
      </c>
      <c r="E83" s="19">
        <f>B83*C83</f>
        <v>0.23499999999999999</v>
      </c>
      <c r="H83" s="8" t="s">
        <v>5</v>
      </c>
      <c r="I83" s="2">
        <v>0.49</v>
      </c>
      <c r="J83">
        <f>1-0.028</f>
        <v>0.97199999999999998</v>
      </c>
      <c r="K83">
        <f>(J83^24)</f>
        <v>0.50581343231722331</v>
      </c>
      <c r="L83">
        <f>1-K83</f>
        <v>0.49418656768277669</v>
      </c>
    </row>
    <row r="84" spans="1:12" x14ac:dyDescent="0.45">
      <c r="A84" s="17" t="s">
        <v>142</v>
      </c>
      <c r="B84" s="18">
        <v>0.2</v>
      </c>
      <c r="C84" s="18">
        <v>0.98</v>
      </c>
      <c r="D84" s="21">
        <f>B84*(1-C84)</f>
        <v>4.0000000000000036E-3</v>
      </c>
      <c r="E84" s="19">
        <f>B84*C84</f>
        <v>0.19600000000000001</v>
      </c>
      <c r="H84" s="7" t="s">
        <v>6</v>
      </c>
      <c r="I84">
        <v>0.5</v>
      </c>
      <c r="J84">
        <f>1-0.056</f>
        <v>0.94399999999999995</v>
      </c>
      <c r="K84">
        <f>(J84^24)</f>
        <v>0.25080019114581253</v>
      </c>
      <c r="L84">
        <f>1-K84</f>
        <v>0.74919980885418747</v>
      </c>
    </row>
    <row r="85" spans="1:12" x14ac:dyDescent="0.45">
      <c r="A85" s="17" t="s">
        <v>143</v>
      </c>
      <c r="B85" s="18">
        <v>0.2</v>
      </c>
      <c r="C85" s="18">
        <v>0.9</v>
      </c>
      <c r="D85" s="21">
        <f>B85*(1-C85)</f>
        <v>1.9999999999999997E-2</v>
      </c>
      <c r="E85" s="19">
        <f>B85*C85</f>
        <v>0.18000000000000002</v>
      </c>
      <c r="H85" s="7" t="s">
        <v>7</v>
      </c>
      <c r="I85">
        <v>0.52</v>
      </c>
    </row>
    <row r="86" spans="1:12" x14ac:dyDescent="0.45">
      <c r="A86" s="17" t="s">
        <v>144</v>
      </c>
      <c r="B86" s="18">
        <v>0.35</v>
      </c>
      <c r="C86" s="18">
        <v>0.96</v>
      </c>
      <c r="D86" s="21">
        <f>B86*(1-C86)</f>
        <v>1.4000000000000011E-2</v>
      </c>
      <c r="E86" s="19">
        <f>B86*C86</f>
        <v>0.33599999999999997</v>
      </c>
    </row>
    <row r="87" spans="1:12" x14ac:dyDescent="0.45">
      <c r="D87" s="19">
        <f>SUM(D83:D86)</f>
        <v>5.3000000000000026E-2</v>
      </c>
      <c r="E87" s="19">
        <f>SUM(E83:E86)</f>
        <v>0.94699999999999995</v>
      </c>
      <c r="H87" t="s">
        <v>108</v>
      </c>
    </row>
    <row r="88" spans="1:12" x14ac:dyDescent="0.45">
      <c r="D88" s="20">
        <f>D86/D87</f>
        <v>0.26415094339622647</v>
      </c>
      <c r="E88" s="20">
        <f>E86/E87</f>
        <v>0.35480464625131997</v>
      </c>
      <c r="H88" t="s">
        <v>109</v>
      </c>
    </row>
    <row r="89" spans="1:12" x14ac:dyDescent="0.45">
      <c r="H89" t="s">
        <v>110</v>
      </c>
    </row>
    <row r="90" spans="1:12" x14ac:dyDescent="0.45">
      <c r="H90" t="s">
        <v>111</v>
      </c>
      <c r="L90" t="s">
        <v>147</v>
      </c>
    </row>
    <row r="91" spans="1:12" x14ac:dyDescent="0.45">
      <c r="A91" s="17" t="s">
        <v>138</v>
      </c>
      <c r="B91" t="s">
        <v>139</v>
      </c>
      <c r="C91" t="s">
        <v>140</v>
      </c>
      <c r="D91" t="s">
        <v>169</v>
      </c>
      <c r="E91" t="s">
        <v>168</v>
      </c>
      <c r="H91" t="s">
        <v>112</v>
      </c>
    </row>
    <row r="92" spans="1:12" x14ac:dyDescent="0.45">
      <c r="A92" s="17" t="s">
        <v>141</v>
      </c>
      <c r="B92" s="18">
        <v>0.2</v>
      </c>
      <c r="C92" s="18">
        <v>0.92</v>
      </c>
      <c r="D92" s="26">
        <f>B92*(1-C92)</f>
        <v>1.5999999999999993E-2</v>
      </c>
      <c r="E92" s="19">
        <f>B92*C92</f>
        <v>0.18400000000000002</v>
      </c>
      <c r="H92" s="14" t="s">
        <v>4</v>
      </c>
      <c r="I92" s="22" t="s">
        <v>114</v>
      </c>
      <c r="J92">
        <f>1/2*1/3</f>
        <v>0.16666666666666666</v>
      </c>
      <c r="K92">
        <f>J92/(1/3)</f>
        <v>0.5</v>
      </c>
    </row>
    <row r="93" spans="1:12" x14ac:dyDescent="0.45">
      <c r="A93" s="17" t="s">
        <v>142</v>
      </c>
      <c r="B93" s="18">
        <v>0.15</v>
      </c>
      <c r="C93" s="18">
        <v>0.94</v>
      </c>
      <c r="D93" s="26">
        <f>B93*(1-C93)</f>
        <v>9.000000000000008E-3</v>
      </c>
      <c r="E93" s="19">
        <f>B93*C93</f>
        <v>0.14099999999999999</v>
      </c>
      <c r="H93" s="2" t="s">
        <v>5</v>
      </c>
      <c r="I93" s="9" t="s">
        <v>115</v>
      </c>
      <c r="K93">
        <f>J92/0.5</f>
        <v>0.33333333333333331</v>
      </c>
    </row>
    <row r="94" spans="1:12" x14ac:dyDescent="0.45">
      <c r="A94" s="17" t="s">
        <v>143</v>
      </c>
      <c r="B94" s="18">
        <v>0.35</v>
      </c>
      <c r="C94" s="18">
        <v>0.8</v>
      </c>
      <c r="D94" s="26">
        <f>B94*(1-C94)</f>
        <v>6.9999999999999979E-2</v>
      </c>
      <c r="E94" s="19">
        <f>B94*C94</f>
        <v>0.27999999999999997</v>
      </c>
      <c r="H94" t="s">
        <v>6</v>
      </c>
      <c r="I94" s="5" t="s">
        <v>116</v>
      </c>
    </row>
    <row r="95" spans="1:12" x14ac:dyDescent="0.45">
      <c r="A95" s="17" t="s">
        <v>144</v>
      </c>
      <c r="B95" s="18">
        <v>0.3</v>
      </c>
      <c r="C95" s="18">
        <v>0.86</v>
      </c>
      <c r="D95" s="26">
        <f>B95*(1-C95)</f>
        <v>4.2000000000000003E-2</v>
      </c>
      <c r="E95" s="19">
        <f>B95*C95</f>
        <v>0.25800000000000001</v>
      </c>
      <c r="H95" t="s">
        <v>113</v>
      </c>
      <c r="I95" t="s">
        <v>10</v>
      </c>
    </row>
    <row r="96" spans="1:12" x14ac:dyDescent="0.45">
      <c r="D96" s="19">
        <f>SUM(D92:D95)</f>
        <v>0.13699999999999998</v>
      </c>
      <c r="E96" s="19">
        <f>SUM(E92:E95)</f>
        <v>0.86299999999999999</v>
      </c>
      <c r="J96">
        <f>1/2*(2/5)</f>
        <v>0.2</v>
      </c>
      <c r="K96">
        <f>J96/0.4</f>
        <v>0.5</v>
      </c>
    </row>
    <row r="97" spans="1:14" x14ac:dyDescent="0.45">
      <c r="H97" t="s">
        <v>117</v>
      </c>
      <c r="J97">
        <f>2/5*1/4</f>
        <v>0.1</v>
      </c>
      <c r="K97">
        <f>J97/(2/5)</f>
        <v>0.25</v>
      </c>
    </row>
    <row r="98" spans="1:14" x14ac:dyDescent="0.45">
      <c r="A98" s="17" t="s">
        <v>141</v>
      </c>
      <c r="B98" s="20">
        <f>D92/D$96</f>
        <v>0.11678832116788318</v>
      </c>
      <c r="C98" s="20">
        <f>E92/E$96</f>
        <v>0.21320973348783318</v>
      </c>
      <c r="H98" t="s">
        <v>109</v>
      </c>
    </row>
    <row r="99" spans="1:14" x14ac:dyDescent="0.45">
      <c r="A99" s="17" t="s">
        <v>142</v>
      </c>
      <c r="B99" s="20">
        <f t="shared" ref="B99:C99" si="0">D93/D$96</f>
        <v>6.5693430656934379E-2</v>
      </c>
      <c r="C99" s="20">
        <f>E93/E$96</f>
        <v>0.16338354577056777</v>
      </c>
      <c r="H99" t="s">
        <v>110</v>
      </c>
    </row>
    <row r="100" spans="1:14" x14ac:dyDescent="0.45">
      <c r="A100" s="17" t="s">
        <v>143</v>
      </c>
      <c r="B100" s="20">
        <f t="shared" ref="B100:C100" si="1">D94/D$96</f>
        <v>0.51094890510948898</v>
      </c>
      <c r="C100" s="20">
        <f t="shared" si="1"/>
        <v>0.32444959443800692</v>
      </c>
      <c r="H100" t="s">
        <v>111</v>
      </c>
      <c r="K100" t="s">
        <v>167</v>
      </c>
      <c r="L100" t="s">
        <v>164</v>
      </c>
    </row>
    <row r="101" spans="1:14" x14ac:dyDescent="0.45">
      <c r="A101" s="17" t="s">
        <v>144</v>
      </c>
      <c r="B101" s="20">
        <f t="shared" ref="B101:C101" si="2">D95/D$96</f>
        <v>0.3065693430656935</v>
      </c>
      <c r="C101" s="20">
        <f t="shared" si="2"/>
        <v>0.29895712630359211</v>
      </c>
      <c r="H101" t="s">
        <v>118</v>
      </c>
      <c r="J101" t="s">
        <v>166</v>
      </c>
      <c r="K101" s="19">
        <f>0.95*0.01</f>
        <v>9.4999999999999998E-3</v>
      </c>
      <c r="L101" s="19">
        <f>0.02*0.99</f>
        <v>1.9800000000000002E-2</v>
      </c>
      <c r="M101" s="19">
        <f>SUM(K101:L101)</f>
        <v>2.93E-2</v>
      </c>
      <c r="N101" s="24">
        <f>K101/M101</f>
        <v>0.32423208191126279</v>
      </c>
    </row>
    <row r="102" spans="1:14" x14ac:dyDescent="0.45">
      <c r="H102" t="s">
        <v>4</v>
      </c>
      <c r="I102" t="s">
        <v>116</v>
      </c>
      <c r="J102" t="s">
        <v>165</v>
      </c>
      <c r="K102" s="20">
        <f>K103-K101</f>
        <v>5.0000000000000044E-4</v>
      </c>
      <c r="L102" s="20">
        <f>L103-L101</f>
        <v>0.97019999999999995</v>
      </c>
      <c r="M102" s="19">
        <f>SUM(K102:L102)</f>
        <v>0.9706999999999999</v>
      </c>
      <c r="N102" s="19">
        <f>L102/M102</f>
        <v>0.99948490779849597</v>
      </c>
    </row>
    <row r="103" spans="1:14" x14ac:dyDescent="0.45">
      <c r="H103" t="s">
        <v>5</v>
      </c>
      <c r="I103" s="10" t="s">
        <v>115</v>
      </c>
      <c r="K103" s="18">
        <v>0.01</v>
      </c>
      <c r="L103" s="18">
        <v>0.99</v>
      </c>
    </row>
    <row r="104" spans="1:14" x14ac:dyDescent="0.45">
      <c r="H104" s="2" t="s">
        <v>6</v>
      </c>
      <c r="I104" s="9" t="s">
        <v>114</v>
      </c>
      <c r="K104">
        <f>0.01*0.05</f>
        <v>5.0000000000000001E-4</v>
      </c>
      <c r="L104">
        <f>0.99*0.98</f>
        <v>0.97019999999999995</v>
      </c>
    </row>
    <row r="105" spans="1:14" x14ac:dyDescent="0.45">
      <c r="H105" t="s">
        <v>113</v>
      </c>
      <c r="I105" t="s">
        <v>10</v>
      </c>
    </row>
    <row r="107" spans="1:14" x14ac:dyDescent="0.45">
      <c r="K107" t="s">
        <v>167</v>
      </c>
      <c r="L107" t="s">
        <v>164</v>
      </c>
    </row>
    <row r="108" spans="1:14" x14ac:dyDescent="0.45">
      <c r="H108" t="s">
        <v>123</v>
      </c>
      <c r="J108" t="s">
        <v>166</v>
      </c>
      <c r="K108" s="25">
        <f>0.9*0.01</f>
        <v>9.0000000000000011E-3</v>
      </c>
      <c r="L108" s="25">
        <f>0.05*0.99</f>
        <v>4.9500000000000002E-2</v>
      </c>
      <c r="M108" s="19">
        <f>SUM(K108:L108)</f>
        <v>5.8500000000000003E-2</v>
      </c>
      <c r="N108" s="24">
        <f>K108/M108</f>
        <v>0.15384615384615385</v>
      </c>
    </row>
    <row r="109" spans="1:14" x14ac:dyDescent="0.45">
      <c r="H109" t="s">
        <v>124</v>
      </c>
      <c r="J109" t="s">
        <v>165</v>
      </c>
      <c r="K109" s="25">
        <f>0.1*0.01</f>
        <v>1E-3</v>
      </c>
      <c r="L109" s="25">
        <f>0.95*0.99</f>
        <v>0.9405</v>
      </c>
      <c r="M109" s="19">
        <f>SUM(K109:L109)</f>
        <v>0.9415</v>
      </c>
      <c r="N109" s="19">
        <f>L109/M109</f>
        <v>0.99893786510886884</v>
      </c>
    </row>
    <row r="110" spans="1:14" x14ac:dyDescent="0.45">
      <c r="H110" t="s">
        <v>125</v>
      </c>
      <c r="K110" s="18">
        <f>SUM(K108:K109)</f>
        <v>1.0000000000000002E-2</v>
      </c>
      <c r="L110" s="18">
        <f>SUM(L108:L109)</f>
        <v>0.99</v>
      </c>
    </row>
    <row r="111" spans="1:14" x14ac:dyDescent="0.45">
      <c r="H111" t="s">
        <v>126</v>
      </c>
      <c r="L111">
        <f>0.99*0.98</f>
        <v>0.97019999999999995</v>
      </c>
    </row>
    <row r="112" spans="1:14" x14ac:dyDescent="0.45">
      <c r="H112" t="s">
        <v>127</v>
      </c>
    </row>
    <row r="113" spans="8:14" x14ac:dyDescent="0.45">
      <c r="H113" t="s">
        <v>128</v>
      </c>
    </row>
    <row r="114" spans="8:14" x14ac:dyDescent="0.45">
      <c r="H114" t="s">
        <v>129</v>
      </c>
    </row>
    <row r="115" spans="8:14" x14ac:dyDescent="0.45">
      <c r="H115" t="s">
        <v>130</v>
      </c>
    </row>
    <row r="116" spans="8:14" x14ac:dyDescent="0.45">
      <c r="H116" t="s">
        <v>131</v>
      </c>
    </row>
    <row r="117" spans="8:14" x14ac:dyDescent="0.45">
      <c r="H117" t="s">
        <v>132</v>
      </c>
    </row>
    <row r="118" spans="8:14" x14ac:dyDescent="0.45">
      <c r="H118" t="s">
        <v>133</v>
      </c>
      <c r="J118" s="16"/>
      <c r="K118" s="16" t="s">
        <v>150</v>
      </c>
      <c r="L118" s="16" t="s">
        <v>151</v>
      </c>
      <c r="M118" s="16" t="s">
        <v>152</v>
      </c>
      <c r="N118" s="16" t="s">
        <v>154</v>
      </c>
    </row>
    <row r="119" spans="8:14" x14ac:dyDescent="0.45">
      <c r="H119" t="s">
        <v>134</v>
      </c>
      <c r="J119" s="16" t="s">
        <v>148</v>
      </c>
      <c r="K119" s="16">
        <v>0.9</v>
      </c>
      <c r="L119" s="16">
        <f>0.1</f>
        <v>0.1</v>
      </c>
      <c r="M119" s="16">
        <f>PRODUCT(K119:L119)</f>
        <v>9.0000000000000011E-2</v>
      </c>
      <c r="N119" s="16">
        <f>M119/M121</f>
        <v>0.54545454545454541</v>
      </c>
    </row>
    <row r="120" spans="8:14" x14ac:dyDescent="0.45">
      <c r="H120" s="2" t="s">
        <v>4</v>
      </c>
      <c r="I120" s="9">
        <v>0.45</v>
      </c>
      <c r="J120" s="16" t="s">
        <v>149</v>
      </c>
      <c r="K120" s="16">
        <v>0.1</v>
      </c>
      <c r="L120" s="16">
        <v>0.75</v>
      </c>
      <c r="M120" s="16">
        <f>PRODUCT(K120:L120)</f>
        <v>7.5000000000000011E-2</v>
      </c>
      <c r="N120" s="16">
        <f>M120/M121</f>
        <v>0.45454545454545453</v>
      </c>
    </row>
    <row r="121" spans="8:14" x14ac:dyDescent="0.45">
      <c r="H121" t="s">
        <v>5</v>
      </c>
      <c r="I121">
        <v>0.3</v>
      </c>
      <c r="J121" s="16" t="s">
        <v>153</v>
      </c>
      <c r="K121" s="16"/>
      <c r="L121" s="16"/>
      <c r="M121" s="16">
        <f>SUM(M119:M120)</f>
        <v>0.16500000000000004</v>
      </c>
      <c r="N121" s="16"/>
    </row>
    <row r="122" spans="8:14" x14ac:dyDescent="0.45">
      <c r="H122" t="s">
        <v>6</v>
      </c>
      <c r="I122">
        <v>0.5</v>
      </c>
    </row>
    <row r="123" spans="8:14" x14ac:dyDescent="0.45">
      <c r="H123" t="s">
        <v>7</v>
      </c>
      <c r="I123">
        <v>0.55000000000000004</v>
      </c>
      <c r="K123" s="16">
        <v>0.9</v>
      </c>
      <c r="L123" s="16">
        <v>0.15</v>
      </c>
      <c r="M123" s="16">
        <f>PRODUCT(K123:L123)</f>
        <v>0.13500000000000001</v>
      </c>
      <c r="N123" s="16">
        <f>M123/M125</f>
        <v>0.61363636363636365</v>
      </c>
    </row>
    <row r="124" spans="8:14" x14ac:dyDescent="0.45">
      <c r="K124" s="16">
        <v>0.1</v>
      </c>
      <c r="L124" s="16">
        <v>0.85</v>
      </c>
      <c r="M124" s="16">
        <f>PRODUCT(K124:L124)</f>
        <v>8.5000000000000006E-2</v>
      </c>
      <c r="N124" s="16">
        <f>M124/M125</f>
        <v>0.38636363636363635</v>
      </c>
    </row>
    <row r="125" spans="8:14" x14ac:dyDescent="0.45">
      <c r="K125" s="16"/>
      <c r="L125" s="16"/>
      <c r="M125" s="16">
        <f>SUM(M123:M124)</f>
        <v>0.22000000000000003</v>
      </c>
      <c r="N125" s="16"/>
    </row>
    <row r="128" spans="8:14" x14ac:dyDescent="0.45">
      <c r="J128">
        <f>0.3+0.3-0.12</f>
        <v>0.48</v>
      </c>
      <c r="L128" s="23">
        <f>0.7*0.3</f>
        <v>0.21</v>
      </c>
      <c r="M128" s="23">
        <f>0.7*0.7</f>
        <v>0.48999999999999994</v>
      </c>
      <c r="N128">
        <f>6/7</f>
        <v>0.8571428571428571</v>
      </c>
    </row>
    <row r="129" spans="10:14" x14ac:dyDescent="0.45">
      <c r="J129">
        <f>1.4-0.52</f>
        <v>0.87999999999999989</v>
      </c>
      <c r="L129" s="23">
        <f>0.3*0.3</f>
        <v>0.09</v>
      </c>
      <c r="M129" s="23">
        <f>0.3*0.7</f>
        <v>0.21</v>
      </c>
    </row>
    <row r="131" spans="10:14" x14ac:dyDescent="0.45">
      <c r="K131" t="s">
        <v>155</v>
      </c>
      <c r="L131" s="23">
        <v>0.6</v>
      </c>
      <c r="M131" s="23">
        <f>0.7*0.6</f>
        <v>0.42</v>
      </c>
      <c r="N131">
        <v>0.7</v>
      </c>
    </row>
    <row r="132" spans="10:14" x14ac:dyDescent="0.45">
      <c r="K132" t="s">
        <v>156</v>
      </c>
      <c r="L132" s="23">
        <v>0.4</v>
      </c>
      <c r="M132" s="23">
        <f>0.4*0.6</f>
        <v>0.24</v>
      </c>
      <c r="N132">
        <v>0.3</v>
      </c>
    </row>
    <row r="133" spans="10:14" x14ac:dyDescent="0.45">
      <c r="L133">
        <v>0.3</v>
      </c>
      <c r="M133">
        <v>0.7</v>
      </c>
    </row>
    <row r="134" spans="10:14" x14ac:dyDescent="0.45">
      <c r="J134">
        <f>0.3+0.4-0.18</f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Liberty Munson</cp:lastModifiedBy>
  <dcterms:created xsi:type="dcterms:W3CDTF">2016-12-29T13:00:08Z</dcterms:created>
  <dcterms:modified xsi:type="dcterms:W3CDTF">2017-05-30T21:40:05Z</dcterms:modified>
</cp:coreProperties>
</file>