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CertTFS\Online-Content\Courses\ENG\DAT222x - Essential Statistics for Data Analysis using Excel\Assessments\Module 3\"/>
    </mc:Choice>
  </mc:AlternateContent>
  <bookViews>
    <workbookView xWindow="0" yWindow="0" windowWidth="10673" windowHeight="5948"/>
  </bookViews>
  <sheets>
    <sheet name="Sheet1" sheetId="1" r:id="rId1"/>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5" i="1" l="1"/>
  <c r="F75" i="1"/>
  <c r="E75" i="1"/>
  <c r="F74" i="1"/>
  <c r="E74" i="1"/>
  <c r="G74" i="1"/>
  <c r="G73" i="1"/>
  <c r="F73" i="1"/>
  <c r="E73" i="1"/>
  <c r="C73" i="1"/>
  <c r="B74" i="1"/>
  <c r="B73" i="1"/>
  <c r="J101" i="1"/>
  <c r="I103" i="1"/>
  <c r="I102" i="1"/>
  <c r="I101" i="1"/>
  <c r="B97" i="1"/>
  <c r="B96" i="1"/>
  <c r="J99" i="1"/>
  <c r="K92" i="1"/>
  <c r="J92" i="1"/>
  <c r="B121" i="1"/>
  <c r="B120" i="1"/>
  <c r="B118" i="1"/>
  <c r="B117" i="1"/>
  <c r="B116" i="1"/>
  <c r="B81" i="1"/>
  <c r="C81" i="1"/>
  <c r="D77" i="1"/>
  <c r="C77" i="1"/>
  <c r="B77" i="1"/>
  <c r="E69" i="1"/>
  <c r="C69" i="1"/>
  <c r="B69" i="1"/>
  <c r="B62" i="1"/>
  <c r="D62" i="1"/>
  <c r="C62" i="1"/>
  <c r="H57" i="1"/>
  <c r="H56" i="1"/>
  <c r="H55" i="1"/>
  <c r="D56" i="1"/>
  <c r="D55" i="1"/>
  <c r="D54" i="1"/>
  <c r="C56" i="1"/>
  <c r="C54" i="1"/>
  <c r="C55" i="1"/>
  <c r="C60" i="1"/>
  <c r="C59" i="1"/>
  <c r="C58" i="1"/>
  <c r="E90" i="1"/>
  <c r="E89" i="1"/>
  <c r="E87" i="1"/>
  <c r="C47" i="1"/>
  <c r="C46" i="1"/>
  <c r="C45" i="1"/>
  <c r="C43" i="1"/>
  <c r="C42" i="1"/>
  <c r="C41" i="1"/>
  <c r="C32" i="1"/>
  <c r="J25" i="1"/>
  <c r="I25" i="1"/>
  <c r="I24" i="1"/>
  <c r="H24" i="1"/>
  <c r="C114" i="1"/>
  <c r="B114" i="1"/>
  <c r="B111" i="1"/>
  <c r="B110" i="1"/>
  <c r="C107" i="1"/>
  <c r="C108" i="1"/>
  <c r="B108" i="1"/>
  <c r="B107" i="1"/>
  <c r="C82" i="1"/>
  <c r="B82" i="1"/>
  <c r="D68" i="1"/>
  <c r="C68" i="1"/>
  <c r="B68" i="1"/>
  <c r="C72" i="1"/>
  <c r="B72" i="1"/>
  <c r="D69" i="1"/>
  <c r="H99" i="1"/>
  <c r="H100" i="1"/>
  <c r="H102" i="1"/>
  <c r="H103" i="1"/>
  <c r="E104" i="1"/>
  <c r="E128" i="1"/>
  <c r="H126" i="1"/>
  <c r="H125" i="1"/>
  <c r="I92" i="1"/>
  <c r="I93" i="1"/>
  <c r="I94" i="1"/>
  <c r="I95" i="1"/>
  <c r="I96" i="1"/>
  <c r="I97" i="1"/>
  <c r="I98" i="1"/>
  <c r="K116" i="1"/>
  <c r="K117" i="1"/>
  <c r="K118" i="1"/>
  <c r="K119" i="1"/>
  <c r="K120" i="1"/>
  <c r="K121" i="1"/>
  <c r="K122" i="1"/>
  <c r="L122" i="1"/>
  <c r="J121" i="1"/>
  <c r="J120" i="1"/>
  <c r="J119" i="1"/>
  <c r="J118" i="1"/>
  <c r="J117" i="1"/>
  <c r="J116" i="1"/>
  <c r="I121" i="1"/>
  <c r="H121" i="1"/>
  <c r="I120" i="1"/>
  <c r="H120" i="1"/>
  <c r="I119" i="1"/>
  <c r="H119" i="1"/>
  <c r="I118" i="1"/>
  <c r="H118" i="1"/>
  <c r="I117" i="1"/>
  <c r="H117" i="1"/>
  <c r="I116" i="1"/>
  <c r="I122" i="1"/>
  <c r="H116" i="1"/>
  <c r="H123" i="1"/>
  <c r="H124" i="1"/>
  <c r="H127" i="1"/>
  <c r="K93" i="1"/>
  <c r="K94" i="1"/>
  <c r="K95" i="1"/>
  <c r="K96" i="1"/>
  <c r="K97" i="1"/>
  <c r="K98" i="1"/>
  <c r="L98" i="1"/>
  <c r="J10" i="1"/>
  <c r="F10" i="1"/>
  <c r="F11" i="1"/>
  <c r="J93" i="1"/>
  <c r="J94" i="1"/>
  <c r="J95" i="1"/>
  <c r="J96" i="1"/>
  <c r="J97" i="1"/>
  <c r="J98" i="1"/>
  <c r="G87" i="1"/>
  <c r="Q47" i="1"/>
  <c r="Q46" i="1"/>
  <c r="Q45" i="1"/>
  <c r="Q42" i="1"/>
  <c r="Q41" i="1"/>
  <c r="Q40" i="1"/>
  <c r="Q38" i="1"/>
  <c r="Q36" i="1"/>
  <c r="Q37" i="1"/>
  <c r="Q35" i="1"/>
  <c r="C37" i="1"/>
  <c r="C36" i="1"/>
  <c r="F58" i="1"/>
  <c r="C51" i="1"/>
  <c r="C50" i="1"/>
  <c r="C49" i="1"/>
  <c r="D47" i="1"/>
  <c r="D46" i="1"/>
  <c r="D45" i="1"/>
  <c r="D72" i="1"/>
  <c r="Q48" i="1"/>
  <c r="Q43" i="1"/>
  <c r="J122" i="1"/>
  <c r="C40" i="1"/>
  <c r="M35" i="1"/>
  <c r="C34" i="1"/>
  <c r="D34" i="1"/>
  <c r="F33" i="1"/>
  <c r="C33" i="1"/>
  <c r="D33" i="1"/>
  <c r="D32" i="1"/>
  <c r="M45" i="1"/>
  <c r="M30" i="1"/>
  <c r="N30" i="1"/>
  <c r="M11" i="1"/>
  <c r="M12" i="1"/>
  <c r="M13" i="1"/>
  <c r="M14" i="1"/>
  <c r="M15" i="1"/>
  <c r="M16" i="1"/>
  <c r="M17" i="1"/>
  <c r="M18" i="1"/>
  <c r="M19" i="1"/>
  <c r="M20" i="1"/>
  <c r="M21" i="1"/>
  <c r="M10" i="1"/>
  <c r="J11" i="1"/>
  <c r="J12" i="1"/>
  <c r="J13" i="1"/>
  <c r="J14" i="1"/>
  <c r="J15" i="1"/>
  <c r="J16" i="1"/>
  <c r="J17" i="1"/>
  <c r="J18" i="1"/>
  <c r="J19" i="1"/>
  <c r="J20" i="1"/>
  <c r="J21" i="1"/>
  <c r="J22" i="1"/>
  <c r="J23" i="1"/>
  <c r="J24" i="1"/>
  <c r="J30" i="1"/>
  <c r="F24" i="1"/>
  <c r="K30" i="1"/>
  <c r="B26" i="1"/>
  <c r="P28" i="1"/>
  <c r="P29" i="1"/>
  <c r="P27" i="1"/>
  <c r="Q27" i="1"/>
  <c r="P26" i="1"/>
  <c r="Q29" i="1"/>
  <c r="Q28" i="1"/>
  <c r="Q26" i="1"/>
  <c r="Q21" i="1"/>
  <c r="Q22" i="1"/>
  <c r="P22" i="1"/>
  <c r="P20" i="1"/>
  <c r="Q20" i="1"/>
  <c r="Q24" i="1"/>
  <c r="P23" i="1"/>
  <c r="Q23" i="1"/>
  <c r="P21" i="1"/>
  <c r="Q30" i="1"/>
  <c r="R16" i="1"/>
  <c r="Q18" i="1"/>
  <c r="R18" i="1"/>
  <c r="Q17" i="1"/>
  <c r="R17" i="1"/>
  <c r="Q16" i="1"/>
  <c r="Q15" i="1"/>
  <c r="R15" i="1"/>
  <c r="R19" i="1"/>
  <c r="K11" i="1"/>
  <c r="L11" i="1"/>
  <c r="K12" i="1"/>
  <c r="L12" i="1"/>
  <c r="K13" i="1"/>
  <c r="L13" i="1"/>
  <c r="K14" i="1"/>
  <c r="L14" i="1"/>
  <c r="K15" i="1"/>
  <c r="L15" i="1"/>
  <c r="K16" i="1"/>
  <c r="L16" i="1"/>
  <c r="K17" i="1"/>
  <c r="L17" i="1"/>
  <c r="K18" i="1"/>
  <c r="L18" i="1"/>
  <c r="K19" i="1"/>
  <c r="L19" i="1"/>
  <c r="K20" i="1"/>
  <c r="L20" i="1"/>
  <c r="K21" i="1"/>
  <c r="L21" i="1"/>
  <c r="L10" i="1"/>
  <c r="K10" i="1"/>
  <c r="H11" i="1"/>
  <c r="I11" i="1"/>
  <c r="H12" i="1"/>
  <c r="I12" i="1"/>
  <c r="H13" i="1"/>
  <c r="I13" i="1"/>
  <c r="H14" i="1"/>
  <c r="I14" i="1"/>
  <c r="H15" i="1"/>
  <c r="I15" i="1"/>
  <c r="H16" i="1"/>
  <c r="I16" i="1"/>
  <c r="H17" i="1"/>
  <c r="I17" i="1"/>
  <c r="H18" i="1"/>
  <c r="I18" i="1"/>
  <c r="H19" i="1"/>
  <c r="I19" i="1"/>
  <c r="H20" i="1"/>
  <c r="I20" i="1"/>
  <c r="H21" i="1"/>
  <c r="I21" i="1"/>
  <c r="H22" i="1"/>
  <c r="I22" i="1"/>
  <c r="H23" i="1"/>
  <c r="I23" i="1"/>
  <c r="H10" i="1"/>
  <c r="I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E10" i="1"/>
  <c r="D10" i="1"/>
  <c r="E30" i="1"/>
  <c r="L22" i="1"/>
  <c r="M47" i="1"/>
  <c r="H110" i="1"/>
  <c r="F15" i="1"/>
  <c r="F19" i="1"/>
  <c r="F23" i="1"/>
  <c r="F27" i="1"/>
  <c r="F12" i="1"/>
  <c r="F16" i="1"/>
  <c r="F20" i="1"/>
  <c r="F28" i="1"/>
  <c r="F18" i="1"/>
  <c r="F22" i="1"/>
  <c r="F13" i="1"/>
  <c r="F17" i="1"/>
  <c r="F21" i="1"/>
  <c r="F25" i="1"/>
  <c r="F29" i="1"/>
  <c r="F14" i="1"/>
  <c r="F26" i="1"/>
  <c r="L105" i="1"/>
  <c r="L106" i="1"/>
  <c r="L107" i="1"/>
  <c r="K108" i="1"/>
  <c r="H93" i="1"/>
  <c r="H94" i="1"/>
  <c r="H95" i="1"/>
  <c r="H96" i="1"/>
  <c r="H97" i="1"/>
  <c r="H92" i="1"/>
  <c r="M50" i="1"/>
  <c r="K40" i="1"/>
  <c r="K45" i="1"/>
  <c r="K47" i="1"/>
  <c r="F30" i="1"/>
  <c r="G30" i="1"/>
</calcChain>
</file>

<file path=xl/sharedStrings.xml><?xml version="1.0" encoding="utf-8"?>
<sst xmlns="http://schemas.openxmlformats.org/spreadsheetml/2006/main" count="125" uniqueCount="108">
  <si>
    <t>2. True or False: A software company's 2018 revenue is a discrete random variable</t>
  </si>
  <si>
    <t>3.  Assume The number of pounds of peanuts consumed in a year is equally likely to assume any (including fractional value) between 20 and 100 pounds. What is the chance a person  consumes less than 40 pounds of peanuts in a year?</t>
  </si>
  <si>
    <t>a. 0.20</t>
  </si>
  <si>
    <t>b. 0.25</t>
  </si>
  <si>
    <t>d. 0.40</t>
  </si>
  <si>
    <t>c. 0.50</t>
  </si>
  <si>
    <t xml:space="preserve">4. A 20 sided die is equally likely to come up with any integer between 1 and 20 inclusive. The expected value of the number showing is </t>
  </si>
  <si>
    <t>a. 10</t>
  </si>
  <si>
    <t>b. 11</t>
  </si>
  <si>
    <t>c. 10.5</t>
  </si>
  <si>
    <t>d. 15</t>
  </si>
  <si>
    <t>5. Find the standard deviation of the number showing on the 20 sided die.</t>
  </si>
  <si>
    <t>b. 6</t>
  </si>
  <si>
    <t>c. 5.1</t>
  </si>
  <si>
    <t>d. 5.5</t>
  </si>
  <si>
    <t>a. 5.8</t>
  </si>
  <si>
    <t>7.  A 20 sided die is equally likely to come up with any integer between 1 and 20 inclusive.  If I throw this die 100 times the standard deviation of the total of the 100 numbers seen equals.:</t>
  </si>
  <si>
    <t>a. 57.7</t>
  </si>
  <si>
    <t>b. 577</t>
  </si>
  <si>
    <t>c. 61.2</t>
  </si>
  <si>
    <t>d. 59.3</t>
  </si>
  <si>
    <t>8.  I toss a fair coin 100 times. What is the chance that I observe more than 60 heads?</t>
  </si>
  <si>
    <t>a. 0.0176</t>
  </si>
  <si>
    <t>b. 0.0284</t>
  </si>
  <si>
    <t>c. 0.972</t>
  </si>
  <si>
    <t>d 0.032</t>
  </si>
  <si>
    <t>9. Suppose I take a standardized test where each question has 4 possible answers. The testmakers want to penalize each incorrect answer so a person who guesses receives an average score of 0. Which method below accomplished this goal?</t>
  </si>
  <si>
    <t>c. Score = Right Answers - (1/3)*Wrong Answers</t>
  </si>
  <si>
    <t>b. Score = Right Answers - (1/4)*Wrong Answers</t>
  </si>
  <si>
    <t>a. Score = Right Answers -(1/2)*Wrong Answers</t>
  </si>
  <si>
    <t>d. None of the above</t>
  </si>
  <si>
    <t>a. 0.10</t>
  </si>
  <si>
    <t>b 0.11</t>
  </si>
  <si>
    <t>c. 0.12</t>
  </si>
  <si>
    <t>d. 0.13</t>
  </si>
  <si>
    <t>10.  Suppose 2% of all cell phone chips are defective. We randomly select 100 of the 50,000 cell phone chips produced in a day. What is the chance that 0 defective chips will be found?</t>
  </si>
  <si>
    <t>11. In the NCAA basketball tournament assume that a #16 seed has a 2% chance of beating a #1 seed. Each year 4 #16 seeds play a #1 seed. In a 5 year period what is the chance that a #16 seed at least once beats a #1 seed?</t>
  </si>
  <si>
    <t>a. 0.30</t>
  </si>
  <si>
    <t>b. 0.33</t>
  </si>
  <si>
    <t>c. 0.36</t>
  </si>
  <si>
    <t>d 0.08</t>
  </si>
  <si>
    <t>6.  A 20 sided die is equally likely to come up with any integer between 1 and 20 inclusive.  If I throw this die 100 times the expected value of the total of the 100 numbers seen equals:</t>
  </si>
  <si>
    <t>a. 1000</t>
  </si>
  <si>
    <t>b. 1050</t>
  </si>
  <si>
    <t>c. 1100</t>
  </si>
  <si>
    <t>d. 1200</t>
  </si>
  <si>
    <t>12. During the years 1875-1894 the average number of deaths per year by horsekick in the Prussian army was 0.7. What would be your estimate of the chance of there being &gt;=3 deaths by horsekick in a given year?</t>
  </si>
  <si>
    <t>b. 0.03</t>
  </si>
  <si>
    <t>a. 0.01</t>
  </si>
  <si>
    <t>c. 0.05</t>
  </si>
  <si>
    <t>d. 0.06</t>
  </si>
  <si>
    <t>13. Assume that on average 1 large meteor hits earth every 30 years. In any 100 year period what is the chance that no large meteorites hit earth?</t>
  </si>
  <si>
    <t>a. 0.02</t>
  </si>
  <si>
    <t>b 0.04</t>
  </si>
  <si>
    <t>c 0.06</t>
  </si>
  <si>
    <t>In problems 14-17 assume the average weight of a loaf of bread follows a normal random variable with mean = 1 pound and standard deviation .05 pounds.</t>
  </si>
  <si>
    <t>14. What is the chance a loaf of bread weighs more than 1.05 pounds?</t>
  </si>
  <si>
    <t>b. 0.14</t>
  </si>
  <si>
    <t>d. 0.16</t>
  </si>
  <si>
    <t>a. 0.11</t>
  </si>
  <si>
    <t>15. What fraction of the loaves weight between 0.98 and 1.04 pounds?</t>
  </si>
  <si>
    <t>a. 0.44</t>
  </si>
  <si>
    <t>b 0.46</t>
  </si>
  <si>
    <t>c. 0.48</t>
  </si>
  <si>
    <t>d 0.50</t>
  </si>
  <si>
    <t>16. 4% of the loaves weight at least __ pounds</t>
  </si>
  <si>
    <t>a. 0.91 pounds</t>
  </si>
  <si>
    <t>c. 1.09 pounds</t>
  </si>
  <si>
    <t>d. 1.05 pounds</t>
  </si>
  <si>
    <t>17. 4% of the loaves weigh ___ pounds or less.</t>
  </si>
  <si>
    <t>b 0.95 pounds</t>
  </si>
  <si>
    <t>a. 0.0003</t>
  </si>
  <si>
    <t>b. 0.000001</t>
  </si>
  <si>
    <t>c. 0.0029</t>
  </si>
  <si>
    <t>d. 0.0001</t>
  </si>
  <si>
    <t>mean</t>
  </si>
  <si>
    <t>variance</t>
  </si>
  <si>
    <t>stdev</t>
  </si>
  <si>
    <t>19. If we toss a fair six sided die 400 times what is the chance the total number of dots is at least 1350?</t>
  </si>
  <si>
    <t>a. 0.81</t>
  </si>
  <si>
    <t>b. 0.85</t>
  </si>
  <si>
    <t>c 0.89</t>
  </si>
  <si>
    <t>d. 0.93</t>
  </si>
  <si>
    <t>Mean =-0.05263</t>
  </si>
  <si>
    <t>Variance=33.20776</t>
  </si>
  <si>
    <t>mean 1000</t>
  </si>
  <si>
    <t>variance 1000</t>
  </si>
  <si>
    <t>20.  If we bet $1 on the number 14 in roulette 1000 times what is the chance we will be ahead after the 1000 bets?. If a 14 is spun we win $35 and if a 14 is not spun we lose $1.</t>
  </si>
  <si>
    <t>a. 0.03</t>
  </si>
  <si>
    <t>b. 0.39</t>
  </si>
  <si>
    <t>c. 0.23</t>
  </si>
  <si>
    <t>d. 0.35</t>
  </si>
  <si>
    <t>21. Suppose the mean score on an exam is 70 with a standard deviation of 10. A score of 95 would have a Z-Score of</t>
  </si>
  <si>
    <t>a. 2</t>
  </si>
  <si>
    <t>b. 2.5</t>
  </si>
  <si>
    <t>c. 3</t>
  </si>
  <si>
    <t>a. 25%ile</t>
  </si>
  <si>
    <t>b. 28%ile</t>
  </si>
  <si>
    <t>c. 20%ile</t>
  </si>
  <si>
    <t>d. 31st %ile</t>
  </si>
  <si>
    <t>22. If you assume data follows a normal random variable, then a Z-Score can be converted to a percentile.  Then a Z-score of -0.5 on an exam would corresponding to scoring in the ____ percentile on the exam.</t>
  </si>
  <si>
    <t>1. True or false: The number of drug companies producing an anti-cholesterol drug is a discrete random variable</t>
  </si>
  <si>
    <t>18. Suppose that if we send a binary digit over the Internet (either 0 or 1) there is a 1% chance that the wrong digit (0 instead of 1 or 1 instead of 0) will be received. Then there is a 1% chance that the digit will be interpreted incorrectly. Suppose instead we send three copies of the digit(either 000 or 111) and  "decode" the digit on the basis of whether or not more 1's or more 0's are received. Now what is the chance that what we send  is interpreted incorrectly?</t>
  </si>
  <si>
    <t>1/8</t>
  </si>
  <si>
    <t>3/8</t>
  </si>
  <si>
    <t>Profit Contribution</t>
  </si>
  <si>
    <t>Probability</t>
  </si>
  <si>
    <t>Expected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</si>
</sst>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charset val="1"/>
      <scheme val="minor"/>
    </font>
    <font>
      <shadow/>
      <sz val="40"/>
      <color rgb="FF4472C4"/>
      <name val="Calibri"/>
      <family val="2"/>
      <scheme val="minor"/>
    </font>
  </fonts>
  <fills count="5">
    <fill>
      <patternFill patternType="none"/>
    </fill>
    <fill>
      <patternFill patternType="gray125"/>
    </fill>
    <fill>
      <patternFill patternType="solid">
        <fgColor theme="7"/>
        <bgColor indexed="64"/>
      </patternFill>
    </fill>
    <fill>
      <patternFill patternType="solid">
        <fgColor theme="5" tint="0.39997558519241921"/>
        <bgColor indexed="64"/>
      </patternFill>
    </fill>
    <fill>
      <patternFill patternType="solid">
        <fgColor rgb="FFFFC000"/>
        <bgColor indexed="64"/>
      </patternFill>
    </fill>
  </fills>
  <borders count="5">
    <border>
      <left/>
      <right/>
      <top/>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thin">
        <color rgb="FF000000"/>
      </bottom>
      <diagonal/>
    </border>
  </borders>
  <cellStyleXfs count="1">
    <xf numFmtId="0" fontId="0" fillId="0" borderId="0"/>
  </cellStyleXfs>
  <cellXfs count="16">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4" borderId="0" xfId="0" applyFill="1" applyAlignment="1">
      <alignment wrapText="1"/>
    </xf>
    <xf numFmtId="0" fontId="0" fillId="4" borderId="0" xfId="0" applyFill="1"/>
    <xf numFmtId="2" fontId="0" fillId="0" borderId="0" xfId="0" applyNumberFormat="1"/>
    <xf numFmtId="0" fontId="0" fillId="0" borderId="0" xfId="0" quotePrefix="1" applyNumberFormat="1"/>
    <xf numFmtId="0" fontId="1" fillId="0" borderId="1"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2" fontId="1" fillId="0" borderId="3" xfId="0" applyNumberFormat="1" applyFont="1" applyBorder="1" applyAlignment="1">
      <alignment wrapText="1"/>
    </xf>
    <xf numFmtId="3" fontId="0" fillId="0" borderId="0" xfId="0" applyNumberFormat="1"/>
    <xf numFmtId="0" fontId="2" fillId="0" borderId="0" xfId="0" applyFont="1" applyAlignment="1">
      <alignment wrapText="1"/>
    </xf>
    <xf numFmtId="0" fontId="1" fillId="0" borderId="0" xfId="0" quotePrefix="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9</xdr:row>
      <xdr:rowOff>0</xdr:rowOff>
    </xdr:from>
    <xdr:to>
      <xdr:col>16</xdr:col>
      <xdr:colOff>176530</xdr:colOff>
      <xdr:row>12</xdr:row>
      <xdr:rowOff>62230</xdr:rowOff>
    </xdr:to>
    <xdr:pic>
      <xdr:nvPicPr>
        <xdr:cNvPr id="2" name="Picture 1">
          <a:extLst>
            <a:ext uri="{FF2B5EF4-FFF2-40B4-BE49-F238E27FC236}">
              <a16:creationId xmlns:a16="http://schemas.microsoft.com/office/drawing/2014/main" id="{E2122CD7-5ABA-4EAE-92CC-580AC05677D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10888" y="3600450"/>
          <a:ext cx="1471930" cy="96710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8"/>
  <sheetViews>
    <sheetView tabSelected="1" topLeftCell="A68" zoomScale="60" zoomScaleNormal="60" workbookViewId="0">
      <selection activeCell="F76" sqref="F76"/>
    </sheetView>
  </sheetViews>
  <sheetFormatPr defaultRowHeight="14.25" x14ac:dyDescent="0.45"/>
  <cols>
    <col min="1" max="1" width="52.1328125" customWidth="1"/>
    <col min="2" max="2" width="11.59765625" bestFit="1" customWidth="1"/>
    <col min="7" max="7" width="18.19921875" customWidth="1"/>
    <col min="10" max="10" width="11.59765625" customWidth="1"/>
    <col min="11" max="11" width="19" customWidth="1"/>
  </cols>
  <sheetData>
    <row r="1" spans="1:18" ht="112.5" customHeight="1" x14ac:dyDescent="0.45">
      <c r="A1" s="1" t="s">
        <v>101</v>
      </c>
    </row>
    <row r="2" spans="1:18" x14ac:dyDescent="0.45">
      <c r="A2" s="2" t="b">
        <v>1</v>
      </c>
      <c r="D2">
        <v>20</v>
      </c>
      <c r="E2">
        <v>40</v>
      </c>
      <c r="H2">
        <v>60</v>
      </c>
      <c r="I2">
        <v>80</v>
      </c>
      <c r="K2">
        <v>100</v>
      </c>
    </row>
    <row r="3" spans="1:18" ht="28.5" x14ac:dyDescent="0.45">
      <c r="A3" s="1" t="s">
        <v>0</v>
      </c>
    </row>
    <row r="4" spans="1:18" x14ac:dyDescent="0.45">
      <c r="A4" s="2" t="b">
        <v>0</v>
      </c>
      <c r="E4" s="7"/>
      <c r="F4" s="7"/>
      <c r="G4" s="7"/>
    </row>
    <row r="5" spans="1:18" ht="57" x14ac:dyDescent="0.45">
      <c r="A5" s="1" t="s">
        <v>1</v>
      </c>
    </row>
    <row r="6" spans="1:18" x14ac:dyDescent="0.45">
      <c r="A6" s="1" t="s">
        <v>2</v>
      </c>
    </row>
    <row r="7" spans="1:18" x14ac:dyDescent="0.45">
      <c r="A7" s="3" t="s">
        <v>3</v>
      </c>
    </row>
    <row r="8" spans="1:18" x14ac:dyDescent="0.45">
      <c r="A8" s="1" t="s">
        <v>5</v>
      </c>
    </row>
    <row r="9" spans="1:18" x14ac:dyDescent="0.45">
      <c r="A9" s="1" t="s">
        <v>4</v>
      </c>
    </row>
    <row r="10" spans="1:18" ht="42.75" x14ac:dyDescent="0.45">
      <c r="A10" s="1" t="s">
        <v>6</v>
      </c>
      <c r="C10">
        <v>1</v>
      </c>
      <c r="D10">
        <f>1/20</f>
        <v>0.05</v>
      </c>
      <c r="E10">
        <f>C10*D10</f>
        <v>0.05</v>
      </c>
      <c r="F10">
        <f>((C10-E$30)*(C10-E$30))*D10</f>
        <v>4.5125000000000002</v>
      </c>
      <c r="H10">
        <f>1/15</f>
        <v>6.6666666666666666E-2</v>
      </c>
      <c r="I10">
        <f>H10*C10</f>
        <v>6.6666666666666666E-2</v>
      </c>
      <c r="J10">
        <f>((C10-I$25)^2*H10)</f>
        <v>3.2666666666666666</v>
      </c>
      <c r="K10">
        <f>1/12</f>
        <v>8.3333333333333329E-2</v>
      </c>
      <c r="L10">
        <f>C10*K10</f>
        <v>8.3333333333333329E-2</v>
      </c>
      <c r="M10">
        <f>((C10-L$22)^2*K10)</f>
        <v>2.520833333333333</v>
      </c>
    </row>
    <row r="11" spans="1:18" x14ac:dyDescent="0.45">
      <c r="A11" s="1" t="s">
        <v>7</v>
      </c>
      <c r="C11">
        <v>2</v>
      </c>
      <c r="D11">
        <f t="shared" ref="D11:D29" si="0">1/20</f>
        <v>0.05</v>
      </c>
      <c r="E11">
        <f t="shared" ref="E11:E29" si="1">C11*D11</f>
        <v>0.1</v>
      </c>
      <c r="F11">
        <f t="shared" ref="F11:F29" si="2">((C11-$E$30)*(C11-E$30))*D11</f>
        <v>3.6125000000000003</v>
      </c>
      <c r="H11">
        <f t="shared" ref="H11:H24" si="3">1/15</f>
        <v>6.6666666666666666E-2</v>
      </c>
      <c r="I11">
        <f t="shared" ref="I11:I24" si="4">H11*C11</f>
        <v>0.13333333333333333</v>
      </c>
      <c r="J11">
        <f>((C11-I$25)^2*H11)</f>
        <v>2.4</v>
      </c>
      <c r="K11">
        <f t="shared" ref="K11:K21" si="5">1/12</f>
        <v>8.3333333333333329E-2</v>
      </c>
      <c r="L11">
        <f t="shared" ref="L11:L21" si="6">C11*K11</f>
        <v>0.16666666666666666</v>
      </c>
      <c r="M11">
        <f t="shared" ref="M11:M21" si="7">((C11-L$22)^2*K11)</f>
        <v>1.6875</v>
      </c>
    </row>
    <row r="12" spans="1:18" x14ac:dyDescent="0.45">
      <c r="A12" s="1" t="s">
        <v>8</v>
      </c>
      <c r="C12">
        <v>3</v>
      </c>
      <c r="D12">
        <f t="shared" si="0"/>
        <v>0.05</v>
      </c>
      <c r="E12">
        <f t="shared" si="1"/>
        <v>0.15000000000000002</v>
      </c>
      <c r="F12">
        <f t="shared" si="2"/>
        <v>2.8125</v>
      </c>
      <c r="H12">
        <f t="shared" si="3"/>
        <v>6.6666666666666666E-2</v>
      </c>
      <c r="I12">
        <f t="shared" si="4"/>
        <v>0.2</v>
      </c>
      <c r="J12">
        <f>((C12-I$25)^2*H12)</f>
        <v>1.6666666666666667</v>
      </c>
      <c r="K12">
        <f t="shared" si="5"/>
        <v>8.3333333333333329E-2</v>
      </c>
      <c r="L12">
        <f t="shared" si="6"/>
        <v>0.25</v>
      </c>
      <c r="M12">
        <f t="shared" si="7"/>
        <v>1.0208333333333333</v>
      </c>
    </row>
    <row r="13" spans="1:18" x14ac:dyDescent="0.45">
      <c r="A13" s="3" t="s">
        <v>9</v>
      </c>
      <c r="C13">
        <v>4</v>
      </c>
      <c r="D13">
        <f t="shared" si="0"/>
        <v>0.05</v>
      </c>
      <c r="E13">
        <f t="shared" si="1"/>
        <v>0.2</v>
      </c>
      <c r="F13">
        <f t="shared" si="2"/>
        <v>2.1125000000000003</v>
      </c>
      <c r="H13">
        <f t="shared" si="3"/>
        <v>6.6666666666666666E-2</v>
      </c>
      <c r="I13">
        <f t="shared" si="4"/>
        <v>0.26666666666666666</v>
      </c>
      <c r="J13">
        <f>((C13-I$25)^2*H13)</f>
        <v>1.0666666666666667</v>
      </c>
      <c r="K13">
        <f t="shared" si="5"/>
        <v>8.3333333333333329E-2</v>
      </c>
      <c r="L13">
        <f t="shared" si="6"/>
        <v>0.33333333333333331</v>
      </c>
      <c r="M13">
        <f t="shared" si="7"/>
        <v>0.52083333333333326</v>
      </c>
    </row>
    <row r="14" spans="1:18" x14ac:dyDescent="0.45">
      <c r="A14" s="1" t="s">
        <v>10</v>
      </c>
      <c r="C14">
        <v>5</v>
      </c>
      <c r="D14">
        <f t="shared" si="0"/>
        <v>0.05</v>
      </c>
      <c r="E14">
        <f t="shared" si="1"/>
        <v>0.25</v>
      </c>
      <c r="F14">
        <f t="shared" si="2"/>
        <v>1.5125000000000002</v>
      </c>
      <c r="H14">
        <f t="shared" si="3"/>
        <v>6.6666666666666666E-2</v>
      </c>
      <c r="I14">
        <f t="shared" si="4"/>
        <v>0.33333333333333331</v>
      </c>
      <c r="J14">
        <f>((C14-I$25)^2*H14)</f>
        <v>0.6</v>
      </c>
      <c r="K14">
        <f t="shared" si="5"/>
        <v>8.3333333333333329E-2</v>
      </c>
      <c r="L14">
        <f t="shared" si="6"/>
        <v>0.41666666666666663</v>
      </c>
      <c r="M14">
        <f t="shared" si="7"/>
        <v>0.1875</v>
      </c>
    </row>
    <row r="15" spans="1:18" ht="28.5" x14ac:dyDescent="0.45">
      <c r="A15" s="1" t="s">
        <v>11</v>
      </c>
      <c r="C15">
        <v>6</v>
      </c>
      <c r="D15">
        <f t="shared" si="0"/>
        <v>0.05</v>
      </c>
      <c r="E15">
        <f t="shared" si="1"/>
        <v>0.30000000000000004</v>
      </c>
      <c r="F15">
        <f t="shared" si="2"/>
        <v>1.0125</v>
      </c>
      <c r="H15">
        <f t="shared" si="3"/>
        <v>6.6666666666666666E-2</v>
      </c>
      <c r="I15">
        <f t="shared" si="4"/>
        <v>0.4</v>
      </c>
      <c r="J15">
        <f>((C15-I$25)^2*H15)</f>
        <v>0.26666666666666666</v>
      </c>
      <c r="K15">
        <f t="shared" si="5"/>
        <v>8.3333333333333329E-2</v>
      </c>
      <c r="L15">
        <f t="shared" si="6"/>
        <v>0.5</v>
      </c>
      <c r="M15">
        <f t="shared" si="7"/>
        <v>2.0833333333333332E-2</v>
      </c>
      <c r="O15">
        <v>2</v>
      </c>
      <c r="P15" s="8" t="s">
        <v>103</v>
      </c>
      <c r="Q15">
        <f>1/8</f>
        <v>0.125</v>
      </c>
      <c r="R15">
        <f>O15*Q15</f>
        <v>0.25</v>
      </c>
    </row>
    <row r="16" spans="1:18" x14ac:dyDescent="0.45">
      <c r="A16" s="3" t="s">
        <v>15</v>
      </c>
      <c r="C16">
        <v>7</v>
      </c>
      <c r="D16">
        <f t="shared" si="0"/>
        <v>0.05</v>
      </c>
      <c r="E16">
        <f t="shared" si="1"/>
        <v>0.35000000000000003</v>
      </c>
      <c r="F16">
        <f t="shared" si="2"/>
        <v>0.61250000000000004</v>
      </c>
      <c r="H16">
        <f t="shared" si="3"/>
        <v>6.6666666666666666E-2</v>
      </c>
      <c r="I16">
        <f t="shared" si="4"/>
        <v>0.46666666666666667</v>
      </c>
      <c r="J16">
        <f>((C16-I$25)^2*H16)</f>
        <v>6.6666666666666666E-2</v>
      </c>
      <c r="K16">
        <f t="shared" si="5"/>
        <v>8.3333333333333329E-2</v>
      </c>
      <c r="L16">
        <f t="shared" si="6"/>
        <v>0.58333333333333326</v>
      </c>
      <c r="M16">
        <f t="shared" si="7"/>
        <v>2.0833333333333332E-2</v>
      </c>
      <c r="O16">
        <v>3</v>
      </c>
      <c r="P16" s="8" t="s">
        <v>103</v>
      </c>
      <c r="Q16">
        <f>1/8</f>
        <v>0.125</v>
      </c>
      <c r="R16">
        <f>O16*Q16</f>
        <v>0.375</v>
      </c>
    </row>
    <row r="17" spans="1:18" x14ac:dyDescent="0.45">
      <c r="A17" s="1" t="s">
        <v>12</v>
      </c>
      <c r="C17">
        <v>8</v>
      </c>
      <c r="D17">
        <f t="shared" si="0"/>
        <v>0.05</v>
      </c>
      <c r="E17">
        <f t="shared" si="1"/>
        <v>0.4</v>
      </c>
      <c r="F17">
        <f t="shared" si="2"/>
        <v>0.3125</v>
      </c>
      <c r="H17">
        <f t="shared" si="3"/>
        <v>6.6666666666666666E-2</v>
      </c>
      <c r="I17">
        <f t="shared" si="4"/>
        <v>0.53333333333333333</v>
      </c>
      <c r="J17">
        <f>((C17-I$25)^2*H17)</f>
        <v>0</v>
      </c>
      <c r="K17">
        <f t="shared" si="5"/>
        <v>8.3333333333333329E-2</v>
      </c>
      <c r="L17">
        <f t="shared" si="6"/>
        <v>0.66666666666666663</v>
      </c>
      <c r="M17">
        <f t="shared" si="7"/>
        <v>0.1875</v>
      </c>
      <c r="O17">
        <v>4</v>
      </c>
      <c r="P17" s="8" t="s">
        <v>104</v>
      </c>
      <c r="Q17">
        <f>3/8</f>
        <v>0.375</v>
      </c>
      <c r="R17">
        <f>O17*Q17</f>
        <v>1.5</v>
      </c>
    </row>
    <row r="18" spans="1:18" x14ac:dyDescent="0.45">
      <c r="A18" s="1" t="s">
        <v>13</v>
      </c>
      <c r="C18">
        <v>9</v>
      </c>
      <c r="D18">
        <f t="shared" si="0"/>
        <v>0.05</v>
      </c>
      <c r="E18">
        <f t="shared" si="1"/>
        <v>0.45</v>
      </c>
      <c r="F18">
        <f t="shared" si="2"/>
        <v>0.1125</v>
      </c>
      <c r="H18">
        <f t="shared" si="3"/>
        <v>6.6666666666666666E-2</v>
      </c>
      <c r="I18">
        <f t="shared" si="4"/>
        <v>0.6</v>
      </c>
      <c r="J18">
        <f>((C18-I$25)^2*H18)</f>
        <v>6.6666666666666666E-2</v>
      </c>
      <c r="K18">
        <f t="shared" si="5"/>
        <v>8.3333333333333329E-2</v>
      </c>
      <c r="L18">
        <f t="shared" si="6"/>
        <v>0.75</v>
      </c>
      <c r="M18">
        <f t="shared" si="7"/>
        <v>0.52083333333333326</v>
      </c>
      <c r="O18">
        <v>5</v>
      </c>
      <c r="P18" s="8" t="s">
        <v>104</v>
      </c>
      <c r="Q18">
        <f>3/8</f>
        <v>0.375</v>
      </c>
      <c r="R18">
        <f>O18*Q18</f>
        <v>1.875</v>
      </c>
    </row>
    <row r="19" spans="1:18" x14ac:dyDescent="0.45">
      <c r="A19" s="1" t="s">
        <v>14</v>
      </c>
      <c r="C19">
        <v>10</v>
      </c>
      <c r="D19">
        <f t="shared" si="0"/>
        <v>0.05</v>
      </c>
      <c r="E19">
        <f t="shared" si="1"/>
        <v>0.5</v>
      </c>
      <c r="F19">
        <f t="shared" si="2"/>
        <v>1.2500000000000001E-2</v>
      </c>
      <c r="H19">
        <f t="shared" si="3"/>
        <v>6.6666666666666666E-2</v>
      </c>
      <c r="I19">
        <f t="shared" si="4"/>
        <v>0.66666666666666663</v>
      </c>
      <c r="J19">
        <f>((C19-I$25)^2*H19)</f>
        <v>0.26666666666666666</v>
      </c>
      <c r="K19">
        <f t="shared" si="5"/>
        <v>8.3333333333333329E-2</v>
      </c>
      <c r="L19">
        <f t="shared" si="6"/>
        <v>0.83333333333333326</v>
      </c>
      <c r="M19">
        <f t="shared" si="7"/>
        <v>1.0208333333333333</v>
      </c>
      <c r="R19">
        <f>SUM(R15:R18)</f>
        <v>4</v>
      </c>
    </row>
    <row r="20" spans="1:18" ht="43.15" thickBot="1" x14ac:dyDescent="0.5">
      <c r="A20" s="1" t="s">
        <v>41</v>
      </c>
      <c r="C20">
        <v>11</v>
      </c>
      <c r="D20">
        <f t="shared" si="0"/>
        <v>0.05</v>
      </c>
      <c r="E20">
        <f t="shared" si="1"/>
        <v>0.55000000000000004</v>
      </c>
      <c r="F20">
        <f t="shared" si="2"/>
        <v>1.2500000000000001E-2</v>
      </c>
      <c r="H20">
        <f t="shared" si="3"/>
        <v>6.6666666666666666E-2</v>
      </c>
      <c r="I20">
        <f t="shared" si="4"/>
        <v>0.73333333333333328</v>
      </c>
      <c r="J20">
        <f>((C20-I$25)^2*H20)</f>
        <v>0.6</v>
      </c>
      <c r="K20">
        <f t="shared" si="5"/>
        <v>8.3333333333333329E-2</v>
      </c>
      <c r="L20">
        <f t="shared" si="6"/>
        <v>0.91666666666666663</v>
      </c>
      <c r="M20">
        <f t="shared" si="7"/>
        <v>1.6875</v>
      </c>
      <c r="O20" s="9">
        <v>2</v>
      </c>
      <c r="P20" s="12">
        <f>1/2</f>
        <v>0.5</v>
      </c>
      <c r="Q20">
        <f>O20*P20</f>
        <v>1</v>
      </c>
    </row>
    <row r="21" spans="1:18" ht="14.65" thickBot="1" x14ac:dyDescent="0.5">
      <c r="A21" s="1" t="s">
        <v>42</v>
      </c>
      <c r="C21">
        <v>12</v>
      </c>
      <c r="D21">
        <f t="shared" si="0"/>
        <v>0.05</v>
      </c>
      <c r="E21">
        <f t="shared" si="1"/>
        <v>0.60000000000000009</v>
      </c>
      <c r="F21">
        <f t="shared" si="2"/>
        <v>0.1125</v>
      </c>
      <c r="H21">
        <f t="shared" si="3"/>
        <v>6.6666666666666666E-2</v>
      </c>
      <c r="I21">
        <f t="shared" si="4"/>
        <v>0.8</v>
      </c>
      <c r="J21">
        <f>((C21-I$25)^2*H21)</f>
        <v>1.0666666666666667</v>
      </c>
      <c r="K21">
        <f t="shared" si="5"/>
        <v>8.3333333333333329E-2</v>
      </c>
      <c r="L21">
        <f t="shared" si="6"/>
        <v>1</v>
      </c>
      <c r="M21">
        <f t="shared" si="7"/>
        <v>2.520833333333333</v>
      </c>
      <c r="O21" s="10">
        <v>3</v>
      </c>
      <c r="P21" s="12">
        <f>1/8</f>
        <v>0.125</v>
      </c>
      <c r="Q21">
        <f>O21*P21</f>
        <v>0.375</v>
      </c>
    </row>
    <row r="22" spans="1:18" ht="14.65" thickBot="1" x14ac:dyDescent="0.5">
      <c r="A22" s="3" t="s">
        <v>43</v>
      </c>
      <c r="C22">
        <v>13</v>
      </c>
      <c r="D22">
        <f t="shared" si="0"/>
        <v>0.05</v>
      </c>
      <c r="E22">
        <f t="shared" si="1"/>
        <v>0.65</v>
      </c>
      <c r="F22">
        <f t="shared" si="2"/>
        <v>0.3125</v>
      </c>
      <c r="H22">
        <f t="shared" si="3"/>
        <v>6.6666666666666666E-2</v>
      </c>
      <c r="I22">
        <f t="shared" si="4"/>
        <v>0.8666666666666667</v>
      </c>
      <c r="J22">
        <f>((C22-I$25)^2*H22)</f>
        <v>1.6666666666666667</v>
      </c>
      <c r="L22">
        <f>SUM(L10:L21)</f>
        <v>6.5</v>
      </c>
      <c r="O22" s="10">
        <v>4</v>
      </c>
      <c r="P22" s="12">
        <f>1/4</f>
        <v>0.25</v>
      </c>
      <c r="Q22">
        <f>O22*P22</f>
        <v>1</v>
      </c>
    </row>
    <row r="23" spans="1:18" ht="14.65" thickBot="1" x14ac:dyDescent="0.5">
      <c r="A23" s="1" t="s">
        <v>44</v>
      </c>
      <c r="C23">
        <v>14</v>
      </c>
      <c r="D23">
        <f t="shared" si="0"/>
        <v>0.05</v>
      </c>
      <c r="E23">
        <f t="shared" si="1"/>
        <v>0.70000000000000007</v>
      </c>
      <c r="F23">
        <f t="shared" si="2"/>
        <v>0.61250000000000004</v>
      </c>
      <c r="H23">
        <f t="shared" si="3"/>
        <v>6.6666666666666666E-2</v>
      </c>
      <c r="I23">
        <f t="shared" si="4"/>
        <v>0.93333333333333335</v>
      </c>
      <c r="J23">
        <f>((C23-I$25)^2*H23)</f>
        <v>2.4</v>
      </c>
      <c r="O23" s="11">
        <v>5</v>
      </c>
      <c r="P23" s="12">
        <f>1/8</f>
        <v>0.125</v>
      </c>
      <c r="Q23">
        <f>O23*P23</f>
        <v>0.625</v>
      </c>
    </row>
    <row r="24" spans="1:18" x14ac:dyDescent="0.45">
      <c r="A24" s="1" t="s">
        <v>45</v>
      </c>
      <c r="C24">
        <v>15</v>
      </c>
      <c r="D24">
        <f t="shared" si="0"/>
        <v>0.05</v>
      </c>
      <c r="E24">
        <f t="shared" si="1"/>
        <v>0.75</v>
      </c>
      <c r="F24">
        <f>((C24-$E$30)*(C24-E$30))*D24</f>
        <v>1.0125</v>
      </c>
      <c r="H24">
        <f>1/15</f>
        <v>6.6666666666666666E-2</v>
      </c>
      <c r="I24">
        <f>H24*C24</f>
        <v>1</v>
      </c>
      <c r="J24">
        <f>((C24-I$25)^2*H24)</f>
        <v>3.2666666666666666</v>
      </c>
      <c r="Q24">
        <f>SUM(Q20:Q23)</f>
        <v>3</v>
      </c>
    </row>
    <row r="25" spans="1:18" ht="42.75" x14ac:dyDescent="0.45">
      <c r="A25" s="1" t="s">
        <v>16</v>
      </c>
      <c r="C25">
        <v>16</v>
      </c>
      <c r="D25">
        <f t="shared" si="0"/>
        <v>0.05</v>
      </c>
      <c r="E25">
        <f t="shared" si="1"/>
        <v>0.8</v>
      </c>
      <c r="F25">
        <f t="shared" si="2"/>
        <v>1.5125000000000002</v>
      </c>
      <c r="I25">
        <f>SUM(I10:I24)</f>
        <v>8</v>
      </c>
      <c r="J25">
        <f>SUM(J10:J24)</f>
        <v>18.666666666666668</v>
      </c>
    </row>
    <row r="26" spans="1:18" ht="14.65" thickBot="1" x14ac:dyDescent="0.5">
      <c r="A26" s="3" t="s">
        <v>17</v>
      </c>
      <c r="B26">
        <f>SQRT(3325)</f>
        <v>57.662812973353979</v>
      </c>
      <c r="C26">
        <v>17</v>
      </c>
      <c r="D26">
        <f t="shared" si="0"/>
        <v>0.05</v>
      </c>
      <c r="E26">
        <f t="shared" si="1"/>
        <v>0.85000000000000009</v>
      </c>
      <c r="F26">
        <f t="shared" si="2"/>
        <v>2.1125000000000003</v>
      </c>
      <c r="O26" s="9">
        <v>2</v>
      </c>
      <c r="P26" s="12">
        <f>1/6</f>
        <v>0.16666666666666666</v>
      </c>
      <c r="Q26">
        <f>O26*P26</f>
        <v>0.33333333333333331</v>
      </c>
    </row>
    <row r="27" spans="1:18" ht="14.65" thickBot="1" x14ac:dyDescent="0.5">
      <c r="A27" s="1" t="s">
        <v>18</v>
      </c>
      <c r="C27">
        <v>18</v>
      </c>
      <c r="D27">
        <f t="shared" si="0"/>
        <v>0.05</v>
      </c>
      <c r="E27">
        <f t="shared" si="1"/>
        <v>0.9</v>
      </c>
      <c r="F27">
        <f t="shared" si="2"/>
        <v>2.8125</v>
      </c>
      <c r="O27" s="10">
        <v>3</v>
      </c>
      <c r="P27" s="12">
        <f>1/3</f>
        <v>0.33333333333333331</v>
      </c>
      <c r="Q27">
        <f>O27*P27</f>
        <v>1</v>
      </c>
    </row>
    <row r="28" spans="1:18" ht="14.65" thickBot="1" x14ac:dyDescent="0.5">
      <c r="A28" s="1" t="s">
        <v>19</v>
      </c>
      <c r="C28">
        <v>19</v>
      </c>
      <c r="D28">
        <f t="shared" si="0"/>
        <v>0.05</v>
      </c>
      <c r="E28">
        <f t="shared" si="1"/>
        <v>0.95000000000000007</v>
      </c>
      <c r="F28">
        <f t="shared" si="2"/>
        <v>3.6125000000000003</v>
      </c>
      <c r="O28" s="10">
        <v>4</v>
      </c>
      <c r="P28" s="12">
        <f>1/4</f>
        <v>0.25</v>
      </c>
      <c r="Q28">
        <f>O28*P28</f>
        <v>1</v>
      </c>
    </row>
    <row r="29" spans="1:18" ht="14.65" thickBot="1" x14ac:dyDescent="0.5">
      <c r="A29" s="1" t="s">
        <v>20</v>
      </c>
      <c r="C29">
        <v>20</v>
      </c>
      <c r="D29">
        <f t="shared" si="0"/>
        <v>0.05</v>
      </c>
      <c r="E29">
        <f t="shared" si="1"/>
        <v>1</v>
      </c>
      <c r="F29">
        <f t="shared" si="2"/>
        <v>4.5125000000000002</v>
      </c>
      <c r="O29" s="11">
        <v>5</v>
      </c>
      <c r="P29" s="12">
        <f>1/8</f>
        <v>0.125</v>
      </c>
      <c r="Q29">
        <f>O29*P29</f>
        <v>0.625</v>
      </c>
    </row>
    <row r="30" spans="1:18" ht="28.5" x14ac:dyDescent="0.45">
      <c r="A30" s="1" t="s">
        <v>21</v>
      </c>
      <c r="E30">
        <f>SUM(E10:E29)</f>
        <v>10.5</v>
      </c>
      <c r="F30">
        <f>SUM(F10:F29)</f>
        <v>33.25</v>
      </c>
      <c r="G30">
        <f>SQRT(F30)</f>
        <v>5.7662812973353983</v>
      </c>
      <c r="J30">
        <f>SUM(J10:J29)</f>
        <v>37.333333333333336</v>
      </c>
      <c r="K30">
        <f>SQRT(J30)</f>
        <v>6.110100926607787</v>
      </c>
      <c r="M30">
        <f>SUM(M10:M29)</f>
        <v>11.916666666666664</v>
      </c>
      <c r="N30">
        <f>SQRT(M30)</f>
        <v>3.4520525295346629</v>
      </c>
      <c r="Q30">
        <f>SUM(Q26:Q29)</f>
        <v>2.958333333333333</v>
      </c>
    </row>
    <row r="31" spans="1:18" x14ac:dyDescent="0.45">
      <c r="A31" s="3" t="s">
        <v>22</v>
      </c>
    </row>
    <row r="32" spans="1:18" x14ac:dyDescent="0.45">
      <c r="A32" s="1" t="s">
        <v>23</v>
      </c>
      <c r="C32">
        <f>_xlfn.BINOM.DIST(60,100,0.5,TRUE)</f>
        <v>0.98239989989114762</v>
      </c>
      <c r="D32">
        <f>1-C32</f>
        <v>1.7600100108852379E-2</v>
      </c>
    </row>
    <row r="33" spans="1:17" x14ac:dyDescent="0.45">
      <c r="A33" s="1" t="s">
        <v>24</v>
      </c>
      <c r="C33">
        <f>_xlfn.BINOM.DIST(50,100,0.5,TRUE)</f>
        <v>0.53979461869358936</v>
      </c>
      <c r="D33">
        <f>1-C33</f>
        <v>0.46020538130641064</v>
      </c>
      <c r="F33">
        <f>1/6</f>
        <v>0.16666666666666666</v>
      </c>
    </row>
    <row r="34" spans="1:17" x14ac:dyDescent="0.45">
      <c r="A34" s="1" t="s">
        <v>25</v>
      </c>
      <c r="C34">
        <f>_xlfn.BINOM.DIST(25,100,0.167,TRUE)</f>
        <v>0.98782470498515251</v>
      </c>
      <c r="D34">
        <f>1-C34</f>
        <v>1.2175295014847487E-2</v>
      </c>
      <c r="E34">
        <v>1</v>
      </c>
      <c r="H34">
        <v>0.05</v>
      </c>
      <c r="O34" t="s">
        <v>105</v>
      </c>
      <c r="P34" t="s">
        <v>106</v>
      </c>
      <c r="Q34" t="s">
        <v>107</v>
      </c>
    </row>
    <row r="35" spans="1:17" ht="57" x14ac:dyDescent="0.45">
      <c r="A35" s="1" t="s">
        <v>26</v>
      </c>
      <c r="E35">
        <v>2</v>
      </c>
      <c r="H35">
        <v>0.05</v>
      </c>
      <c r="M35">
        <f>_xlfn.BINOM.DIST.RANGE(100,0.02,0,0)</f>
        <v>0.13261955589475319</v>
      </c>
      <c r="O35" s="13">
        <v>-40000</v>
      </c>
      <c r="P35">
        <v>0.2</v>
      </c>
      <c r="Q35">
        <f>O35*P35</f>
        <v>-8000</v>
      </c>
    </row>
    <row r="36" spans="1:17" x14ac:dyDescent="0.45">
      <c r="A36" s="1" t="s">
        <v>29</v>
      </c>
      <c r="C36">
        <f>0.3*2</f>
        <v>0.6</v>
      </c>
      <c r="E36">
        <v>3</v>
      </c>
      <c r="H36">
        <v>0.05</v>
      </c>
      <c r="O36" s="13">
        <v>60000</v>
      </c>
      <c r="P36">
        <v>0.5</v>
      </c>
      <c r="Q36">
        <f t="shared" ref="Q36:Q37" si="8">O36*P36</f>
        <v>30000</v>
      </c>
    </row>
    <row r="37" spans="1:17" x14ac:dyDescent="0.45">
      <c r="A37" s="1" t="s">
        <v>28</v>
      </c>
      <c r="C37">
        <f>0.7*-2</f>
        <v>-1.4</v>
      </c>
      <c r="E37">
        <v>4</v>
      </c>
      <c r="H37">
        <v>0.05</v>
      </c>
      <c r="O37" s="13">
        <v>100000</v>
      </c>
      <c r="P37">
        <v>0.3</v>
      </c>
      <c r="Q37">
        <f t="shared" si="8"/>
        <v>30000</v>
      </c>
    </row>
    <row r="38" spans="1:17" x14ac:dyDescent="0.45">
      <c r="A38" s="3" t="s">
        <v>27</v>
      </c>
      <c r="E38">
        <v>5</v>
      </c>
      <c r="H38">
        <v>0.05</v>
      </c>
      <c r="Q38">
        <f>SUM(Q35:Q37)</f>
        <v>52000</v>
      </c>
    </row>
    <row r="39" spans="1:17" x14ac:dyDescent="0.45">
      <c r="A39" s="1" t="s">
        <v>30</v>
      </c>
      <c r="E39">
        <v>6</v>
      </c>
      <c r="H39">
        <v>0.05</v>
      </c>
    </row>
    <row r="40" spans="1:17" ht="42.75" x14ac:dyDescent="0.45">
      <c r="A40" s="1" t="s">
        <v>35</v>
      </c>
      <c r="C40">
        <f>100/50000</f>
        <v>2E-3</v>
      </c>
      <c r="E40">
        <v>7</v>
      </c>
      <c r="H40">
        <v>0.05</v>
      </c>
      <c r="K40">
        <f>SUMPRODUCT(E34:E53,E34:E53,H34:H53)-10.5^2</f>
        <v>33.25</v>
      </c>
      <c r="O40" s="13">
        <v>-20000</v>
      </c>
      <c r="P40">
        <v>0.2</v>
      </c>
      <c r="Q40">
        <f>O40*P40</f>
        <v>-4000</v>
      </c>
    </row>
    <row r="41" spans="1:17" x14ac:dyDescent="0.45">
      <c r="A41" s="1" t="s">
        <v>31</v>
      </c>
      <c r="C41">
        <f>_xlfn.BINOM.DIST.RANGE(100,0.02,0,0)</f>
        <v>0.13261955589475319</v>
      </c>
      <c r="E41">
        <v>8</v>
      </c>
      <c r="H41">
        <v>0.05</v>
      </c>
      <c r="O41" s="13">
        <v>80000</v>
      </c>
      <c r="P41">
        <v>0.5</v>
      </c>
      <c r="Q41">
        <f t="shared" ref="Q41:Q42" si="9">O41*P41</f>
        <v>40000</v>
      </c>
    </row>
    <row r="42" spans="1:17" x14ac:dyDescent="0.45">
      <c r="A42" s="1" t="s">
        <v>32</v>
      </c>
      <c r="C42">
        <f>_xlfn.BINOM.DIST.RANGE(100,0.04,2,2)</f>
        <v>0.14497930699011416</v>
      </c>
      <c r="E42">
        <v>9</v>
      </c>
      <c r="H42">
        <v>0.05</v>
      </c>
      <c r="O42" s="13">
        <v>200000</v>
      </c>
      <c r="P42">
        <v>0.3</v>
      </c>
      <c r="Q42">
        <f t="shared" si="9"/>
        <v>60000</v>
      </c>
    </row>
    <row r="43" spans="1:17" x14ac:dyDescent="0.45">
      <c r="A43" s="1" t="s">
        <v>33</v>
      </c>
      <c r="C43">
        <f>_xlfn.BINOM.DIST.RANGE(100,0.01,1,1)</f>
        <v>0.36972963764972688</v>
      </c>
      <c r="E43">
        <v>10</v>
      </c>
      <c r="H43">
        <v>0.05</v>
      </c>
      <c r="Q43">
        <f>SUM(Q40:Q42)</f>
        <v>96000</v>
      </c>
    </row>
    <row r="44" spans="1:17" x14ac:dyDescent="0.45">
      <c r="A44" s="3" t="s">
        <v>34</v>
      </c>
      <c r="E44">
        <v>11</v>
      </c>
      <c r="H44">
        <v>0.05</v>
      </c>
    </row>
    <row r="45" spans="1:17" ht="57" x14ac:dyDescent="0.45">
      <c r="A45" s="1" t="s">
        <v>36</v>
      </c>
      <c r="C45">
        <f>_xlfn.BINOM.DIST.RANGE(20,0.02,1,20)</f>
        <v>0.33239202824490544</v>
      </c>
      <c r="D45">
        <f>_xlfn.BINOM.DIST.RANGE(5,0.02,1,5)</f>
        <v>9.6079203200000088E-2</v>
      </c>
      <c r="E45">
        <v>12</v>
      </c>
      <c r="H45">
        <v>0.05</v>
      </c>
      <c r="K45">
        <f>100*K40</f>
        <v>3325</v>
      </c>
      <c r="M45">
        <f>_xlfn.BINOM.DIST.RANGE(4,0.02,1,4)</f>
        <v>7.7631840000000063E-2</v>
      </c>
      <c r="O45" s="13">
        <v>-40000</v>
      </c>
      <c r="P45">
        <v>0.4</v>
      </c>
      <c r="Q45">
        <f>O45*P45</f>
        <v>-16000</v>
      </c>
    </row>
    <row r="46" spans="1:17" x14ac:dyDescent="0.45">
      <c r="A46" s="1" t="s">
        <v>37</v>
      </c>
      <c r="C46">
        <f>_xlfn.BINOM.DIST.RANGE(20,0.02,1,5)</f>
        <v>0.33239007982283797</v>
      </c>
      <c r="D46">
        <f>_xlfn.BINOM.DIST.RANGE(4,0.02,1,4)</f>
        <v>7.7631840000000063E-2</v>
      </c>
      <c r="E46">
        <v>13</v>
      </c>
      <c r="H46">
        <v>0.05</v>
      </c>
      <c r="O46" s="13">
        <v>60000</v>
      </c>
      <c r="P46">
        <v>0.1</v>
      </c>
      <c r="Q46">
        <f t="shared" ref="Q46:Q47" si="10">O46*P46</f>
        <v>6000</v>
      </c>
    </row>
    <row r="47" spans="1:17" x14ac:dyDescent="0.45">
      <c r="A47" s="3" t="s">
        <v>38</v>
      </c>
      <c r="C47">
        <f>_xlfn.BINOM.DIST.RANGE(20,0.04,1,20)</f>
        <v>0.55799756612059226</v>
      </c>
      <c r="D47">
        <f>_xlfn.BINOM.DIST.RANGE(16,0.02,1,16)</f>
        <v>0.27620227940750419</v>
      </c>
      <c r="E47">
        <v>14</v>
      </c>
      <c r="H47">
        <v>0.05</v>
      </c>
      <c r="K47">
        <f>SQRT(K45)</f>
        <v>57.662812973353979</v>
      </c>
      <c r="M47">
        <f>_xlfn.BINOM.DIST.RANGE(20,0.02,1,20)</f>
        <v>0.33239202824490544</v>
      </c>
      <c r="O47" s="13">
        <v>100000</v>
      </c>
      <c r="P47">
        <v>0.5</v>
      </c>
      <c r="Q47">
        <f t="shared" si="10"/>
        <v>50000</v>
      </c>
    </row>
    <row r="48" spans="1:17" x14ac:dyDescent="0.45">
      <c r="A48" s="1" t="s">
        <v>39</v>
      </c>
      <c r="E48">
        <v>15</v>
      </c>
      <c r="H48">
        <v>0.05</v>
      </c>
      <c r="Q48">
        <f>SUM(Q45:Q47)</f>
        <v>40000</v>
      </c>
    </row>
    <row r="49" spans="1:13" x14ac:dyDescent="0.45">
      <c r="A49" s="1" t="s">
        <v>40</v>
      </c>
      <c r="C49">
        <f>_xlfn.BINOM.DIST.RANGE(5,0.04,1,5)</f>
        <v>0.18462730240000003</v>
      </c>
      <c r="E49">
        <v>16</v>
      </c>
      <c r="H49">
        <v>0.05</v>
      </c>
    </row>
    <row r="50" spans="1:13" ht="57" x14ac:dyDescent="0.45">
      <c r="A50" s="1" t="s">
        <v>46</v>
      </c>
      <c r="C50">
        <f>_xlfn.BINOM.DIST.RANGE(4,0.04,1,4)</f>
        <v>0.15065344000000003</v>
      </c>
      <c r="E50">
        <v>17</v>
      </c>
      <c r="H50">
        <v>0.05</v>
      </c>
      <c r="M50">
        <f>1-_xlfn.POISSON.DIST(2,0.7,TRUE)</f>
        <v>3.4141584125708446E-2</v>
      </c>
    </row>
    <row r="51" spans="1:13" x14ac:dyDescent="0.45">
      <c r="A51" s="1" t="s">
        <v>48</v>
      </c>
      <c r="C51">
        <f>_xlfn.BINOM.DIST.RANGE(16,0.04,1,16)</f>
        <v>0.47959707533352736</v>
      </c>
      <c r="E51">
        <v>18</v>
      </c>
      <c r="H51">
        <v>0.05</v>
      </c>
    </row>
    <row r="52" spans="1:13" x14ac:dyDescent="0.45">
      <c r="A52" s="3" t="s">
        <v>47</v>
      </c>
      <c r="E52">
        <v>19</v>
      </c>
      <c r="H52">
        <v>0.05</v>
      </c>
    </row>
    <row r="53" spans="1:13" x14ac:dyDescent="0.45">
      <c r="A53" s="1" t="s">
        <v>49</v>
      </c>
      <c r="E53">
        <v>20</v>
      </c>
      <c r="H53">
        <v>0.05</v>
      </c>
    </row>
    <row r="54" spans="1:13" x14ac:dyDescent="0.45">
      <c r="A54" s="1" t="s">
        <v>50</v>
      </c>
      <c r="C54">
        <f>_xlfn.POISSON.DIST(2,4,TRUE)</f>
        <v>0.23810330555354431</v>
      </c>
      <c r="D54">
        <f>_xlfn.POISSON.DIST(3,0.7,FALSE)</f>
        <v>2.8388126533408907E-2</v>
      </c>
    </row>
    <row r="55" spans="1:13" ht="42.75" x14ac:dyDescent="0.45">
      <c r="A55" s="1" t="s">
        <v>51</v>
      </c>
      <c r="C55">
        <f>_xlfn.POISSON.DIST(2,4,FALSE)</f>
        <v>0.14652511110987346</v>
      </c>
      <c r="D55">
        <f>_xlfn.POISSON.DIST(3,0.5,FALSE)</f>
        <v>1.2636055410679865E-2</v>
      </c>
      <c r="H55">
        <f>_xlfn.POISSON.DIST(0,100/30,0)</f>
        <v>3.5673993347252395E-2</v>
      </c>
    </row>
    <row r="56" spans="1:13" x14ac:dyDescent="0.45">
      <c r="A56" s="1" t="s">
        <v>52</v>
      </c>
      <c r="C56">
        <f>_xlfn.POISSON.DIST(2,5,FALSE)</f>
        <v>8.4224337488568335E-2</v>
      </c>
      <c r="D56">
        <f>_xlfn.POISSON.DIST(2,0.7,FALSE)</f>
        <v>0.12166339942889531</v>
      </c>
      <c r="H56">
        <f>_xlfn.POISSON.DIST(0,100/25,0)</f>
        <v>1.8315638888734179E-2</v>
      </c>
    </row>
    <row r="57" spans="1:13" x14ac:dyDescent="0.45">
      <c r="A57" s="3" t="s">
        <v>53</v>
      </c>
      <c r="H57">
        <f>_xlfn.POISSON.DIST(0,100/40,0)</f>
        <v>8.20849986238988E-2</v>
      </c>
    </row>
    <row r="58" spans="1:13" x14ac:dyDescent="0.45">
      <c r="A58" s="1" t="s">
        <v>54</v>
      </c>
      <c r="C58">
        <f>_xlfn.POISSON.DIST(4,2.6,FALSE)</f>
        <v>0.14142184449197273</v>
      </c>
      <c r="F58">
        <f>1/30</f>
        <v>3.3333333333333333E-2</v>
      </c>
    </row>
    <row r="59" spans="1:13" x14ac:dyDescent="0.45">
      <c r="A59" s="1" t="s">
        <v>40</v>
      </c>
      <c r="C59">
        <f>1-_xlfn.POISSON.DIST(1,2.6,TRUE)</f>
        <v>0.73261511842839799</v>
      </c>
    </row>
    <row r="60" spans="1:13" ht="42.75" x14ac:dyDescent="0.45">
      <c r="A60" s="1" t="s">
        <v>55</v>
      </c>
      <c r="C60">
        <f>_xlfn.POISSON.DIST(1,2.6,TRUE)</f>
        <v>0.26738488157160195</v>
      </c>
    </row>
    <row r="62" spans="1:13" ht="51.4" x14ac:dyDescent="1.5">
      <c r="A62" s="1" t="s">
        <v>56</v>
      </c>
      <c r="B62">
        <f>1-_xlfn.NORM.DIST(2.05,2,0.15,TRUE)</f>
        <v>0.369441340181764</v>
      </c>
      <c r="C62">
        <f>1-_xlfn.NORM.DIST(1.05,1,0.05,TRUE)</f>
        <v>0.15865525393145674</v>
      </c>
      <c r="D62">
        <f>_xlfn.NORM.DIST(0.95,1,0.05,TRUE)</f>
        <v>0.1586552539314568</v>
      </c>
      <c r="G62" s="14"/>
    </row>
    <row r="64" spans="1:13" x14ac:dyDescent="0.45">
      <c r="A64" s="1" t="s">
        <v>59</v>
      </c>
    </row>
    <row r="65" spans="1:7" x14ac:dyDescent="0.45">
      <c r="A65" t="s">
        <v>57</v>
      </c>
    </row>
    <row r="66" spans="1:7" x14ac:dyDescent="0.45">
      <c r="A66" s="1" t="s">
        <v>33</v>
      </c>
    </row>
    <row r="67" spans="1:7" x14ac:dyDescent="0.45">
      <c r="A67" s="2" t="s">
        <v>58</v>
      </c>
    </row>
    <row r="68" spans="1:7" x14ac:dyDescent="0.45">
      <c r="B68">
        <f>_xlfn.NORM.INV(0.96,1,0.05)</f>
        <v>1.0875343035626084</v>
      </c>
      <c r="C68">
        <f>_xlfn.NORM.INV(0.9,1,0.05)</f>
        <v>1.06407757827723</v>
      </c>
      <c r="D68">
        <f>_xlfn.NORM.INV(0.75,1,0.05)</f>
        <v>1.0337244875098042</v>
      </c>
    </row>
    <row r="69" spans="1:7" ht="28.5" x14ac:dyDescent="0.45">
      <c r="A69" s="1" t="s">
        <v>60</v>
      </c>
      <c r="B69">
        <f>1-_xlfn.NORM.DIST(0.98,1,0.05,TRUE)</f>
        <v>0.65542174161032429</v>
      </c>
      <c r="C69">
        <f>1-_xlfn.NORM.DIST(1.04,1,0.05,TRUE)</f>
        <v>0.21185539858339641</v>
      </c>
      <c r="D69">
        <f>B69-C69</f>
        <v>0.44356634302692788</v>
      </c>
      <c r="E69">
        <f>1-D69</f>
        <v>0.55643365697307212</v>
      </c>
    </row>
    <row r="70" spans="1:7" x14ac:dyDescent="0.45">
      <c r="A70" s="2" t="s">
        <v>61</v>
      </c>
    </row>
    <row r="71" spans="1:7" x14ac:dyDescent="0.45">
      <c r="A71" t="s">
        <v>62</v>
      </c>
    </row>
    <row r="72" spans="1:7" x14ac:dyDescent="0.45">
      <c r="A72" t="s">
        <v>63</v>
      </c>
      <c r="B72">
        <f>1-_xlfn.NORM.DIST(1.98,2,0.15,TRUE)</f>
        <v>0.55303511662361404</v>
      </c>
      <c r="C72">
        <f>1-_xlfn.NORM.DIST(2.04,2,0.15,TRUE)</f>
        <v>0.394862910464025</v>
      </c>
      <c r="D72">
        <f>B72-C72</f>
        <v>0.15817220615958905</v>
      </c>
    </row>
    <row r="73" spans="1:7" x14ac:dyDescent="0.45">
      <c r="A73" t="s">
        <v>64</v>
      </c>
      <c r="B73">
        <f>_xlfn.NORM.DIST(5,8.22,1.1,TRUE)</f>
        <v>1.70974439614203E-3</v>
      </c>
      <c r="C73">
        <f>1-_xlfn.NORM.DIST(10,8.22,1.1,TRUE)</f>
        <v>5.2811710001670509E-2</v>
      </c>
      <c r="E73">
        <f>1-_xlfn.NORM.DIST(5,8.22,1.1,TRUE)</f>
        <v>0.99829025560385798</v>
      </c>
      <c r="F73">
        <f>1-_xlfn.NORM.DIST(9,8.22,1.1,TRUE)</f>
        <v>0.23913403202503003</v>
      </c>
      <c r="G73">
        <f>E73-F73</f>
        <v>0.75915622357882795</v>
      </c>
    </row>
    <row r="74" spans="1:7" x14ac:dyDescent="0.45">
      <c r="B74">
        <f>_xlfn.NORM.DIST(5,8.22,1.1,FALSE)</f>
        <v>4.9980296064555136E-3</v>
      </c>
      <c r="E74">
        <f>1-_xlfn.NORM.DIST(5,8.22,1.1,TRUE)</f>
        <v>0.99829025560385798</v>
      </c>
      <c r="F74">
        <f>1-_xlfn.NORM.DIST(9,8.22,1.1,FALSE)</f>
        <v>0.71794513541082439</v>
      </c>
      <c r="G74">
        <f>E74-F74</f>
        <v>0.28034512019303359</v>
      </c>
    </row>
    <row r="75" spans="1:7" x14ac:dyDescent="0.45">
      <c r="A75" t="s">
        <v>65</v>
      </c>
      <c r="E75">
        <f>_xlfn.NORM.DIST(5,8.22,1.1,TRUE)</f>
        <v>1.70974439614203E-3</v>
      </c>
      <c r="F75">
        <f>_xlfn.NORM.DIST(9,8.22,1.1,TRUE)</f>
        <v>0.76086596797496997</v>
      </c>
      <c r="G75">
        <f>E75+F75</f>
        <v>0.76257571237111199</v>
      </c>
    </row>
    <row r="76" spans="1:7" x14ac:dyDescent="0.45">
      <c r="A76" t="s">
        <v>66</v>
      </c>
    </row>
    <row r="77" spans="1:7" x14ac:dyDescent="0.45">
      <c r="A77" t="s">
        <v>70</v>
      </c>
      <c r="B77">
        <f>_xlfn.NORM.INV(0.96,1,0.05)</f>
        <v>1.0875343035626084</v>
      </c>
      <c r="C77">
        <f>_xlfn.NORM.INV(0.9,1,0.05)</f>
        <v>1.06407757827723</v>
      </c>
      <c r="D77">
        <f>_xlfn.NORM.INV(0.9,1,0.05)</f>
        <v>1.06407757827723</v>
      </c>
    </row>
    <row r="78" spans="1:7" x14ac:dyDescent="0.45">
      <c r="A78" s="2" t="s">
        <v>67</v>
      </c>
    </row>
    <row r="79" spans="1:7" x14ac:dyDescent="0.45">
      <c r="A79" t="s">
        <v>68</v>
      </c>
    </row>
    <row r="81" spans="1:11" x14ac:dyDescent="0.45">
      <c r="A81" t="s">
        <v>69</v>
      </c>
      <c r="B81">
        <f>_xlfn.NORM.INV(0.04,1,0.05)</f>
        <v>0.9124656964373915</v>
      </c>
      <c r="C81">
        <f>_xlfn.NORM.INV(0.96,2,0.15)</f>
        <v>2.2626029106878254</v>
      </c>
    </row>
    <row r="82" spans="1:11" x14ac:dyDescent="0.45">
      <c r="A82" s="2" t="s">
        <v>66</v>
      </c>
      <c r="B82">
        <f>_xlfn.NORM.INV(0.1,1,0.05)</f>
        <v>0.93592242172276996</v>
      </c>
      <c r="C82">
        <f>_xlfn.NORM.INV(0.04,2,0.15)</f>
        <v>1.7373970893121746</v>
      </c>
    </row>
    <row r="83" spans="1:11" x14ac:dyDescent="0.45">
      <c r="A83" t="s">
        <v>70</v>
      </c>
    </row>
    <row r="84" spans="1:11" x14ac:dyDescent="0.45">
      <c r="A84" t="s">
        <v>67</v>
      </c>
    </row>
    <row r="85" spans="1:11" x14ac:dyDescent="0.45">
      <c r="A85" t="s">
        <v>68</v>
      </c>
    </row>
    <row r="87" spans="1:11" ht="114" x14ac:dyDescent="0.45">
      <c r="A87" s="1" t="s">
        <v>102</v>
      </c>
      <c r="E87">
        <f>_xlfn.BINOM.DIST.RANGE(3,(0.01*0.01),1,3)</f>
        <v>2.9997000099996697E-4</v>
      </c>
      <c r="G87">
        <f>0.01*0.01</f>
        <v>1E-4</v>
      </c>
    </row>
    <row r="88" spans="1:11" x14ac:dyDescent="0.45">
      <c r="A88" s="3" t="s">
        <v>71</v>
      </c>
    </row>
    <row r="89" spans="1:11" x14ac:dyDescent="0.45">
      <c r="A89" t="s">
        <v>72</v>
      </c>
      <c r="E89">
        <f>_xlfn.BINOM.DIST.RANGE(3,(0.01*0.02),1,3)</f>
        <v>5.9988000799993395E-4</v>
      </c>
    </row>
    <row r="90" spans="1:11" x14ac:dyDescent="0.45">
      <c r="A90" t="s">
        <v>73</v>
      </c>
      <c r="E90">
        <f>_xlfn.BINOM.DIST.RANGE(3,(0.03*0.02),1,3)</f>
        <v>1.7989202160001347E-3</v>
      </c>
    </row>
    <row r="91" spans="1:11" x14ac:dyDescent="0.45">
      <c r="A91" t="s">
        <v>74</v>
      </c>
    </row>
    <row r="92" spans="1:11" ht="28.5" x14ac:dyDescent="0.45">
      <c r="A92" s="1" t="s">
        <v>78</v>
      </c>
      <c r="G92">
        <v>1</v>
      </c>
      <c r="H92">
        <f t="shared" ref="H92:H97" si="11">1/6</f>
        <v>0.16666666666666666</v>
      </c>
      <c r="I92">
        <f>G92*H92</f>
        <v>0.16666666666666666</v>
      </c>
      <c r="J92">
        <f>G92*H92*400</f>
        <v>66.666666666666657</v>
      </c>
      <c r="K92">
        <f>((G92-I$98)^2*H92)</f>
        <v>1.0416666666666665</v>
      </c>
    </row>
    <row r="93" spans="1:11" x14ac:dyDescent="0.45">
      <c r="A93" s="1" t="s">
        <v>79</v>
      </c>
      <c r="G93">
        <v>2</v>
      </c>
      <c r="H93">
        <f t="shared" si="11"/>
        <v>0.16666666666666666</v>
      </c>
      <c r="I93">
        <f>G93*H93</f>
        <v>0.33333333333333331</v>
      </c>
      <c r="J93">
        <f>G93*H93*400</f>
        <v>133.33333333333331</v>
      </c>
      <c r="K93">
        <f>((G93-I$98)^2*H93)</f>
        <v>0.375</v>
      </c>
    </row>
    <row r="94" spans="1:11" x14ac:dyDescent="0.45">
      <c r="A94" s="1" t="s">
        <v>80</v>
      </c>
      <c r="G94">
        <v>3</v>
      </c>
      <c r="H94">
        <f t="shared" si="11"/>
        <v>0.16666666666666666</v>
      </c>
      <c r="I94">
        <f>G94*H94</f>
        <v>0.5</v>
      </c>
      <c r="J94">
        <f>G94*H94*400</f>
        <v>200</v>
      </c>
      <c r="K94">
        <f>((G94-I$98)^2*H94)</f>
        <v>4.1666666666666664E-2</v>
      </c>
    </row>
    <row r="95" spans="1:11" x14ac:dyDescent="0.45">
      <c r="A95" s="1" t="s">
        <v>81</v>
      </c>
      <c r="G95">
        <v>4</v>
      </c>
      <c r="H95">
        <f t="shared" si="11"/>
        <v>0.16666666666666666</v>
      </c>
      <c r="I95">
        <f>G95*H95</f>
        <v>0.66666666666666663</v>
      </c>
      <c r="J95">
        <f>G95*H95*400</f>
        <v>266.66666666666663</v>
      </c>
      <c r="K95">
        <f>((G95-I$98)^2*H95)</f>
        <v>4.1666666666666664E-2</v>
      </c>
    </row>
    <row r="96" spans="1:11" x14ac:dyDescent="0.45">
      <c r="A96" s="3" t="s">
        <v>82</v>
      </c>
      <c r="B96">
        <f>1-_xlfn.NORM.DIST(1350,1400,H103,TRUE)</f>
        <v>0.92838254623766525</v>
      </c>
      <c r="G96">
        <v>5</v>
      </c>
      <c r="H96">
        <f t="shared" si="11"/>
        <v>0.16666666666666666</v>
      </c>
      <c r="I96">
        <f>G96*H96</f>
        <v>0.83333333333333326</v>
      </c>
      <c r="J96">
        <f>G96*H96*400</f>
        <v>333.33333333333331</v>
      </c>
      <c r="K96">
        <f>((G96-I$98)^2*H96)</f>
        <v>0.375</v>
      </c>
    </row>
    <row r="97" spans="1:12" x14ac:dyDescent="0.45">
      <c r="A97" s="1"/>
      <c r="B97">
        <f>1-_xlfn.NORM.DIST(1450,1400,H103,TRUE)</f>
        <v>7.1617453762334748E-2</v>
      </c>
      <c r="G97">
        <v>6</v>
      </c>
      <c r="H97">
        <f t="shared" si="11"/>
        <v>0.16666666666666666</v>
      </c>
      <c r="I97">
        <f>G97*H97</f>
        <v>1</v>
      </c>
      <c r="J97">
        <f>G97*H97*400</f>
        <v>400</v>
      </c>
      <c r="K97">
        <f>((G97-I$98)^2*H97)</f>
        <v>1.0416666666666665</v>
      </c>
    </row>
    <row r="98" spans="1:12" ht="42.75" x14ac:dyDescent="0.45">
      <c r="A98" s="1" t="s">
        <v>87</v>
      </c>
      <c r="I98">
        <f>SUM(I92:I97)</f>
        <v>3.5</v>
      </c>
      <c r="J98">
        <f>SUM(J92:J97)</f>
        <v>1400</v>
      </c>
      <c r="K98">
        <f>SUM(K92:K97)</f>
        <v>2.9166666666666665</v>
      </c>
      <c r="L98">
        <f>K98*400</f>
        <v>1166.6666666666665</v>
      </c>
    </row>
    <row r="99" spans="1:12" x14ac:dyDescent="0.45">
      <c r="A99" s="1" t="s">
        <v>88</v>
      </c>
      <c r="F99" t="s">
        <v>75</v>
      </c>
      <c r="H99">
        <f>SUMPRODUCT(G92:G97,H92:H97)</f>
        <v>3.5</v>
      </c>
      <c r="J99">
        <f>3.5*400</f>
        <v>1400</v>
      </c>
    </row>
    <row r="100" spans="1:12" x14ac:dyDescent="0.45">
      <c r="A100" s="3" t="s">
        <v>89</v>
      </c>
      <c r="F100" t="s">
        <v>76</v>
      </c>
      <c r="H100">
        <f>SUMPRODUCT(G92:G97,G92:G97,H92:H97)-H99^2</f>
        <v>2.9166666666666661</v>
      </c>
    </row>
    <row r="101" spans="1:12" x14ac:dyDescent="0.45">
      <c r="A101" s="1" t="s">
        <v>90</v>
      </c>
      <c r="F101" t="s">
        <v>75</v>
      </c>
      <c r="H101">
        <v>1400</v>
      </c>
      <c r="I101">
        <f>H99*450</f>
        <v>1575</v>
      </c>
      <c r="J101" s="15">
        <f>1-_xlfn.NORM.DIST(1580,1575,36.23,TRUE)</f>
        <v>0.44511737294816867</v>
      </c>
    </row>
    <row r="102" spans="1:12" x14ac:dyDescent="0.45">
      <c r="A102" s="1" t="s">
        <v>91</v>
      </c>
      <c r="F102" t="s">
        <v>76</v>
      </c>
      <c r="H102">
        <f>400*H100</f>
        <v>1166.6666666666665</v>
      </c>
      <c r="I102">
        <f>H100*450</f>
        <v>1312.4999999999998</v>
      </c>
    </row>
    <row r="103" spans="1:12" x14ac:dyDescent="0.45">
      <c r="A103" s="1"/>
      <c r="F103" t="s">
        <v>77</v>
      </c>
      <c r="H103">
        <f>SQRT(H102)</f>
        <v>34.156502553198656</v>
      </c>
      <c r="I103">
        <f>SQRT(I102)</f>
        <v>36.228441865473592</v>
      </c>
    </row>
    <row r="104" spans="1:12" ht="28.5" x14ac:dyDescent="0.45">
      <c r="A104" s="1" t="s">
        <v>92</v>
      </c>
      <c r="E104">
        <f>1-_xlfn.NORM.DIST(1450,H101,H103,TRUE)</f>
        <v>7.1617453762334748E-2</v>
      </c>
    </row>
    <row r="105" spans="1:12" x14ac:dyDescent="0.45">
      <c r="A105" s="1" t="s">
        <v>93</v>
      </c>
      <c r="K105" t="s">
        <v>85</v>
      </c>
      <c r="L105">
        <f>1000*-0.05263</f>
        <v>-52.63</v>
      </c>
    </row>
    <row r="106" spans="1:12" x14ac:dyDescent="0.45">
      <c r="A106" s="5" t="s">
        <v>94</v>
      </c>
      <c r="E106" s="4" t="s">
        <v>83</v>
      </c>
      <c r="F106" s="4"/>
      <c r="G106" s="4"/>
      <c r="H106" s="4"/>
      <c r="K106" t="s">
        <v>86</v>
      </c>
      <c r="L106">
        <f>1000*33.20776</f>
        <v>33207.760000000002</v>
      </c>
    </row>
    <row r="107" spans="1:12" x14ac:dyDescent="0.45">
      <c r="A107" s="1" t="s">
        <v>95</v>
      </c>
      <c r="B107">
        <f>95-70</f>
        <v>25</v>
      </c>
      <c r="C107">
        <f>95-80</f>
        <v>15</v>
      </c>
      <c r="E107" s="4" t="s">
        <v>84</v>
      </c>
      <c r="F107" s="4"/>
      <c r="G107" s="4"/>
      <c r="H107" s="4"/>
      <c r="K107" t="s">
        <v>77</v>
      </c>
      <c r="L107">
        <f>SQRT(L106)</f>
        <v>182.22996460516586</v>
      </c>
    </row>
    <row r="108" spans="1:12" x14ac:dyDescent="0.45">
      <c r="A108" s="1" t="s">
        <v>30</v>
      </c>
      <c r="B108">
        <f>B107/10</f>
        <v>2.5</v>
      </c>
      <c r="C108">
        <f>C107/10</f>
        <v>1.5</v>
      </c>
      <c r="K108">
        <f>1-_xlfn.NORM.DIST(0.5,L105,L107,TRUE)</f>
        <v>0.38531356326463784</v>
      </c>
    </row>
    <row r="110" spans="1:12" ht="57" x14ac:dyDescent="0.45">
      <c r="A110" s="1" t="s">
        <v>100</v>
      </c>
      <c r="B110">
        <f>35-50</f>
        <v>-15</v>
      </c>
      <c r="H110">
        <f>_xlfn.NORM.S.DIST(-0.5,TRUE)</f>
        <v>0.30853753872598688</v>
      </c>
    </row>
    <row r="111" spans="1:12" x14ac:dyDescent="0.45">
      <c r="B111">
        <f>B110/7</f>
        <v>-2.1428571428571428</v>
      </c>
    </row>
    <row r="112" spans="1:12" x14ac:dyDescent="0.45">
      <c r="A112" s="1" t="s">
        <v>96</v>
      </c>
    </row>
    <row r="113" spans="1:12" x14ac:dyDescent="0.45">
      <c r="A113" t="s">
        <v>97</v>
      </c>
    </row>
    <row r="114" spans="1:12" x14ac:dyDescent="0.45">
      <c r="A114" s="1" t="s">
        <v>98</v>
      </c>
      <c r="B114">
        <f>-0.85*50</f>
        <v>-42.5</v>
      </c>
      <c r="C114">
        <f>500+B114</f>
        <v>457.5</v>
      </c>
    </row>
    <row r="115" spans="1:12" x14ac:dyDescent="0.45">
      <c r="A115" s="6" t="s">
        <v>99</v>
      </c>
    </row>
    <row r="116" spans="1:12" x14ac:dyDescent="0.45">
      <c r="B116">
        <f>1-_xlfn.NORM.S.DIST(0.5,TRUE)</f>
        <v>0.30853753872598688</v>
      </c>
      <c r="E116">
        <v>1</v>
      </c>
      <c r="H116">
        <f t="shared" ref="H116:H121" si="12">1/6</f>
        <v>0.16666666666666666</v>
      </c>
      <c r="I116">
        <f>E116*H116</f>
        <v>0.16666666666666666</v>
      </c>
      <c r="J116">
        <f t="shared" ref="J116:J121" si="13">E116*H116*450</f>
        <v>75</v>
      </c>
      <c r="K116">
        <f>((E116-I$98)^2*H116)</f>
        <v>1.0416666666666665</v>
      </c>
    </row>
    <row r="117" spans="1:12" x14ac:dyDescent="0.45">
      <c r="B117">
        <f>1-_xlfn.NORM.S.DIST(0.84,TRUE)</f>
        <v>0.20045419326044966</v>
      </c>
      <c r="E117">
        <v>2</v>
      </c>
      <c r="H117">
        <f t="shared" si="12"/>
        <v>0.16666666666666666</v>
      </c>
      <c r="I117">
        <f t="shared" ref="I117:I121" si="14">E117*H117</f>
        <v>0.33333333333333331</v>
      </c>
      <c r="J117">
        <f t="shared" si="13"/>
        <v>150</v>
      </c>
      <c r="K117">
        <f t="shared" ref="K117:K121" si="15">((E117-I$98)^2*H117)</f>
        <v>0.375</v>
      </c>
    </row>
    <row r="118" spans="1:12" x14ac:dyDescent="0.45">
      <c r="B118">
        <f>1-_xlfn.NORM.S.DIST(0.67,TRUE)</f>
        <v>0.25142889509531008</v>
      </c>
      <c r="E118">
        <v>3</v>
      </c>
      <c r="H118">
        <f t="shared" si="12"/>
        <v>0.16666666666666666</v>
      </c>
      <c r="I118">
        <f t="shared" si="14"/>
        <v>0.5</v>
      </c>
      <c r="J118">
        <f t="shared" si="13"/>
        <v>225</v>
      </c>
      <c r="K118">
        <f t="shared" si="15"/>
        <v>4.1666666666666664E-2</v>
      </c>
    </row>
    <row r="119" spans="1:12" x14ac:dyDescent="0.45">
      <c r="E119">
        <v>4</v>
      </c>
      <c r="H119">
        <f t="shared" si="12"/>
        <v>0.16666666666666666</v>
      </c>
      <c r="I119">
        <f t="shared" si="14"/>
        <v>0.66666666666666663</v>
      </c>
      <c r="J119">
        <f t="shared" si="13"/>
        <v>300</v>
      </c>
      <c r="K119">
        <f t="shared" si="15"/>
        <v>4.1666666666666664E-2</v>
      </c>
    </row>
    <row r="120" spans="1:12" x14ac:dyDescent="0.45">
      <c r="B120">
        <f>1.2*15+100</f>
        <v>118</v>
      </c>
      <c r="E120">
        <v>5</v>
      </c>
      <c r="H120">
        <f t="shared" si="12"/>
        <v>0.16666666666666666</v>
      </c>
      <c r="I120">
        <f t="shared" si="14"/>
        <v>0.83333333333333326</v>
      </c>
      <c r="J120">
        <f t="shared" si="13"/>
        <v>374.99999999999994</v>
      </c>
      <c r="K120">
        <f t="shared" si="15"/>
        <v>0.375</v>
      </c>
    </row>
    <row r="121" spans="1:12" x14ac:dyDescent="0.45">
      <c r="B121" s="15">
        <f>-0.85*50+500</f>
        <v>457.5</v>
      </c>
      <c r="E121">
        <v>6</v>
      </c>
      <c r="H121">
        <f t="shared" si="12"/>
        <v>0.16666666666666666</v>
      </c>
      <c r="I121">
        <f t="shared" si="14"/>
        <v>1</v>
      </c>
      <c r="J121">
        <f t="shared" si="13"/>
        <v>450</v>
      </c>
      <c r="K121">
        <f t="shared" si="15"/>
        <v>1.0416666666666665</v>
      </c>
    </row>
    <row r="122" spans="1:12" x14ac:dyDescent="0.45">
      <c r="I122">
        <f>SUM(I116:I121)</f>
        <v>3.5</v>
      </c>
      <c r="J122">
        <f>SUM(J116:J121)</f>
        <v>1575</v>
      </c>
      <c r="K122">
        <f>SUM(K116:K121)</f>
        <v>2.9166666666666665</v>
      </c>
      <c r="L122">
        <f>K122*450</f>
        <v>1312.5</v>
      </c>
    </row>
    <row r="123" spans="1:12" x14ac:dyDescent="0.45">
      <c r="E123" t="s">
        <v>75</v>
      </c>
      <c r="H123">
        <f>SUMPRODUCT(E116:E121,H116:H121)</f>
        <v>3.5</v>
      </c>
    </row>
    <row r="124" spans="1:12" x14ac:dyDescent="0.45">
      <c r="E124" t="s">
        <v>76</v>
      </c>
      <c r="H124">
        <f>SUMPRODUCT(E116:E121,E116:E121,H116:H121)-H123^2</f>
        <v>2.9166666666666661</v>
      </c>
    </row>
    <row r="125" spans="1:12" x14ac:dyDescent="0.45">
      <c r="E125" t="s">
        <v>75</v>
      </c>
      <c r="H125">
        <f>J122</f>
        <v>1575</v>
      </c>
    </row>
    <row r="126" spans="1:12" x14ac:dyDescent="0.45">
      <c r="E126" t="s">
        <v>76</v>
      </c>
      <c r="H126">
        <f>450*H124</f>
        <v>1312.4999999999998</v>
      </c>
    </row>
    <row r="127" spans="1:12" x14ac:dyDescent="0.45">
      <c r="E127" t="s">
        <v>77</v>
      </c>
      <c r="H127">
        <f>SQRT(H126)</f>
        <v>36.228441865473592</v>
      </c>
    </row>
    <row r="128" spans="1:12" x14ac:dyDescent="0.45">
      <c r="E128">
        <f>1-_xlfn.NORM.DIST(1579.5,H125,H127,TRUE)</f>
        <v>0.4505737895029589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Liberty Munson</cp:lastModifiedBy>
  <dcterms:created xsi:type="dcterms:W3CDTF">2017-01-01T15:53:02Z</dcterms:created>
  <dcterms:modified xsi:type="dcterms:W3CDTF">2017-06-01T00:11:35Z</dcterms:modified>
</cp:coreProperties>
</file>